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40" yWindow="585" windowWidth="21075" windowHeight="9495" firstSheet="1" activeTab="4"/>
  </bookViews>
  <sheets>
    <sheet name="verzamelblad" sheetId="1" state="hidden" r:id="rId1"/>
    <sheet name="basisgegevens" sheetId="3" r:id="rId2"/>
    <sheet name="uurtariefopbouw" sheetId="12" r:id="rId3"/>
    <sheet name="1" sheetId="4" r:id="rId4"/>
    <sheet name="1a" sheetId="5" r:id="rId5"/>
    <sheet name="2" sheetId="14" state="hidden" r:id="rId6"/>
    <sheet name="Totaalblad" sheetId="13" r:id="rId7"/>
    <sheet name="Wijzigingenblad" sheetId="76" r:id="rId8"/>
    <sheet name="Supplement" sheetId="75" r:id="rId9"/>
  </sheets>
  <definedNames>
    <definedName name="_xlnm._FilterDatabase" localSheetId="4" hidden="1">'1a'!$A$3:$R$175</definedName>
    <definedName name="_xlnm.Print_Area" localSheetId="3">'1'!$A$1:$O$103</definedName>
    <definedName name="_xlnm.Print_Area" localSheetId="4">'1a'!$A$1:$L$518</definedName>
    <definedName name="_xlnm.Print_Area" localSheetId="5">'2'!$A$1:$O$84</definedName>
    <definedName name="_xlnm.Print_Area" localSheetId="1">basisgegevens!$A$1:$B$32</definedName>
    <definedName name="_xlnm.Print_Area" localSheetId="8">Supplement!$A$1:$D$45</definedName>
    <definedName name="_xlnm.Print_Area" localSheetId="0">verzamelblad!$A$1:$CX$34</definedName>
    <definedName name="bestekcontract">verzamelblad!$A$2</definedName>
    <definedName name="besteknr">verzamelblad!$A$3</definedName>
    <definedName name="directtoezicht">uurtariefopbouw!$D$26</definedName>
    <definedName name="offertetarief">uurtariefopbouw!$E$37</definedName>
    <definedName name="opdrachtgever">basisgegevens!$B$4</definedName>
    <definedName name="opdrachtnemer">basisgegevens!$B$19</definedName>
    <definedName name="opdrachtnemerplaats">basisgegevens!$B$20</definedName>
    <definedName name="plaatsopdrnmr">basisgegevens!$B$20</definedName>
    <definedName name="regietarief">uurtariefopbouw!$G$37</definedName>
    <definedName name="spectarief">uurtariefopbouw!$I$37</definedName>
  </definedNames>
  <calcPr calcId="145621"/>
</workbook>
</file>

<file path=xl/calcChain.xml><?xml version="1.0" encoding="utf-8"?>
<calcChain xmlns="http://schemas.openxmlformats.org/spreadsheetml/2006/main">
  <c r="H39" i="4" l="1"/>
  <c r="E38" i="4" l="1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F180" i="5" l="1"/>
  <c r="F514" i="5" s="1"/>
  <c r="K118" i="5"/>
  <c r="G180" i="5"/>
  <c r="K8" i="5"/>
  <c r="F513" i="5" l="1"/>
  <c r="K5" i="5"/>
  <c r="K6" i="5"/>
  <c r="K7" i="5"/>
  <c r="K9" i="5"/>
  <c r="K10" i="5"/>
  <c r="K11" i="5"/>
  <c r="K12" i="5"/>
  <c r="K13" i="5"/>
  <c r="K14" i="5"/>
  <c r="K15" i="5"/>
  <c r="K16" i="5"/>
  <c r="K49" i="5"/>
  <c r="P180" i="5"/>
  <c r="E49" i="4" s="1"/>
  <c r="O180" i="5"/>
  <c r="E47" i="4" s="1"/>
  <c r="E48" i="4" s="1"/>
  <c r="J180" i="5"/>
  <c r="I180" i="5"/>
  <c r="H180" i="5"/>
  <c r="L160" i="5"/>
  <c r="M160" i="5" s="1"/>
  <c r="L161" i="5"/>
  <c r="M161" i="5" s="1"/>
  <c r="L162" i="5"/>
  <c r="M162" i="5" s="1"/>
  <c r="L163" i="5"/>
  <c r="M163" i="5" s="1"/>
  <c r="L164" i="5"/>
  <c r="M164" i="5" s="1"/>
  <c r="L165" i="5"/>
  <c r="M165" i="5" s="1"/>
  <c r="L166" i="5"/>
  <c r="M166" i="5" s="1"/>
  <c r="L167" i="5"/>
  <c r="M167" i="5" s="1"/>
  <c r="L168" i="5"/>
  <c r="M168" i="5" s="1"/>
  <c r="L169" i="5"/>
  <c r="M169" i="5" s="1"/>
  <c r="L170" i="5"/>
  <c r="M170" i="5" s="1"/>
  <c r="L171" i="5"/>
  <c r="M171" i="5" s="1"/>
  <c r="L172" i="5"/>
  <c r="M172" i="5" s="1"/>
  <c r="L173" i="5"/>
  <c r="M173" i="5" s="1"/>
  <c r="L174" i="5"/>
  <c r="M174" i="5" s="1"/>
  <c r="L175" i="5"/>
  <c r="M175" i="5" s="1"/>
  <c r="L176" i="5"/>
  <c r="M176" i="5" s="1"/>
  <c r="L177" i="5"/>
  <c r="M177" i="5" s="1"/>
  <c r="L159" i="5"/>
  <c r="M159" i="5" s="1"/>
  <c r="L153" i="5"/>
  <c r="K132" i="5" l="1"/>
  <c r="H38" i="4" l="1"/>
  <c r="G50" i="4" l="1"/>
  <c r="C511" i="5" l="1"/>
  <c r="F511" i="5" s="1"/>
  <c r="C512" i="5"/>
  <c r="F512" i="5" s="1"/>
  <c r="C509" i="5"/>
  <c r="F509" i="5" s="1"/>
  <c r="C510" i="5"/>
  <c r="F510" i="5" s="1"/>
  <c r="C507" i="5"/>
  <c r="F507" i="5" s="1"/>
  <c r="C508" i="5"/>
  <c r="C501" i="5"/>
  <c r="F501" i="5" s="1"/>
  <c r="C502" i="5"/>
  <c r="F502" i="5" s="1"/>
  <c r="C503" i="5"/>
  <c r="C504" i="5"/>
  <c r="F504" i="5" s="1"/>
  <c r="C505" i="5"/>
  <c r="F505" i="5" s="1"/>
  <c r="C506" i="5"/>
  <c r="F506" i="5" s="1"/>
  <c r="M33" i="4"/>
  <c r="M22" i="4"/>
  <c r="M23" i="4"/>
  <c r="M25" i="4"/>
  <c r="M20" i="4"/>
  <c r="M21" i="4"/>
  <c r="M24" i="4"/>
  <c r="F508" i="5" l="1"/>
  <c r="H508" i="5"/>
  <c r="F503" i="5"/>
  <c r="J503" i="5"/>
  <c r="C530" i="5"/>
  <c r="C528" i="5"/>
  <c r="C532" i="5"/>
  <c r="C531" i="5"/>
  <c r="C529" i="5"/>
  <c r="C527" i="5"/>
  <c r="H40" i="4"/>
  <c r="A40" i="4"/>
  <c r="D2" i="4"/>
  <c r="L4" i="5" l="1"/>
  <c r="L5" i="5"/>
  <c r="L7" i="5"/>
  <c r="L8" i="5"/>
  <c r="M8" i="5" s="1"/>
  <c r="L9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2" i="5"/>
  <c r="L34" i="5"/>
  <c r="L35" i="5"/>
  <c r="L36" i="5"/>
  <c r="L37" i="5"/>
  <c r="L38" i="5"/>
  <c r="L39" i="5"/>
  <c r="L41" i="5"/>
  <c r="L42" i="5"/>
  <c r="L43" i="5"/>
  <c r="L44" i="5"/>
  <c r="L45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1" i="5"/>
  <c r="L102" i="5"/>
  <c r="L103" i="5"/>
  <c r="L104" i="5"/>
  <c r="L105" i="5"/>
  <c r="L106" i="5"/>
  <c r="L107" i="5"/>
  <c r="L108" i="5"/>
  <c r="L109" i="5"/>
  <c r="L110" i="5"/>
  <c r="L111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M132" i="5" s="1"/>
  <c r="M508" i="5" s="1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4" i="5"/>
  <c r="L155" i="5"/>
  <c r="L156" i="5"/>
  <c r="K4" i="5"/>
  <c r="M6" i="5"/>
  <c r="M10" i="5"/>
  <c r="M12" i="5"/>
  <c r="M14" i="5"/>
  <c r="K17" i="5"/>
  <c r="K18" i="5"/>
  <c r="M18" i="5" s="1"/>
  <c r="K19" i="5"/>
  <c r="K20" i="5"/>
  <c r="M20" i="5" s="1"/>
  <c r="K21" i="5"/>
  <c r="K22" i="5"/>
  <c r="M22" i="5" s="1"/>
  <c r="K23" i="5"/>
  <c r="K24" i="5"/>
  <c r="M24" i="5" s="1"/>
  <c r="K25" i="5"/>
  <c r="K26" i="5"/>
  <c r="M26" i="5" s="1"/>
  <c r="K27" i="5"/>
  <c r="K28" i="5"/>
  <c r="M28" i="5" s="1"/>
  <c r="K29" i="5"/>
  <c r="K30" i="5"/>
  <c r="M30" i="5" s="1"/>
  <c r="K31" i="5"/>
  <c r="K32" i="5"/>
  <c r="M32" i="5" s="1"/>
  <c r="K33" i="5"/>
  <c r="K34" i="5"/>
  <c r="M34" i="5" s="1"/>
  <c r="K35" i="5"/>
  <c r="K36" i="5"/>
  <c r="M36" i="5" s="1"/>
  <c r="K37" i="5"/>
  <c r="K38" i="5"/>
  <c r="M38" i="5" s="1"/>
  <c r="K39" i="5"/>
  <c r="K40" i="5"/>
  <c r="M40" i="5" s="1"/>
  <c r="K41" i="5"/>
  <c r="K42" i="5"/>
  <c r="M42" i="5" s="1"/>
  <c r="K43" i="5"/>
  <c r="K44" i="5"/>
  <c r="M44" i="5" s="1"/>
  <c r="K45" i="5"/>
  <c r="K46" i="5"/>
  <c r="K47" i="5"/>
  <c r="K48" i="5"/>
  <c r="M48" i="5" s="1"/>
  <c r="K50" i="5"/>
  <c r="M50" i="5" s="1"/>
  <c r="K51" i="5"/>
  <c r="K52" i="5"/>
  <c r="M52" i="5" s="1"/>
  <c r="K53" i="5"/>
  <c r="K54" i="5"/>
  <c r="K55" i="5"/>
  <c r="K56" i="5"/>
  <c r="K57" i="5"/>
  <c r="K58" i="5"/>
  <c r="K59" i="5"/>
  <c r="K60" i="5"/>
  <c r="M60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M86" i="5" s="1"/>
  <c r="K87" i="5"/>
  <c r="K88" i="5"/>
  <c r="M88" i="5" s="1"/>
  <c r="K89" i="5"/>
  <c r="K90" i="5"/>
  <c r="K91" i="5"/>
  <c r="K92" i="5"/>
  <c r="K93" i="5"/>
  <c r="K94" i="5"/>
  <c r="M94" i="5" s="1"/>
  <c r="K95" i="5"/>
  <c r="K96" i="5"/>
  <c r="M96" i="5" s="1"/>
  <c r="K97" i="5"/>
  <c r="K98" i="5"/>
  <c r="M98" i="5" s="1"/>
  <c r="K99" i="5"/>
  <c r="K100" i="5"/>
  <c r="M100" i="5" s="1"/>
  <c r="K101" i="5"/>
  <c r="K102" i="5"/>
  <c r="K103" i="5"/>
  <c r="K104" i="5"/>
  <c r="K105" i="5"/>
  <c r="K106" i="5"/>
  <c r="K107" i="5"/>
  <c r="K108" i="5"/>
  <c r="K109" i="5"/>
  <c r="K110" i="5"/>
  <c r="K111" i="5"/>
  <c r="K112" i="5"/>
  <c r="M112" i="5" s="1"/>
  <c r="K113" i="5"/>
  <c r="K114" i="5"/>
  <c r="K115" i="5"/>
  <c r="K116" i="5"/>
  <c r="M116" i="5" s="1"/>
  <c r="K117" i="5"/>
  <c r="M118" i="5"/>
  <c r="K119" i="5"/>
  <c r="K120" i="5"/>
  <c r="M120" i="5" s="1"/>
  <c r="K121" i="5"/>
  <c r="K122" i="5"/>
  <c r="M122" i="5" s="1"/>
  <c r="K123" i="5"/>
  <c r="K124" i="5"/>
  <c r="K125" i="5"/>
  <c r="K126" i="5"/>
  <c r="M126" i="5" s="1"/>
  <c r="K127" i="5"/>
  <c r="K128" i="5"/>
  <c r="M128" i="5" s="1"/>
  <c r="K129" i="5"/>
  <c r="K130" i="5"/>
  <c r="M130" i="5" s="1"/>
  <c r="K131" i="5"/>
  <c r="M131" i="5" s="1"/>
  <c r="K133" i="5"/>
  <c r="K134" i="5"/>
  <c r="M134" i="5" s="1"/>
  <c r="K135" i="5"/>
  <c r="K136" i="5"/>
  <c r="K137" i="5"/>
  <c r="K138" i="5"/>
  <c r="M138" i="5" s="1"/>
  <c r="K139" i="5"/>
  <c r="K140" i="5"/>
  <c r="M140" i="5" s="1"/>
  <c r="K141" i="5"/>
  <c r="K142" i="5"/>
  <c r="M142" i="5" s="1"/>
  <c r="K143" i="5"/>
  <c r="K144" i="5"/>
  <c r="M144" i="5" s="1"/>
  <c r="K145" i="5"/>
  <c r="K146" i="5"/>
  <c r="M146" i="5" s="1"/>
  <c r="K147" i="5"/>
  <c r="K148" i="5"/>
  <c r="M148" i="5" s="1"/>
  <c r="K149" i="5"/>
  <c r="K150" i="5"/>
  <c r="M150" i="5" s="1"/>
  <c r="K151" i="5"/>
  <c r="K152" i="5"/>
  <c r="M152" i="5" s="1"/>
  <c r="K153" i="5"/>
  <c r="K154" i="5"/>
  <c r="M154" i="5" s="1"/>
  <c r="K155" i="5"/>
  <c r="K156" i="5"/>
  <c r="M156" i="5" s="1"/>
  <c r="M90" i="5" l="1"/>
  <c r="M56" i="5"/>
  <c r="M54" i="5"/>
  <c r="M110" i="5"/>
  <c r="M108" i="5"/>
  <c r="M106" i="5"/>
  <c r="M104" i="5"/>
  <c r="M102" i="5"/>
  <c r="M82" i="5"/>
  <c r="M80" i="5"/>
  <c r="M78" i="5"/>
  <c r="M76" i="5"/>
  <c r="M74" i="5"/>
  <c r="M72" i="5"/>
  <c r="M70" i="5"/>
  <c r="M64" i="5"/>
  <c r="K180" i="5"/>
  <c r="M149" i="5"/>
  <c r="M147" i="5"/>
  <c r="M145" i="5"/>
  <c r="M143" i="5"/>
  <c r="M139" i="5"/>
  <c r="M137" i="5"/>
  <c r="M135" i="5"/>
  <c r="M133" i="5"/>
  <c r="M129" i="5"/>
  <c r="M127" i="5"/>
  <c r="M123" i="5"/>
  <c r="M121" i="5"/>
  <c r="M119" i="5"/>
  <c r="M117" i="5"/>
  <c r="M115" i="5"/>
  <c r="M113" i="5"/>
  <c r="M111" i="5"/>
  <c r="M109" i="5"/>
  <c r="M107" i="5"/>
  <c r="M105" i="5"/>
  <c r="M103" i="5"/>
  <c r="M99" i="5"/>
  <c r="M97" i="5"/>
  <c r="M95" i="5"/>
  <c r="M93" i="5"/>
  <c r="M91" i="5"/>
  <c r="M89" i="5"/>
  <c r="M83" i="5"/>
  <c r="M79" i="5"/>
  <c r="M77" i="5"/>
  <c r="M75" i="5"/>
  <c r="M73" i="5"/>
  <c r="M71" i="5"/>
  <c r="M69" i="5"/>
  <c r="M67" i="5"/>
  <c r="M61" i="5"/>
  <c r="M59" i="5"/>
  <c r="M57" i="5"/>
  <c r="M55" i="5"/>
  <c r="M53" i="5"/>
  <c r="M51" i="5"/>
  <c r="M47" i="5"/>
  <c r="M45" i="5"/>
  <c r="M43" i="5"/>
  <c r="M41" i="5"/>
  <c r="M39" i="5"/>
  <c r="M37" i="5"/>
  <c r="M35" i="5"/>
  <c r="M31" i="5"/>
  <c r="M29" i="5"/>
  <c r="M27" i="5"/>
  <c r="M25" i="5"/>
  <c r="M19" i="5"/>
  <c r="M17" i="5"/>
  <c r="M15" i="5"/>
  <c r="M13" i="5"/>
  <c r="M11" i="5"/>
  <c r="M9" i="5"/>
  <c r="M7" i="5"/>
  <c r="M124" i="5"/>
  <c r="M21" i="5"/>
  <c r="M136" i="5"/>
  <c r="M114" i="5"/>
  <c r="M101" i="5"/>
  <c r="M87" i="5"/>
  <c r="M68" i="5"/>
  <c r="M66" i="5"/>
  <c r="M46" i="5"/>
  <c r="M33" i="5"/>
  <c r="M5" i="5"/>
  <c r="M85" i="5"/>
  <c r="M84" i="5"/>
  <c r="M81" i="5"/>
  <c r="M141" i="5"/>
  <c r="M125" i="5"/>
  <c r="M92" i="5"/>
  <c r="M65" i="5"/>
  <c r="M63" i="5"/>
  <c r="M62" i="5"/>
  <c r="M58" i="5"/>
  <c r="M49" i="5"/>
  <c r="M23" i="5"/>
  <c r="M16" i="5"/>
  <c r="M155" i="5"/>
  <c r="M153" i="5"/>
  <c r="M151" i="5"/>
  <c r="M4" i="5"/>
  <c r="V6" i="13"/>
  <c r="W6" i="13"/>
  <c r="V7" i="13"/>
  <c r="W7" i="13"/>
  <c r="V8" i="13"/>
  <c r="W8" i="13"/>
  <c r="V9" i="13"/>
  <c r="W9" i="13"/>
  <c r="V10" i="13"/>
  <c r="W10" i="13"/>
  <c r="V11" i="13"/>
  <c r="W11" i="13"/>
  <c r="V12" i="13"/>
  <c r="W12" i="13"/>
  <c r="V13" i="13"/>
  <c r="W13" i="13"/>
  <c r="V14" i="13"/>
  <c r="W14" i="13"/>
  <c r="V15" i="13"/>
  <c r="W15" i="13"/>
  <c r="V16" i="13"/>
  <c r="W16" i="13"/>
  <c r="V17" i="13"/>
  <c r="W17" i="13"/>
  <c r="V18" i="13"/>
  <c r="W18" i="13"/>
  <c r="V19" i="13"/>
  <c r="W19" i="13"/>
  <c r="V20" i="13"/>
  <c r="W20" i="13"/>
  <c r="V21" i="13"/>
  <c r="W21" i="13"/>
  <c r="V22" i="13"/>
  <c r="W22" i="13"/>
  <c r="V23" i="13"/>
  <c r="W23" i="13"/>
  <c r="V24" i="13"/>
  <c r="W24" i="13"/>
  <c r="V25" i="13"/>
  <c r="W25" i="13"/>
  <c r="V26" i="13"/>
  <c r="W26" i="13"/>
  <c r="V27" i="13"/>
  <c r="W27" i="13"/>
  <c r="V28" i="13"/>
  <c r="W28" i="13"/>
  <c r="V29" i="13"/>
  <c r="W29" i="13"/>
  <c r="V30" i="13"/>
  <c r="W30" i="13"/>
  <c r="V31" i="13"/>
  <c r="W31" i="13"/>
  <c r="V32" i="13"/>
  <c r="W32" i="13"/>
  <c r="V33" i="13"/>
  <c r="W33" i="13"/>
  <c r="V34" i="13"/>
  <c r="W34" i="13"/>
  <c r="W5" i="13"/>
  <c r="V5" i="13"/>
  <c r="DI5" i="13"/>
  <c r="M180" i="5" l="1"/>
  <c r="I50" i="12"/>
  <c r="I49" i="12"/>
  <c r="I48" i="12"/>
  <c r="I44" i="12"/>
  <c r="I43" i="12"/>
  <c r="I42" i="12"/>
  <c r="AK5" i="13"/>
  <c r="DD5" i="13"/>
  <c r="AI5" i="13"/>
  <c r="BU5" i="13"/>
  <c r="DH5" i="13"/>
  <c r="CH5" i="13"/>
  <c r="CZ5" i="13"/>
  <c r="AG5" i="13"/>
  <c r="AW5" i="13"/>
  <c r="DA5" i="13"/>
  <c r="CL5" i="13"/>
  <c r="DB5" i="13"/>
  <c r="BA5" i="13"/>
  <c r="DG5" i="13"/>
  <c r="AO5" i="13"/>
  <c r="CN5" i="13"/>
  <c r="DF5" i="13"/>
  <c r="BM5" i="13"/>
  <c r="BO5" i="13"/>
  <c r="BQ5" i="13"/>
  <c r="CX5" i="13"/>
  <c r="AU5" i="13"/>
  <c r="CY5" i="13"/>
  <c r="DC5" i="13"/>
  <c r="AY5" i="13"/>
  <c r="DE5" i="13"/>
  <c r="CJ5" i="13"/>
  <c r="AQ5" i="13"/>
  <c r="BK5" i="13"/>
  <c r="BG5" i="13"/>
  <c r="BS5" i="13"/>
  <c r="AC5" i="13"/>
  <c r="BI5" i="13"/>
  <c r="AM5" i="13"/>
  <c r="CP5" i="13"/>
  <c r="CC5" i="13"/>
  <c r="CV5" i="13"/>
  <c r="BE5" i="13"/>
  <c r="CW5" i="13"/>
  <c r="AA5" i="13"/>
  <c r="CT5" i="13"/>
  <c r="CA5" i="13"/>
  <c r="CU5" i="13"/>
  <c r="DJ5" i="13"/>
  <c r="AE5" i="13"/>
  <c r="BC5" i="13"/>
  <c r="AS5" i="13"/>
  <c r="BY5" i="13"/>
  <c r="BW5" i="13"/>
  <c r="CR5" i="13"/>
  <c r="I41" i="14" l="1"/>
  <c r="I40" i="14"/>
  <c r="I40" i="4"/>
  <c r="H37" i="14"/>
  <c r="I37" i="14" s="1"/>
  <c r="BD5" i="13"/>
  <c r="E32" i="12" l="1"/>
  <c r="A2" i="12" l="1"/>
  <c r="A5" i="75"/>
  <c r="B3" i="76"/>
  <c r="D2" i="13"/>
  <c r="A2" i="3"/>
  <c r="E16" i="12" l="1"/>
  <c r="I36" i="12" l="1"/>
  <c r="G36" i="12"/>
  <c r="E36" i="12"/>
  <c r="I35" i="12"/>
  <c r="G35" i="12"/>
  <c r="E35" i="12"/>
  <c r="I33" i="12"/>
  <c r="G33" i="12"/>
  <c r="E33" i="12"/>
  <c r="I31" i="12"/>
  <c r="G31" i="12"/>
  <c r="E31" i="12"/>
  <c r="I30" i="12"/>
  <c r="G30" i="12"/>
  <c r="I28" i="12"/>
  <c r="G28" i="12"/>
  <c r="E28" i="12"/>
  <c r="I27" i="12"/>
  <c r="G27" i="12"/>
  <c r="E27" i="12"/>
  <c r="I26" i="12"/>
  <c r="G26" i="12"/>
  <c r="I25" i="12"/>
  <c r="G25" i="12"/>
  <c r="E25" i="12"/>
  <c r="I24" i="12"/>
  <c r="G24" i="12"/>
  <c r="E24" i="12"/>
  <c r="I23" i="12"/>
  <c r="G23" i="12"/>
  <c r="E23" i="12"/>
  <c r="I21" i="12"/>
  <c r="G21" i="12"/>
  <c r="E21" i="12"/>
  <c r="I20" i="12"/>
  <c r="G20" i="12"/>
  <c r="E20" i="12"/>
  <c r="I19" i="12"/>
  <c r="G19" i="12"/>
  <c r="E19" i="12"/>
  <c r="I17" i="12"/>
  <c r="G17" i="12"/>
  <c r="E17" i="12"/>
  <c r="I16" i="12"/>
  <c r="G16" i="12"/>
  <c r="I14" i="12"/>
  <c r="G14" i="12"/>
  <c r="E14" i="12"/>
  <c r="I13" i="12"/>
  <c r="G13" i="12"/>
  <c r="E13" i="12"/>
  <c r="I12" i="12"/>
  <c r="G12" i="12"/>
  <c r="E12" i="12"/>
  <c r="I11" i="12"/>
  <c r="G11" i="12"/>
  <c r="E11" i="12"/>
  <c r="I10" i="12"/>
  <c r="I15" i="12" s="1"/>
  <c r="G10" i="12"/>
  <c r="G15" i="12" s="1"/>
  <c r="G18" i="12" s="1"/>
  <c r="G22" i="12" s="1"/>
  <c r="G29" i="12" s="1"/>
  <c r="G34" i="12" s="1"/>
  <c r="G37" i="12" s="1"/>
  <c r="E10" i="12"/>
  <c r="I18" i="12" l="1"/>
  <c r="I22" i="12" s="1"/>
  <c r="I29" i="12" s="1"/>
  <c r="I34" i="12" s="1"/>
  <c r="I37" i="12" s="1"/>
  <c r="E15" i="12"/>
  <c r="E18" i="12" s="1"/>
  <c r="E22" i="12" s="1"/>
  <c r="A26" i="13"/>
  <c r="A27" i="13"/>
  <c r="A28" i="13"/>
  <c r="A29" i="13"/>
  <c r="A30" i="13"/>
  <c r="A31" i="13"/>
  <c r="A32" i="13"/>
  <c r="A33" i="13"/>
  <c r="A34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E26" i="12" l="1"/>
  <c r="E29" i="12" s="1"/>
  <c r="E30" i="12"/>
  <c r="A32" i="75"/>
  <c r="C27" i="75"/>
  <c r="C26" i="75"/>
  <c r="B21" i="75"/>
  <c r="E34" i="12" l="1"/>
  <c r="E37" i="12" s="1"/>
  <c r="C44" i="75"/>
  <c r="C23" i="75"/>
  <c r="B14" i="75"/>
  <c r="B10" i="75"/>
  <c r="U5" i="13" l="1"/>
  <c r="U6" i="13"/>
  <c r="U8" i="13"/>
  <c r="U10" i="13"/>
  <c r="U12" i="13"/>
  <c r="U14" i="13"/>
  <c r="U16" i="13"/>
  <c r="U18" i="13"/>
  <c r="U20" i="13"/>
  <c r="U22" i="13"/>
  <c r="U24" i="13"/>
  <c r="U26" i="13"/>
  <c r="U28" i="13"/>
  <c r="U30" i="13"/>
  <c r="U32" i="13"/>
  <c r="U34" i="13"/>
  <c r="U7" i="13"/>
  <c r="U9" i="13"/>
  <c r="U11" i="13"/>
  <c r="U13" i="13"/>
  <c r="U15" i="13"/>
  <c r="U17" i="13"/>
  <c r="U19" i="13"/>
  <c r="U21" i="13"/>
  <c r="U23" i="13"/>
  <c r="U25" i="13"/>
  <c r="U27" i="13"/>
  <c r="U29" i="13"/>
  <c r="U31" i="13"/>
  <c r="U33" i="13"/>
  <c r="I74" i="14"/>
  <c r="I74" i="4"/>
  <c r="G56" i="14"/>
  <c r="G56" i="4"/>
  <c r="G55" i="14"/>
  <c r="G55" i="4"/>
  <c r="G54" i="14"/>
  <c r="G54" i="4"/>
  <c r="G53" i="14"/>
  <c r="G53" i="4"/>
  <c r="G52" i="14"/>
  <c r="G52" i="4"/>
  <c r="G51" i="14"/>
  <c r="G51" i="4"/>
  <c r="G50" i="14"/>
  <c r="G49" i="14"/>
  <c r="G49" i="4"/>
  <c r="G48" i="14"/>
  <c r="G48" i="4"/>
  <c r="G47" i="14"/>
  <c r="G47" i="4"/>
  <c r="G43" i="14"/>
  <c r="G43" i="4"/>
  <c r="G42" i="14"/>
  <c r="G42" i="4"/>
  <c r="G41" i="14"/>
  <c r="G41" i="4"/>
  <c r="I41" i="4" s="1"/>
  <c r="G40" i="14"/>
  <c r="G39" i="14"/>
  <c r="G38" i="14"/>
  <c r="G37" i="14"/>
  <c r="G36" i="14"/>
  <c r="BF5" i="13"/>
  <c r="E102" i="14" l="1"/>
  <c r="E101" i="14"/>
  <c r="E100" i="14"/>
  <c r="E99" i="14"/>
  <c r="E98" i="14"/>
  <c r="E97" i="14"/>
  <c r="E96" i="14"/>
  <c r="E95" i="14"/>
  <c r="E94" i="14"/>
  <c r="E93" i="14"/>
  <c r="E92" i="14"/>
  <c r="E91" i="14"/>
  <c r="A84" i="14"/>
  <c r="M14" i="14"/>
  <c r="D2" i="14"/>
  <c r="F84" i="14" l="1"/>
  <c r="H56" i="14"/>
  <c r="I56" i="14" s="1"/>
  <c r="H55" i="14"/>
  <c r="I55" i="14" s="1"/>
  <c r="H54" i="14"/>
  <c r="I54" i="14" s="1"/>
  <c r="H53" i="14"/>
  <c r="I53" i="14" s="1"/>
  <c r="H52" i="14"/>
  <c r="I52" i="14" s="1"/>
  <c r="H51" i="14"/>
  <c r="I51" i="14" s="1"/>
  <c r="H50" i="14"/>
  <c r="I50" i="14" s="1"/>
  <c r="H49" i="14"/>
  <c r="I49" i="14" s="1"/>
  <c r="H48" i="14"/>
  <c r="I48" i="14" s="1"/>
  <c r="H47" i="14"/>
  <c r="I47" i="14" s="1"/>
  <c r="H43" i="14"/>
  <c r="I43" i="14" s="1"/>
  <c r="H42" i="14"/>
  <c r="I42" i="14" s="1"/>
  <c r="H39" i="14"/>
  <c r="I39" i="14" s="1"/>
  <c r="H38" i="14"/>
  <c r="I38" i="14" s="1"/>
  <c r="H36" i="14"/>
  <c r="I36" i="14" s="1"/>
  <c r="H32" i="14"/>
  <c r="D32" i="14"/>
  <c r="G31" i="14"/>
  <c r="A31" i="14"/>
  <c r="H30" i="14"/>
  <c r="D30" i="14"/>
  <c r="G29" i="14"/>
  <c r="A29" i="14"/>
  <c r="H28" i="14"/>
  <c r="D28" i="14"/>
  <c r="G27" i="14"/>
  <c r="A27" i="14"/>
  <c r="H26" i="14"/>
  <c r="D26" i="14"/>
  <c r="G25" i="14"/>
  <c r="A25" i="14"/>
  <c r="H24" i="14"/>
  <c r="G23" i="14"/>
  <c r="I23" i="14" s="1"/>
  <c r="H22" i="14"/>
  <c r="D22" i="14"/>
  <c r="A56" i="14"/>
  <c r="A55" i="14"/>
  <c r="A54" i="14"/>
  <c r="A53" i="14"/>
  <c r="A52" i="14"/>
  <c r="A51" i="14"/>
  <c r="A50" i="14"/>
  <c r="A49" i="14"/>
  <c r="A48" i="14"/>
  <c r="A47" i="14"/>
  <c r="A43" i="14"/>
  <c r="A42" i="14"/>
  <c r="A39" i="14"/>
  <c r="A38" i="14"/>
  <c r="A37" i="14"/>
  <c r="A36" i="14"/>
  <c r="G32" i="14"/>
  <c r="I32" i="14" s="1"/>
  <c r="A32" i="14"/>
  <c r="H31" i="14"/>
  <c r="D31" i="14"/>
  <c r="G30" i="14"/>
  <c r="I30" i="14" s="1"/>
  <c r="A30" i="14"/>
  <c r="H29" i="14"/>
  <c r="D29" i="14"/>
  <c r="G28" i="14"/>
  <c r="I28" i="14" s="1"/>
  <c r="A28" i="14"/>
  <c r="H27" i="14"/>
  <c r="D27" i="14"/>
  <c r="G26" i="14"/>
  <c r="I26" i="14" s="1"/>
  <c r="A26" i="14"/>
  <c r="H25" i="14"/>
  <c r="D25" i="14"/>
  <c r="G24" i="14"/>
  <c r="I24" i="14" s="1"/>
  <c r="G22" i="14"/>
  <c r="A22" i="14"/>
  <c r="E8" i="14"/>
  <c r="B6" i="14"/>
  <c r="B5" i="14"/>
  <c r="B4" i="14"/>
  <c r="E9" i="14"/>
  <c r="H6" i="14"/>
  <c r="I22" i="14" l="1"/>
  <c r="I25" i="14"/>
  <c r="I27" i="14"/>
  <c r="I29" i="14"/>
  <c r="I31" i="14"/>
  <c r="I44" i="14"/>
  <c r="I57" i="14"/>
  <c r="D4" i="12"/>
  <c r="I33" i="14" l="1"/>
  <c r="A95" i="14"/>
  <c r="A99" i="14"/>
  <c r="A96" i="14"/>
  <c r="A100" i="14"/>
  <c r="A97" i="14"/>
  <c r="A101" i="14"/>
  <c r="A98" i="14"/>
  <c r="A102" i="14"/>
  <c r="D97" i="14"/>
  <c r="D96" i="14"/>
  <c r="D95" i="14"/>
  <c r="D102" i="14"/>
  <c r="D98" i="14"/>
  <c r="D101" i="14"/>
  <c r="D100" i="14"/>
  <c r="D99" i="14"/>
  <c r="T31" i="13" l="1"/>
  <c r="S31" i="13"/>
  <c r="E90" i="14"/>
  <c r="E89" i="14"/>
  <c r="E88" i="14"/>
  <c r="A84" i="4"/>
  <c r="E102" i="4"/>
  <c r="E101" i="4"/>
  <c r="G511" i="5"/>
  <c r="H511" i="5"/>
  <c r="I511" i="5"/>
  <c r="J511" i="5"/>
  <c r="H512" i="5"/>
  <c r="J512" i="5"/>
  <c r="G513" i="5"/>
  <c r="H513" i="5"/>
  <c r="I513" i="5"/>
  <c r="J513" i="5"/>
  <c r="G514" i="5"/>
  <c r="H514" i="5"/>
  <c r="I514" i="5"/>
  <c r="J514" i="5"/>
  <c r="T23" i="13" l="1"/>
  <c r="S23" i="13"/>
  <c r="T26" i="13"/>
  <c r="S26" i="13"/>
  <c r="T29" i="13"/>
  <c r="S29" i="13"/>
  <c r="T22" i="13"/>
  <c r="S22" i="13"/>
  <c r="T25" i="13"/>
  <c r="S25" i="13"/>
  <c r="T30" i="13"/>
  <c r="S30" i="13"/>
  <c r="T33" i="13"/>
  <c r="S33" i="13"/>
  <c r="T21" i="13"/>
  <c r="S21" i="13"/>
  <c r="T24" i="13"/>
  <c r="S24" i="13"/>
  <c r="T27" i="13"/>
  <c r="S27" i="13"/>
  <c r="T34" i="13"/>
  <c r="S34" i="13"/>
  <c r="T20" i="13"/>
  <c r="S20" i="13"/>
  <c r="T28" i="13"/>
  <c r="S28" i="13"/>
  <c r="T32" i="13"/>
  <c r="S32" i="13"/>
  <c r="S12" i="13"/>
  <c r="E103" i="14"/>
  <c r="I14" i="14" s="1"/>
  <c r="I512" i="5"/>
  <c r="G512" i="5"/>
  <c r="K511" i="5"/>
  <c r="G532" i="5"/>
  <c r="I532" i="5"/>
  <c r="F532" i="5"/>
  <c r="H532" i="5"/>
  <c r="J532" i="5"/>
  <c r="F533" i="5"/>
  <c r="H533" i="5"/>
  <c r="J533" i="5"/>
  <c r="G533" i="5"/>
  <c r="I533" i="5"/>
  <c r="F534" i="5"/>
  <c r="H534" i="5"/>
  <c r="J534" i="5"/>
  <c r="G534" i="5"/>
  <c r="I534" i="5"/>
  <c r="F530" i="5"/>
  <c r="H530" i="5"/>
  <c r="J530" i="5"/>
  <c r="G530" i="5"/>
  <c r="I530" i="5"/>
  <c r="F528" i="5"/>
  <c r="H528" i="5"/>
  <c r="J528" i="5"/>
  <c r="G528" i="5"/>
  <c r="I528" i="5"/>
  <c r="G531" i="5"/>
  <c r="I531" i="5"/>
  <c r="F531" i="5"/>
  <c r="H531" i="5"/>
  <c r="J531" i="5"/>
  <c r="G529" i="5"/>
  <c r="I529" i="5"/>
  <c r="F529" i="5"/>
  <c r="H529" i="5"/>
  <c r="J529" i="5"/>
  <c r="G527" i="5"/>
  <c r="I527" i="5"/>
  <c r="F527" i="5"/>
  <c r="H527" i="5"/>
  <c r="J527" i="5"/>
  <c r="K514" i="5"/>
  <c r="K513" i="5"/>
  <c r="J517" i="5"/>
  <c r="I517" i="5"/>
  <c r="H517" i="5"/>
  <c r="G517" i="5"/>
  <c r="F517" i="5"/>
  <c r="J507" i="5"/>
  <c r="J508" i="5"/>
  <c r="J509" i="5"/>
  <c r="J510" i="5"/>
  <c r="I507" i="5"/>
  <c r="I508" i="5"/>
  <c r="I509" i="5"/>
  <c r="I510" i="5"/>
  <c r="H507" i="5"/>
  <c r="H509" i="5"/>
  <c r="H510" i="5"/>
  <c r="G507" i="5"/>
  <c r="G508" i="5"/>
  <c r="G509" i="5"/>
  <c r="G510" i="5"/>
  <c r="C526" i="5"/>
  <c r="C500" i="5"/>
  <c r="I500" i="5" s="1"/>
  <c r="I2" i="5"/>
  <c r="D2" i="5"/>
  <c r="D1" i="5"/>
  <c r="M14" i="4"/>
  <c r="H5" i="4"/>
  <c r="H37" i="4" s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5" i="1"/>
  <c r="K508" i="5" l="1"/>
  <c r="K512" i="5"/>
  <c r="K534" i="5"/>
  <c r="K532" i="5"/>
  <c r="T12" i="13"/>
  <c r="T16" i="13"/>
  <c r="S16" i="13"/>
  <c r="T19" i="13"/>
  <c r="S19" i="13"/>
  <c r="T15" i="13"/>
  <c r="S15" i="13"/>
  <c r="T18" i="13"/>
  <c r="S18" i="13"/>
  <c r="T13" i="13"/>
  <c r="S13" i="13"/>
  <c r="T17" i="13"/>
  <c r="S17" i="13"/>
  <c r="T14" i="13"/>
  <c r="S14" i="13"/>
  <c r="I11" i="14"/>
  <c r="L14" i="14"/>
  <c r="F16" i="14" s="1"/>
  <c r="F84" i="4"/>
  <c r="I76" i="14"/>
  <c r="K531" i="5"/>
  <c r="F11" i="14"/>
  <c r="K510" i="5"/>
  <c r="K530" i="5"/>
  <c r="K533" i="5"/>
  <c r="I13" i="14"/>
  <c r="F13" i="14" s="1"/>
  <c r="I12" i="14"/>
  <c r="E9" i="4"/>
  <c r="H56" i="4"/>
  <c r="I56" i="4" s="1"/>
  <c r="H55" i="4"/>
  <c r="I55" i="4" s="1"/>
  <c r="H54" i="4"/>
  <c r="I54" i="4" s="1"/>
  <c r="H53" i="4"/>
  <c r="I53" i="4" s="1"/>
  <c r="H52" i="4"/>
  <c r="I52" i="4" s="1"/>
  <c r="H51" i="4"/>
  <c r="I51" i="4" s="1"/>
  <c r="H50" i="4"/>
  <c r="I50" i="4" s="1"/>
  <c r="H49" i="4"/>
  <c r="I49" i="4" s="1"/>
  <c r="H48" i="4"/>
  <c r="I48" i="4" s="1"/>
  <c r="H47" i="4"/>
  <c r="I47" i="4" s="1"/>
  <c r="H43" i="4"/>
  <c r="I43" i="4" s="1"/>
  <c r="H42" i="4"/>
  <c r="I42" i="4" s="1"/>
  <c r="H36" i="4"/>
  <c r="H32" i="4"/>
  <c r="D32" i="4"/>
  <c r="H31" i="4"/>
  <c r="D31" i="4"/>
  <c r="H30" i="4"/>
  <c r="D30" i="4"/>
  <c r="H29" i="4"/>
  <c r="D29" i="4"/>
  <c r="H28" i="4"/>
  <c r="D28" i="4"/>
  <c r="G27" i="4"/>
  <c r="H26" i="4"/>
  <c r="D26" i="4"/>
  <c r="G25" i="4"/>
  <c r="H24" i="4"/>
  <c r="H22" i="4"/>
  <c r="D22" i="4"/>
  <c r="A27" i="4"/>
  <c r="A25" i="4"/>
  <c r="A56" i="4"/>
  <c r="A55" i="4"/>
  <c r="A54" i="4"/>
  <c r="A53" i="4"/>
  <c r="A52" i="4"/>
  <c r="A51" i="4"/>
  <c r="A50" i="4"/>
  <c r="A49" i="4"/>
  <c r="A48" i="4"/>
  <c r="A47" i="4"/>
  <c r="A43" i="4"/>
  <c r="A42" i="4"/>
  <c r="A39" i="4"/>
  <c r="A38" i="4"/>
  <c r="A37" i="4"/>
  <c r="A36" i="4"/>
  <c r="G32" i="4"/>
  <c r="A32" i="4"/>
  <c r="G31" i="4"/>
  <c r="A31" i="4"/>
  <c r="G30" i="4"/>
  <c r="A30" i="4"/>
  <c r="G29" i="4"/>
  <c r="A29" i="4"/>
  <c r="G28" i="4"/>
  <c r="H27" i="4"/>
  <c r="D27" i="4"/>
  <c r="G26" i="4"/>
  <c r="H25" i="4"/>
  <c r="D25" i="4"/>
  <c r="G24" i="4"/>
  <c r="A28" i="4"/>
  <c r="A26" i="4"/>
  <c r="A22" i="4"/>
  <c r="B4" i="4"/>
  <c r="B6" i="4"/>
  <c r="H6" i="4"/>
  <c r="B5" i="4"/>
  <c r="K527" i="5"/>
  <c r="K529" i="5"/>
  <c r="J505" i="5"/>
  <c r="C525" i="5"/>
  <c r="C523" i="5"/>
  <c r="J501" i="5"/>
  <c r="C521" i="5"/>
  <c r="H506" i="5"/>
  <c r="C524" i="5"/>
  <c r="H502" i="5"/>
  <c r="C522" i="5"/>
  <c r="K528" i="5"/>
  <c r="G505" i="5"/>
  <c r="G501" i="5"/>
  <c r="I505" i="5"/>
  <c r="I501" i="5"/>
  <c r="F500" i="5"/>
  <c r="G503" i="5"/>
  <c r="E36" i="4" s="1"/>
  <c r="H500" i="5"/>
  <c r="I503" i="5"/>
  <c r="I506" i="5"/>
  <c r="G506" i="5"/>
  <c r="J506" i="5"/>
  <c r="I504" i="5"/>
  <c r="G504" i="5"/>
  <c r="J504" i="5"/>
  <c r="I502" i="5"/>
  <c r="G502" i="5"/>
  <c r="J502" i="5"/>
  <c r="H504" i="5"/>
  <c r="J500" i="5"/>
  <c r="C520" i="5"/>
  <c r="K509" i="5"/>
  <c r="K507" i="5"/>
  <c r="E40" i="4"/>
  <c r="G40" i="4" s="1"/>
  <c r="G500" i="5"/>
  <c r="E37" i="4" s="1"/>
  <c r="H505" i="5"/>
  <c r="H503" i="5"/>
  <c r="H501" i="5"/>
  <c r="K517" i="5"/>
  <c r="I24" i="4" l="1"/>
  <c r="I28" i="4"/>
  <c r="I29" i="4"/>
  <c r="I30" i="4"/>
  <c r="I31" i="4"/>
  <c r="I32" i="4"/>
  <c r="I26" i="4"/>
  <c r="I515" i="5"/>
  <c r="G515" i="5"/>
  <c r="T11" i="13"/>
  <c r="S11" i="13"/>
  <c r="T9" i="13"/>
  <c r="S9" i="13"/>
  <c r="T7" i="13"/>
  <c r="S7" i="13"/>
  <c r="T8" i="13"/>
  <c r="S8" i="13"/>
  <c r="I25" i="4"/>
  <c r="L11" i="14"/>
  <c r="L13" i="14"/>
  <c r="L12" i="14"/>
  <c r="I27" i="4"/>
  <c r="G13" i="14"/>
  <c r="I57" i="4"/>
  <c r="F12" i="14"/>
  <c r="F14" i="14"/>
  <c r="A102" i="4"/>
  <c r="A101" i="4"/>
  <c r="A100" i="4"/>
  <c r="A99" i="4"/>
  <c r="A98" i="4"/>
  <c r="A97" i="4"/>
  <c r="A96" i="4"/>
  <c r="A95" i="4"/>
  <c r="J515" i="5"/>
  <c r="K502" i="5"/>
  <c r="F522" i="5"/>
  <c r="H522" i="5"/>
  <c r="J522" i="5"/>
  <c r="G522" i="5"/>
  <c r="I522" i="5"/>
  <c r="F524" i="5"/>
  <c r="H524" i="5"/>
  <c r="J524" i="5"/>
  <c r="G524" i="5"/>
  <c r="I524" i="5"/>
  <c r="F526" i="5"/>
  <c r="H526" i="5"/>
  <c r="J526" i="5"/>
  <c r="G526" i="5"/>
  <c r="I526" i="5"/>
  <c r="G521" i="5"/>
  <c r="I521" i="5"/>
  <c r="F521" i="5"/>
  <c r="H521" i="5"/>
  <c r="J521" i="5"/>
  <c r="G523" i="5"/>
  <c r="I523" i="5"/>
  <c r="F523" i="5"/>
  <c r="H523" i="5"/>
  <c r="J523" i="5"/>
  <c r="G525" i="5"/>
  <c r="I525" i="5"/>
  <c r="F525" i="5"/>
  <c r="H525" i="5"/>
  <c r="J525" i="5"/>
  <c r="F520" i="5"/>
  <c r="H520" i="5"/>
  <c r="J520" i="5"/>
  <c r="G520" i="5"/>
  <c r="I520" i="5"/>
  <c r="H515" i="5"/>
  <c r="F515" i="5"/>
  <c r="K506" i="5"/>
  <c r="K504" i="5"/>
  <c r="K503" i="5"/>
  <c r="K500" i="5"/>
  <c r="K501" i="5"/>
  <c r="K505" i="5"/>
  <c r="E22" i="4" s="1"/>
  <c r="D102" i="4"/>
  <c r="D101" i="4"/>
  <c r="G22" i="4" l="1"/>
  <c r="I22" i="4" s="1"/>
  <c r="E23" i="4"/>
  <c r="G23" i="4" s="1"/>
  <c r="I23" i="4" s="1"/>
  <c r="E39" i="4"/>
  <c r="G39" i="4" s="1"/>
  <c r="I39" i="4" s="1"/>
  <c r="E100" i="4"/>
  <c r="E99" i="4"/>
  <c r="E98" i="4"/>
  <c r="E97" i="4"/>
  <c r="E96" i="4"/>
  <c r="E95" i="4"/>
  <c r="G36" i="4"/>
  <c r="I36" i="4" s="1"/>
  <c r="T10" i="13"/>
  <c r="S10" i="13"/>
  <c r="T6" i="13"/>
  <c r="S6" i="13"/>
  <c r="G12" i="14"/>
  <c r="G11" i="14"/>
  <c r="H11" i="14"/>
  <c r="K525" i="5"/>
  <c r="K521" i="5"/>
  <c r="K524" i="5"/>
  <c r="K520" i="5"/>
  <c r="K523" i="5"/>
  <c r="K526" i="5"/>
  <c r="K522" i="5"/>
  <c r="F535" i="5"/>
  <c r="J535" i="5"/>
  <c r="I535" i="5"/>
  <c r="K515" i="5"/>
  <c r="CU5" i="1" s="1"/>
  <c r="H535" i="5"/>
  <c r="G535" i="5"/>
  <c r="I33" i="4" l="1"/>
  <c r="G38" i="4"/>
  <c r="I38" i="4" s="1"/>
  <c r="G37" i="4"/>
  <c r="I37" i="4" s="1"/>
  <c r="K535" i="5"/>
  <c r="I44" i="4" l="1"/>
  <c r="C49" i="12"/>
  <c r="G50" i="12"/>
  <c r="H48" i="12"/>
  <c r="E49" i="12"/>
  <c r="D49" i="12"/>
  <c r="B49" i="12"/>
  <c r="G49" i="12"/>
  <c r="D48" i="12"/>
  <c r="F49" i="12"/>
  <c r="B50" i="12"/>
  <c r="C50" i="12"/>
  <c r="H49" i="12"/>
  <c r="E50" i="12"/>
  <c r="E48" i="12"/>
  <c r="C48" i="12"/>
  <c r="G48" i="12"/>
  <c r="H50" i="12"/>
  <c r="D50" i="12"/>
  <c r="F50" i="12"/>
  <c r="F48" i="12"/>
  <c r="B48" i="12"/>
  <c r="H42" i="12"/>
  <c r="C44" i="12"/>
  <c r="F44" i="12"/>
  <c r="B43" i="12"/>
  <c r="D44" i="12"/>
  <c r="C43" i="12"/>
  <c r="E44" i="12"/>
  <c r="G43" i="12"/>
  <c r="D43" i="12"/>
  <c r="H43" i="12"/>
  <c r="B42" i="12"/>
  <c r="E43" i="12"/>
  <c r="G42" i="12"/>
  <c r="D42" i="12"/>
  <c r="F43" i="12"/>
  <c r="E42" i="12"/>
  <c r="H44" i="12"/>
  <c r="F42" i="12"/>
  <c r="B44" i="12"/>
  <c r="C42" i="12"/>
  <c r="G44" i="12"/>
  <c r="G16" i="14" l="1"/>
  <c r="G14" i="14"/>
  <c r="A89" i="4" l="1"/>
  <c r="A90" i="4"/>
  <c r="A94" i="4"/>
  <c r="A93" i="4"/>
  <c r="A92" i="4"/>
  <c r="A91" i="4"/>
  <c r="CV5" i="1"/>
  <c r="E84" i="4" s="1"/>
  <c r="E84" i="14"/>
  <c r="I84" i="14" s="1"/>
  <c r="E94" i="4" l="1"/>
  <c r="E91" i="4"/>
  <c r="E92" i="4"/>
  <c r="E88" i="4"/>
  <c r="E93" i="4"/>
  <c r="E89" i="4"/>
  <c r="E90" i="4"/>
  <c r="I84" i="4"/>
  <c r="E103" i="4" l="1"/>
  <c r="I14" i="4" s="1"/>
  <c r="I11" i="4" s="1"/>
  <c r="L14" i="4"/>
  <c r="I13" i="4" l="1"/>
  <c r="F13" i="4" s="1"/>
  <c r="I12" i="4"/>
  <c r="F12" i="4" s="1"/>
  <c r="I76" i="4"/>
  <c r="G79" i="4"/>
  <c r="F11" i="4"/>
  <c r="F16" i="4"/>
  <c r="L12" i="4"/>
  <c r="G16" i="4"/>
  <c r="L11" i="4"/>
  <c r="L13" i="4"/>
  <c r="K36" i="13" l="1"/>
  <c r="G13" i="4"/>
  <c r="G12" i="4"/>
  <c r="G11" i="4"/>
  <c r="H11" i="4"/>
  <c r="F14" i="4"/>
  <c r="AK8" i="13"/>
  <c r="DH12" i="13"/>
  <c r="BM24" i="13"/>
  <c r="BS31" i="13"/>
  <c r="DD33" i="13"/>
  <c r="BI22" i="13"/>
  <c r="AU27" i="13"/>
  <c r="BI13" i="13"/>
  <c r="DE16" i="13"/>
  <c r="AS10" i="13"/>
  <c r="DI12" i="13"/>
  <c r="CU9" i="13"/>
  <c r="CL33" i="13"/>
  <c r="DI31" i="13"/>
  <c r="AA10" i="13"/>
  <c r="BS25" i="13"/>
  <c r="AU16" i="13"/>
  <c r="BQ8" i="13"/>
  <c r="BA18" i="13"/>
  <c r="BQ20" i="13"/>
  <c r="DF14" i="13"/>
  <c r="CR16" i="13"/>
  <c r="CT20" i="13"/>
  <c r="BY11" i="13"/>
  <c r="CZ12" i="13"/>
  <c r="DD24" i="13"/>
  <c r="CU6" i="13"/>
  <c r="CH18" i="13"/>
  <c r="DE20" i="13"/>
  <c r="DB14" i="13"/>
  <c r="AW10" i="13"/>
  <c r="CP22" i="13"/>
  <c r="AG25" i="13"/>
  <c r="CJ23" i="13"/>
  <c r="CA14" i="13"/>
  <c r="CW8" i="13"/>
  <c r="BG22" i="13"/>
  <c r="BE18" i="13"/>
  <c r="AE8" i="13"/>
  <c r="DD28" i="13"/>
  <c r="CA16" i="13"/>
  <c r="BY8" i="13"/>
  <c r="DI10" i="13"/>
  <c r="BO24" i="13"/>
  <c r="AA18" i="13"/>
  <c r="AB14" i="13"/>
  <c r="BK7" i="13"/>
  <c r="AI17" i="13"/>
  <c r="BE14" i="13"/>
  <c r="CA8" i="13"/>
  <c r="CH22" i="13"/>
  <c r="CN16" i="13"/>
  <c r="CA18" i="13"/>
  <c r="CR6" i="13"/>
  <c r="BG6" i="13"/>
  <c r="DE12" i="13"/>
  <c r="DB12" i="13"/>
  <c r="AE24" i="13"/>
  <c r="CP24" i="13"/>
  <c r="CZ18" i="13"/>
  <c r="AY20" i="13"/>
  <c r="DG12" i="13"/>
  <c r="DA18" i="13"/>
  <c r="BY33" i="13"/>
  <c r="CN24" i="13"/>
  <c r="DD20" i="13"/>
  <c r="AO22" i="13"/>
  <c r="CC14" i="13"/>
  <c r="AS16" i="13"/>
  <c r="DD10" i="13"/>
  <c r="DA34" i="13"/>
  <c r="BM33" i="13"/>
  <c r="BE16" i="13"/>
  <c r="AB34" i="13"/>
  <c r="AS20" i="13"/>
  <c r="CU14" i="13"/>
  <c r="DC16" i="13"/>
  <c r="AC8" i="13"/>
  <c r="BF20" i="13"/>
  <c r="AO13" i="13"/>
  <c r="CY23" i="13"/>
  <c r="BC11" i="13"/>
  <c r="AU12" i="13"/>
  <c r="CP8" i="13"/>
  <c r="AE22" i="13"/>
  <c r="CC18" i="13"/>
  <c r="BD18" i="13"/>
  <c r="AI8" i="13"/>
  <c r="AK12" i="13"/>
  <c r="CC24" i="13"/>
  <c r="DB9" i="13"/>
  <c r="CZ6" i="13"/>
  <c r="BO31" i="13"/>
  <c r="BF22" i="13"/>
  <c r="CL10" i="13"/>
  <c r="CZ16" i="13"/>
  <c r="BA8" i="13"/>
  <c r="DC18" i="13"/>
  <c r="BA20" i="13"/>
  <c r="BF14" i="13"/>
  <c r="AB16" i="13"/>
  <c r="AQ10" i="13"/>
  <c r="CP25" i="13"/>
  <c r="BO14" i="13"/>
  <c r="CP10" i="13"/>
  <c r="BQ18" i="13"/>
  <c r="BC20" i="13"/>
  <c r="DC22" i="13"/>
  <c r="BF16" i="13"/>
  <c r="BW9" i="13"/>
  <c r="AI22" i="13"/>
  <c r="DA10" i="13"/>
  <c r="AY24" i="13"/>
  <c r="DC6" i="13"/>
  <c r="CP18" i="13"/>
  <c r="BD20" i="13"/>
  <c r="AU14" i="13"/>
  <c r="CU10" i="13"/>
  <c r="AE18" i="13"/>
  <c r="BY14" i="13"/>
  <c r="AC29" i="13"/>
  <c r="AE12" i="13"/>
  <c r="AX8" i="13"/>
  <c r="BS22" i="13"/>
  <c r="AK16" i="13"/>
  <c r="DB16" i="13"/>
  <c r="AC22" i="13"/>
  <c r="AO14" i="13"/>
  <c r="AU8" i="13"/>
  <c r="CH24" i="13"/>
  <c r="CV18" i="13"/>
  <c r="BK20" i="13"/>
  <c r="BG12" i="13"/>
  <c r="DA7" i="13"/>
  <c r="CP21" i="13"/>
  <c r="AM12" i="13"/>
  <c r="CL24" i="13"/>
  <c r="CR11" i="13"/>
  <c r="BS7" i="13"/>
  <c r="BS33" i="13"/>
  <c r="CN29" i="13"/>
  <c r="CT22" i="13"/>
  <c r="AS34" i="13"/>
  <c r="DJ12" i="13"/>
  <c r="BK24" i="13"/>
  <c r="DF24" i="13"/>
  <c r="AC16" i="13"/>
  <c r="BO20" i="13"/>
  <c r="CL12" i="13"/>
  <c r="AG14" i="13"/>
  <c r="CW6" i="13"/>
  <c r="BO6" i="13"/>
  <c r="CH8" i="13"/>
  <c r="BE22" i="13"/>
  <c r="DA14" i="13"/>
  <c r="BA16" i="13"/>
  <c r="BA10" i="13"/>
  <c r="CR22" i="13"/>
  <c r="CH31" i="13"/>
  <c r="CL25" i="13"/>
  <c r="DE11" i="13"/>
  <c r="BD24" i="13"/>
  <c r="CV20" i="13"/>
  <c r="CL16" i="13"/>
  <c r="BW10" i="13"/>
  <c r="DF20" i="13"/>
  <c r="DD30" i="13"/>
  <c r="AG12" i="13"/>
  <c r="AW24" i="13"/>
  <c r="BK12" i="13"/>
  <c r="DF8" i="13"/>
  <c r="DA22" i="13"/>
  <c r="AS24" i="13"/>
  <c r="BG13" i="13"/>
  <c r="AS8" i="13"/>
  <c r="BQ12" i="13"/>
  <c r="DI24" i="13"/>
  <c r="DC24" i="13"/>
  <c r="DG33" i="13"/>
  <c r="DA20" i="13"/>
  <c r="BE27" i="13"/>
  <c r="CN8" i="13"/>
  <c r="DH16" i="13"/>
  <c r="BI8" i="13"/>
  <c r="AK18" i="13"/>
  <c r="BI20" i="13"/>
  <c r="CP14" i="13"/>
  <c r="CJ16" i="13"/>
  <c r="BW22" i="13"/>
  <c r="AU24" i="13"/>
  <c r="CT14" i="13"/>
  <c r="DE8" i="13"/>
  <c r="BW6" i="13"/>
  <c r="BF18" i="13"/>
  <c r="CW20" i="13"/>
  <c r="BS14" i="13"/>
  <c r="CC9" i="13"/>
  <c r="AB11" i="13"/>
  <c r="CT16" i="13"/>
  <c r="BA31" i="13"/>
  <c r="CU24" i="13"/>
  <c r="DD18" i="13"/>
  <c r="DJ20" i="13"/>
  <c r="CA12" i="13"/>
  <c r="CJ8" i="13"/>
  <c r="AS17" i="13"/>
  <c r="CV25" i="13"/>
  <c r="BU21" i="13"/>
  <c r="CC10" i="13"/>
  <c r="AI24" i="13"/>
  <c r="CY20" i="13"/>
  <c r="DF16" i="13"/>
  <c r="BK22" i="13"/>
  <c r="BC7" i="13"/>
  <c r="AW14" i="13"/>
  <c r="BK8" i="13"/>
  <c r="AC11" i="13"/>
  <c r="BD7" i="13"/>
  <c r="CR33" i="13"/>
  <c r="AM29" i="13"/>
  <c r="AQ6" i="13"/>
  <c r="CZ14" i="13"/>
  <c r="CT12" i="13"/>
  <c r="DB24" i="13"/>
  <c r="BF24" i="13"/>
  <c r="CJ18" i="13"/>
  <c r="AI20" i="13"/>
  <c r="CY12" i="13"/>
  <c r="DJ22" i="13"/>
  <c r="CJ9" i="13"/>
  <c r="AI6" i="13"/>
  <c r="CN20" i="13"/>
  <c r="CW24" i="13"/>
  <c r="AA16" i="13"/>
  <c r="BG18" i="13"/>
  <c r="CV12" i="13"/>
  <c r="AY34" i="13"/>
  <c r="BE31" i="13"/>
  <c r="BC12" i="13"/>
  <c r="CX8" i="13"/>
  <c r="BU22" i="13"/>
  <c r="DI14" i="13"/>
  <c r="BI16" i="13"/>
  <c r="BF10" i="13"/>
  <c r="AM22" i="13"/>
  <c r="BG32" i="13"/>
  <c r="BD16" i="13"/>
  <c r="BS18" i="13"/>
  <c r="CV24" i="13"/>
  <c r="AM20" i="13"/>
  <c r="BU14" i="13"/>
  <c r="CV10" i="13"/>
  <c r="AB10" i="13"/>
  <c r="AB24" i="13"/>
  <c r="BA12" i="13"/>
  <c r="CZ29" i="13"/>
  <c r="CY11" i="13"/>
  <c r="CL14" i="13"/>
  <c r="BU25" i="13"/>
  <c r="CR7" i="13"/>
  <c r="AI18" i="13"/>
  <c r="CA33" i="13"/>
  <c r="CN31" i="13"/>
  <c r="AO31" i="13"/>
  <c r="AQ22" i="13"/>
  <c r="AC14" i="13"/>
  <c r="CA22" i="13"/>
  <c r="DB20" i="13"/>
  <c r="AW21" i="13"/>
  <c r="CH13" i="13"/>
  <c r="DE25" i="13"/>
  <c r="DG10" i="13"/>
  <c r="AY18" i="13"/>
  <c r="DG8" i="13"/>
  <c r="BG16" i="13"/>
  <c r="AA6" i="13"/>
  <c r="BK33" i="13"/>
  <c r="CV8" i="13"/>
  <c r="DC12" i="13"/>
  <c r="AG9" i="13"/>
  <c r="BF33" i="13"/>
  <c r="DJ14" i="13"/>
  <c r="CR20" i="13"/>
  <c r="AS18" i="13"/>
  <c r="AA21" i="13"/>
  <c r="AE20" i="13"/>
  <c r="AE29" i="13"/>
  <c r="AK6" i="13"/>
  <c r="DB22" i="13"/>
  <c r="AU20" i="13"/>
  <c r="BQ11" i="13"/>
  <c r="AM24" i="13"/>
  <c r="BQ24" i="13"/>
  <c r="BY20" i="13"/>
  <c r="CW23" i="13"/>
  <c r="DI13" i="13"/>
  <c r="AB22" i="13"/>
  <c r="DI18" i="13"/>
  <c r="BI24" i="13"/>
  <c r="AE7" i="13"/>
  <c r="AW31" i="13"/>
  <c r="BQ6" i="13"/>
  <c r="DA16" i="13"/>
  <c r="BW14" i="13"/>
  <c r="CP16" i="13"/>
  <c r="CU11" i="13"/>
  <c r="BG9" i="13"/>
  <c r="BM22" i="13"/>
  <c r="CL7" i="13"/>
  <c r="CP33" i="13"/>
  <c r="CC22" i="13"/>
  <c r="BU31" i="13"/>
  <c r="CU20" i="13"/>
  <c r="CR27" i="13"/>
  <c r="DJ15" i="13"/>
  <c r="DI33" i="13"/>
  <c r="AG29" i="13"/>
  <c r="AW33" i="13"/>
  <c r="CY29" i="13"/>
  <c r="CZ31" i="13"/>
  <c r="AY33" i="13"/>
  <c r="AQ25" i="13"/>
  <c r="BQ34" i="13"/>
  <c r="CT31" i="13"/>
  <c r="CR24" i="13"/>
  <c r="CL20" i="13"/>
  <c r="DJ6" i="13"/>
  <c r="BF25" i="13"/>
  <c r="CY16" i="13"/>
  <c r="AB29" i="13"/>
  <c r="CN28" i="13"/>
  <c r="AO16" i="13"/>
  <c r="BI34" i="13"/>
  <c r="AI29" i="13"/>
  <c r="BQ29" i="13"/>
  <c r="AB31" i="13"/>
  <c r="BM10" i="13"/>
  <c r="BQ7" i="13"/>
  <c r="CL18" i="13"/>
  <c r="CJ29" i="13"/>
  <c r="AM7" i="13"/>
  <c r="BK18" i="13"/>
  <c r="CN33" i="13"/>
  <c r="BW31" i="13"/>
  <c r="AX6" i="13"/>
  <c r="AY31" i="13"/>
  <c r="DH11" i="13"/>
  <c r="AC10" i="13"/>
  <c r="AK9" i="13"/>
  <c r="DD21" i="13"/>
  <c r="DG31" i="13"/>
  <c r="DJ9" i="13"/>
  <c r="CP20" i="13"/>
  <c r="BK6" i="13"/>
  <c r="CU21" i="13"/>
  <c r="BM27" i="13"/>
  <c r="BW20" i="13"/>
  <c r="BY13" i="13"/>
  <c r="CZ10" i="13"/>
  <c r="AC23" i="13"/>
  <c r="AG10" i="13"/>
  <c r="AQ18" i="13"/>
  <c r="DB10" i="13"/>
  <c r="AQ16" i="13"/>
  <c r="BU27" i="13"/>
  <c r="BY19" i="13"/>
  <c r="AA17" i="13"/>
  <c r="AY21" i="13"/>
  <c r="AW18" i="13"/>
  <c r="BS16" i="13"/>
  <c r="AQ34" i="13"/>
  <c r="DG23" i="13"/>
  <c r="DJ8" i="13"/>
  <c r="CW18" i="13"/>
  <c r="BO8" i="13"/>
  <c r="BW16" i="13"/>
  <c r="BC14" i="13"/>
  <c r="BY18" i="13"/>
  <c r="AY11" i="13"/>
  <c r="AK31" i="13"/>
  <c r="AS30" i="13"/>
  <c r="AM25" i="13"/>
  <c r="AO15" i="13"/>
  <c r="AB6" i="13"/>
  <c r="DD12" i="13"/>
  <c r="DB21" i="13"/>
  <c r="CY13" i="13"/>
  <c r="CN14" i="13"/>
  <c r="BD30" i="13"/>
  <c r="BC31" i="13"/>
  <c r="DI16" i="13"/>
  <c r="DF18" i="13"/>
  <c r="CY18" i="13"/>
  <c r="CT29" i="13"/>
  <c r="DG27" i="13"/>
  <c r="AK20" i="13"/>
  <c r="BK31" i="13"/>
  <c r="DG24" i="13"/>
  <c r="CR14" i="13"/>
  <c r="AY6" i="13"/>
  <c r="AC12" i="13"/>
  <c r="AC20" i="13"/>
  <c r="BG10" i="13"/>
  <c r="BW13" i="13"/>
  <c r="BI11" i="13"/>
  <c r="BK23" i="13"/>
  <c r="DJ13" i="13"/>
  <c r="BD22" i="13"/>
  <c r="CR18" i="13"/>
  <c r="DJ24" i="13"/>
  <c r="CW27" i="13"/>
  <c r="CC6" i="13"/>
  <c r="BC16" i="13"/>
  <c r="BO22" i="13"/>
  <c r="AI10" i="13"/>
  <c r="CX12" i="13"/>
  <c r="AE10" i="13"/>
  <c r="DG11" i="13"/>
  <c r="AQ31" i="13"/>
  <c r="BQ16" i="13"/>
  <c r="BD6" i="13"/>
  <c r="BI9" i="13"/>
  <c r="AY10" i="13"/>
  <c r="AE14" i="13"/>
  <c r="DI20" i="13"/>
  <c r="CT18" i="13"/>
  <c r="DE14" i="13"/>
  <c r="BC10" i="13"/>
  <c r="DE31" i="13"/>
  <c r="DF33" i="13"/>
  <c r="BS20" i="13"/>
  <c r="CC25" i="13"/>
  <c r="DH34" i="13"/>
  <c r="CW33" i="13"/>
  <c r="DJ29" i="13"/>
  <c r="CX31" i="13"/>
  <c r="DH6" i="13"/>
  <c r="CU33" i="13"/>
  <c r="BF8" i="13"/>
  <c r="DD31" i="13"/>
  <c r="AK11" i="13"/>
  <c r="CR10" i="13"/>
  <c r="AU7" i="13"/>
  <c r="BU10" i="13"/>
  <c r="AO19" i="13"/>
  <c r="CW14" i="13"/>
  <c r="BU12" i="13"/>
  <c r="AW22" i="13"/>
  <c r="CT9" i="13"/>
  <c r="AW9" i="13"/>
  <c r="CY22" i="13"/>
  <c r="AO20" i="13"/>
  <c r="BM9" i="13"/>
  <c r="BY10" i="13"/>
  <c r="CJ19" i="13"/>
  <c r="BO10" i="13"/>
  <c r="AI27" i="13"/>
  <c r="CY14" i="13"/>
  <c r="CC20" i="13"/>
  <c r="BC27" i="13"/>
  <c r="BG20" i="13"/>
  <c r="BI14" i="13"/>
  <c r="BF6" i="13"/>
  <c r="DH22" i="13"/>
  <c r="DH18" i="13"/>
  <c r="CA7" i="13"/>
  <c r="DB25" i="13"/>
  <c r="CX20" i="13"/>
  <c r="CN22" i="13"/>
  <c r="CU22" i="13"/>
  <c r="BA6" i="13"/>
  <c r="DD14" i="13"/>
  <c r="AW25" i="13"/>
  <c r="AA15" i="13"/>
  <c r="CV7" i="13"/>
  <c r="CV13" i="13"/>
  <c r="AO25" i="13"/>
  <c r="DG15" i="13"/>
  <c r="CZ8" i="13"/>
  <c r="CP12" i="13"/>
  <c r="DH21" i="13"/>
  <c r="CX27" i="13"/>
  <c r="BE7" i="13"/>
  <c r="CH28" i="13"/>
  <c r="BI6" i="13"/>
  <c r="BC23" i="13"/>
  <c r="AQ8" i="13"/>
  <c r="CJ14" i="13"/>
  <c r="BA24" i="13"/>
  <c r="AM14" i="13"/>
  <c r="DC34" i="13"/>
  <c r="DG20" i="13"/>
  <c r="BM30" i="13"/>
  <c r="AK21" i="13"/>
  <c r="CV22" i="13"/>
  <c r="CH12" i="13"/>
  <c r="AQ20" i="13"/>
  <c r="DG29" i="13"/>
  <c r="CR13" i="13"/>
  <c r="BF11" i="13"/>
  <c r="BQ22" i="13"/>
  <c r="BI12" i="13"/>
  <c r="CL22" i="13"/>
  <c r="BU20" i="13"/>
  <c r="DI21" i="13"/>
  <c r="AS29" i="13"/>
  <c r="BM28" i="13"/>
  <c r="BS21" i="13"/>
  <c r="BS27" i="13"/>
  <c r="CA23" i="13"/>
  <c r="CA15" i="13"/>
  <c r="AC30" i="13"/>
  <c r="BO12" i="13"/>
  <c r="AE27" i="13"/>
  <c r="DA31" i="13"/>
  <c r="CX29" i="13"/>
  <c r="CV17" i="13"/>
  <c r="CY30" i="13"/>
  <c r="CJ34" i="13"/>
  <c r="AC6" i="13"/>
  <c r="DD8" i="13"/>
  <c r="BE32" i="13"/>
  <c r="BQ21" i="13"/>
  <c r="BV30" i="13"/>
  <c r="BC24" i="13"/>
  <c r="AI14" i="13"/>
  <c r="BI10" i="13"/>
  <c r="DH24" i="13"/>
  <c r="AY9" i="13"/>
  <c r="AG22" i="13"/>
  <c r="AM31" i="13"/>
  <c r="BD14" i="13"/>
  <c r="DE32" i="13"/>
  <c r="CT15" i="13"/>
  <c r="BW29" i="13"/>
  <c r="AT13" i="13"/>
  <c r="CX24" i="13"/>
  <c r="AE32" i="13"/>
  <c r="AG34" i="13"/>
  <c r="BX31" i="13"/>
  <c r="CL26" i="13"/>
  <c r="BD26" i="13"/>
  <c r="CH11" i="13"/>
  <c r="DH14" i="13"/>
  <c r="AG24" i="13"/>
  <c r="CJ22" i="13"/>
  <c r="AK23" i="13"/>
  <c r="CJ33" i="13"/>
  <c r="BM21" i="13"/>
  <c r="CR21" i="13"/>
  <c r="CN27" i="13"/>
  <c r="BZ23" i="13"/>
  <c r="DE24" i="13"/>
  <c r="BV7" i="13"/>
  <c r="AR31" i="13"/>
  <c r="BB31" i="13"/>
  <c r="CJ15" i="13"/>
  <c r="DE10" i="13"/>
  <c r="DI26" i="13"/>
  <c r="DD34" i="13"/>
  <c r="BG11" i="13"/>
  <c r="DG26" i="13"/>
  <c r="CW22" i="13"/>
  <c r="CA24" i="13"/>
  <c r="AH14" i="13"/>
  <c r="DB18" i="13"/>
  <c r="BS32" i="13"/>
  <c r="CC15" i="13"/>
  <c r="BY30" i="13"/>
  <c r="BX18" i="13"/>
  <c r="CR34" i="13"/>
  <c r="AY30" i="13"/>
  <c r="AW16" i="13"/>
  <c r="BF27" i="13"/>
  <c r="AS33" i="13"/>
  <c r="AA9" i="13"/>
  <c r="DI9" i="13"/>
  <c r="AS14" i="13"/>
  <c r="CU17" i="13"/>
  <c r="AC32" i="13"/>
  <c r="CN12" i="13"/>
  <c r="AM8" i="13"/>
  <c r="BM12" i="13"/>
  <c r="CW32" i="13"/>
  <c r="BY7" i="13"/>
  <c r="AL7" i="13"/>
  <c r="AD26" i="13"/>
  <c r="CU29" i="13"/>
  <c r="DC14" i="13"/>
  <c r="DG18" i="13"/>
  <c r="AY26" i="13"/>
  <c r="BF34" i="13"/>
  <c r="CA27" i="13"/>
  <c r="AC31" i="13"/>
  <c r="AO7" i="13"/>
  <c r="BM15" i="13"/>
  <c r="DJ7" i="13"/>
  <c r="CH33" i="13"/>
  <c r="AF29" i="13"/>
  <c r="BT27" i="13"/>
  <c r="BE21" i="13"/>
  <c r="CV15" i="13"/>
  <c r="DG19" i="13"/>
  <c r="AB13" i="13"/>
  <c r="CX17" i="13"/>
  <c r="AS23" i="13"/>
  <c r="BY34" i="13"/>
  <c r="DD16" i="13"/>
  <c r="DE33" i="13"/>
  <c r="BW12" i="13"/>
  <c r="AI13" i="13"/>
  <c r="AO6" i="13"/>
  <c r="BA17" i="13"/>
  <c r="AG20" i="13"/>
  <c r="CC11" i="13"/>
  <c r="CX9" i="13"/>
  <c r="AN14" i="13"/>
  <c r="AC17" i="13"/>
  <c r="CA11" i="13"/>
  <c r="AR23" i="13"/>
  <c r="CA20" i="13"/>
  <c r="AG6" i="13"/>
  <c r="AS25" i="13"/>
  <c r="CU19" i="13"/>
  <c r="AQ15" i="13"/>
  <c r="DJ10" i="13"/>
  <c r="BE9" i="13"/>
  <c r="BE6" i="13"/>
  <c r="BD29" i="13"/>
  <c r="CT17" i="13"/>
  <c r="BP32" i="13"/>
  <c r="DC20" i="13"/>
  <c r="DJ31" i="13"/>
  <c r="DF19" i="13"/>
  <c r="AE34" i="13"/>
  <c r="BK29" i="13"/>
  <c r="CW7" i="13"/>
  <c r="AU29" i="13"/>
  <c r="AS32" i="13"/>
  <c r="AA13" i="13"/>
  <c r="CY8" i="13"/>
  <c r="AO12" i="13"/>
  <c r="DC7" i="13"/>
  <c r="AQ13" i="13"/>
  <c r="AV8" i="13"/>
  <c r="DC30" i="13"/>
  <c r="AE15" i="13"/>
  <c r="BC17" i="13"/>
  <c r="CC19" i="13"/>
  <c r="BV24" i="13"/>
  <c r="AB19" i="13"/>
  <c r="AA34" i="13"/>
  <c r="CH17" i="13"/>
  <c r="CY24" i="13"/>
  <c r="AY28" i="13"/>
  <c r="BY12" i="13"/>
  <c r="DA25" i="13"/>
  <c r="CZ22" i="13"/>
  <c r="AS6" i="13"/>
  <c r="CW31" i="13"/>
  <c r="CW29" i="13"/>
  <c r="BQ17" i="13"/>
  <c r="BL34" i="13"/>
  <c r="DA6" i="13"/>
  <c r="AM17" i="13"/>
  <c r="CT23" i="13"/>
  <c r="AN10" i="13"/>
  <c r="CW28" i="13"/>
  <c r="BE23" i="13"/>
  <c r="CW15" i="13"/>
  <c r="CL21" i="13"/>
  <c r="CL34" i="13"/>
  <c r="AA11" i="13"/>
  <c r="BG31" i="13"/>
  <c r="CA6" i="13"/>
  <c r="AA25" i="13"/>
  <c r="DE34" i="13"/>
  <c r="CX22" i="13"/>
  <c r="BL27" i="13"/>
  <c r="CU12" i="13"/>
  <c r="BS28" i="13"/>
  <c r="AX19" i="13"/>
  <c r="AH23" i="13"/>
  <c r="BU23" i="13"/>
  <c r="BU13" i="13"/>
  <c r="BU16" i="13"/>
  <c r="AB9" i="13"/>
  <c r="DD7" i="13"/>
  <c r="CX16" i="13"/>
  <c r="DH15" i="13"/>
  <c r="BI18" i="13"/>
  <c r="CR23" i="13"/>
  <c r="BY24" i="13"/>
  <c r="CL29" i="13"/>
  <c r="BY23" i="13"/>
  <c r="DE17" i="13"/>
  <c r="AT26" i="13"/>
  <c r="AN21" i="13"/>
  <c r="BR26" i="13"/>
  <c r="DH23" i="13"/>
  <c r="DF34" i="13"/>
  <c r="DF7" i="13"/>
  <c r="BF15" i="13"/>
  <c r="DF11" i="13"/>
  <c r="CJ6" i="13"/>
  <c r="AG13" i="13"/>
  <c r="BM6" i="13"/>
  <c r="DH25" i="13"/>
  <c r="AK22" i="13"/>
  <c r="BO18" i="13"/>
  <c r="AQ33" i="13"/>
  <c r="DG21" i="13"/>
  <c r="AA32" i="13"/>
  <c r="AU11" i="13"/>
  <c r="BP11" i="13"/>
  <c r="AA12" i="13"/>
  <c r="BU18" i="13"/>
  <c r="AB32" i="13"/>
  <c r="DI25" i="13"/>
  <c r="AS7" i="13"/>
  <c r="AS27" i="13"/>
  <c r="AE23" i="13"/>
  <c r="BC29" i="13"/>
  <c r="BS29" i="13"/>
  <c r="CU16" i="13"/>
  <c r="BQ9" i="13"/>
  <c r="X19" i="13"/>
  <c r="BS17" i="13"/>
  <c r="BD25" i="13"/>
  <c r="AV11" i="13"/>
  <c r="BJ18" i="13"/>
  <c r="DF23" i="13"/>
  <c r="BA11" i="13"/>
  <c r="AX7" i="13"/>
  <c r="DH31" i="13"/>
  <c r="BC18" i="13"/>
  <c r="BG27" i="13"/>
  <c r="BC22" i="13"/>
  <c r="DB31" i="13"/>
  <c r="AK19" i="13"/>
  <c r="AO18" i="13"/>
  <c r="BY21" i="13"/>
  <c r="BX6" i="13"/>
  <c r="DG16" i="13"/>
  <c r="BH32" i="13"/>
  <c r="AV22" i="13"/>
  <c r="AN17" i="13"/>
  <c r="BC15" i="13"/>
  <c r="AK10" i="13"/>
  <c r="AD14" i="13"/>
  <c r="AO9" i="13"/>
  <c r="DA15" i="13"/>
  <c r="DG22" i="13"/>
  <c r="CJ24" i="13"/>
  <c r="DC31" i="13"/>
  <c r="AH26" i="13"/>
  <c r="CW11" i="13"/>
  <c r="AE25" i="13"/>
  <c r="CH16" i="13"/>
  <c r="BU26" i="13"/>
  <c r="CP17" i="13"/>
  <c r="BI32" i="13"/>
  <c r="DE6" i="13"/>
  <c r="BQ10" i="13"/>
  <c r="AQ26" i="13"/>
  <c r="CT10" i="13"/>
  <c r="AC33" i="13"/>
  <c r="AK34" i="13"/>
  <c r="BD31" i="13"/>
  <c r="AG16" i="13"/>
  <c r="AK29" i="13"/>
  <c r="BA29" i="13"/>
  <c r="CT7" i="13"/>
  <c r="CJ13" i="13"/>
  <c r="AT8" i="13"/>
  <c r="AM26" i="13"/>
  <c r="BU28" i="13"/>
  <c r="AL14" i="13"/>
  <c r="BI30" i="13"/>
  <c r="CX10" i="13"/>
  <c r="CU18" i="13"/>
  <c r="CA19" i="13"/>
  <c r="DG14" i="13"/>
  <c r="AS9" i="13"/>
  <c r="AM18" i="13"/>
  <c r="DE18" i="13"/>
  <c r="AG18" i="13"/>
  <c r="AF34" i="13"/>
  <c r="CN11" i="13"/>
  <c r="BZ6" i="13"/>
  <c r="BQ31" i="13"/>
  <c r="AC15" i="13"/>
  <c r="AC34" i="13"/>
  <c r="AH22" i="13"/>
  <c r="BF30" i="13"/>
  <c r="CV21" i="13"/>
  <c r="DH27" i="13"/>
  <c r="BU19" i="13"/>
  <c r="BW18" i="13"/>
  <c r="CY10" i="13"/>
  <c r="AO33" i="13"/>
  <c r="AB23" i="13"/>
  <c r="CT8" i="13"/>
  <c r="BJ7" i="13"/>
  <c r="DJ21" i="13"/>
  <c r="CX13" i="13"/>
  <c r="BI33" i="13"/>
  <c r="BN32" i="13"/>
  <c r="AL22" i="13"/>
  <c r="BW28" i="13"/>
  <c r="BO9" i="13"/>
  <c r="AY13" i="13"/>
  <c r="DE22" i="13"/>
  <c r="DF15" i="13"/>
  <c r="AY15" i="13"/>
  <c r="AC25" i="13"/>
  <c r="CX11" i="13"/>
  <c r="CX18" i="13"/>
  <c r="CV33" i="13"/>
  <c r="AB20" i="13"/>
  <c r="CH20" i="13"/>
  <c r="AV20" i="13"/>
  <c r="AE11" i="13"/>
  <c r="BJ6" i="13"/>
  <c r="AG26" i="13"/>
  <c r="AX32" i="13"/>
  <c r="AB27" i="13"/>
  <c r="DJ18" i="13"/>
  <c r="BW21" i="13"/>
  <c r="CV34" i="13"/>
  <c r="BO34" i="13"/>
  <c r="AS31" i="13"/>
  <c r="CY27" i="13"/>
  <c r="AO21" i="13"/>
  <c r="BG8" i="13"/>
  <c r="BA25" i="13"/>
  <c r="BM14" i="13"/>
  <c r="AA19" i="13"/>
  <c r="DG9" i="13"/>
  <c r="CY19" i="13"/>
  <c r="CX32" i="13"/>
  <c r="BW30" i="13"/>
  <c r="AU26" i="13"/>
  <c r="CL31" i="13"/>
  <c r="DI32" i="13"/>
  <c r="CA32" i="13"/>
  <c r="CA31" i="13"/>
  <c r="BG25" i="13"/>
  <c r="CU8" i="13"/>
  <c r="CY25" i="13"/>
  <c r="BI7" i="13"/>
  <c r="DH19" i="13"/>
  <c r="BF32" i="13"/>
  <c r="CN21" i="13"/>
  <c r="AQ9" i="13"/>
  <c r="CC34" i="13"/>
  <c r="BF17" i="13"/>
  <c r="AW30" i="13"/>
  <c r="DB28" i="13"/>
  <c r="AI28" i="13"/>
  <c r="BY22" i="13"/>
  <c r="CV19" i="13"/>
  <c r="BA23" i="13"/>
  <c r="AY22" i="13"/>
  <c r="AU18" i="13"/>
  <c r="AO24" i="13"/>
  <c r="CR8" i="13"/>
  <c r="BG14" i="13"/>
  <c r="AE17" i="13"/>
  <c r="AP7" i="13"/>
  <c r="CX23" i="13"/>
  <c r="DJ17" i="13"/>
  <c r="AC7" i="13"/>
  <c r="BB15" i="13"/>
  <c r="CY31" i="13"/>
  <c r="BA9" i="13"/>
  <c r="CN6" i="13"/>
  <c r="BW25" i="13"/>
  <c r="CP9" i="13"/>
  <c r="CL27" i="13"/>
  <c r="CV16" i="13"/>
  <c r="BE24" i="13"/>
  <c r="DF21" i="13"/>
  <c r="DH13" i="13"/>
  <c r="DG13" i="13"/>
  <c r="DG32" i="13"/>
  <c r="DH32" i="13"/>
  <c r="AP12" i="13"/>
  <c r="BE12" i="13"/>
  <c r="AW11" i="13"/>
  <c r="BK14" i="13"/>
  <c r="BQ32" i="13"/>
  <c r="DE13" i="13"/>
  <c r="AR33" i="13"/>
  <c r="BD10" i="13"/>
  <c r="BD33" i="13"/>
  <c r="AE16" i="13"/>
  <c r="DF25" i="13"/>
  <c r="CZ34" i="13"/>
  <c r="DH29" i="13"/>
  <c r="AY8" i="13"/>
  <c r="BU32" i="13"/>
  <c r="CN10" i="13"/>
  <c r="AL8" i="13"/>
  <c r="X26" i="13"/>
  <c r="AD31" i="13"/>
  <c r="DI29" i="13"/>
  <c r="DF30" i="13"/>
  <c r="AM34" i="13"/>
  <c r="CN34" i="13"/>
  <c r="BY29" i="13"/>
  <c r="BC33" i="13"/>
  <c r="AC24" i="13"/>
  <c r="DF22" i="13"/>
  <c r="AW19" i="13"/>
  <c r="DC13" i="13"/>
  <c r="AF12" i="13"/>
  <c r="AR29" i="13"/>
  <c r="AK17" i="13"/>
  <c r="DE21" i="13"/>
  <c r="AJ11" i="13"/>
  <c r="BW19" i="13"/>
  <c r="AO8" i="13"/>
  <c r="BE30" i="13"/>
  <c r="BE8" i="13"/>
  <c r="DG17" i="13"/>
  <c r="AB21" i="13"/>
  <c r="CN32" i="13"/>
  <c r="BM8" i="13"/>
  <c r="AM10" i="13"/>
  <c r="AS19" i="13"/>
  <c r="DD11" i="13"/>
  <c r="AQ23" i="13"/>
  <c r="DB34" i="13"/>
  <c r="BZ8" i="13"/>
  <c r="AO23" i="13"/>
  <c r="AC21" i="13"/>
  <c r="AP6" i="13"/>
  <c r="BS24" i="13"/>
  <c r="AQ24" i="13"/>
  <c r="BT23" i="13"/>
  <c r="CU13" i="13"/>
  <c r="CP31" i="13"/>
  <c r="BQ27" i="13"/>
  <c r="AY14" i="13"/>
  <c r="AK27" i="13"/>
  <c r="BM16" i="13"/>
  <c r="CT27" i="13"/>
  <c r="AW29" i="13"/>
  <c r="AC13" i="13"/>
  <c r="CW25" i="13"/>
  <c r="CA13" i="13"/>
  <c r="BT22" i="13"/>
  <c r="CP34" i="13"/>
  <c r="CN9" i="13"/>
  <c r="BF29" i="13"/>
  <c r="DI17" i="13"/>
  <c r="BU15" i="13"/>
  <c r="CC8" i="13"/>
  <c r="BA32" i="13"/>
  <c r="BC8" i="13"/>
  <c r="AO10" i="13"/>
  <c r="BA33" i="13"/>
  <c r="CC12" i="13"/>
  <c r="AQ21" i="13"/>
  <c r="CJ10" i="13"/>
  <c r="CC32" i="13"/>
  <c r="BW23" i="13"/>
  <c r="AA26" i="13"/>
  <c r="BE15" i="13"/>
  <c r="CZ20" i="13"/>
  <c r="BE26" i="13"/>
  <c r="CL11" i="13"/>
  <c r="CT19" i="13"/>
  <c r="DJ11" i="13"/>
  <c r="DC10" i="13"/>
  <c r="AE31" i="13"/>
  <c r="DE29" i="13"/>
  <c r="CH19" i="13"/>
  <c r="AA14" i="13"/>
  <c r="BG29" i="13"/>
  <c r="DF13" i="13"/>
  <c r="DB17" i="13"/>
  <c r="DI15" i="13"/>
  <c r="AZ26" i="13"/>
  <c r="BO25" i="13"/>
  <c r="CY7" i="13"/>
  <c r="AB18" i="13"/>
  <c r="AU10" i="13"/>
  <c r="DH33" i="13"/>
  <c r="DD29" i="13"/>
  <c r="BA14" i="13"/>
  <c r="AA33" i="13"/>
  <c r="BW24" i="13"/>
  <c r="CX33" i="13"/>
  <c r="BU7" i="13"/>
  <c r="DD32" i="13"/>
  <c r="AK28" i="13"/>
  <c r="CZ23" i="13"/>
  <c r="BF19" i="13"/>
  <c r="CP26" i="13"/>
  <c r="DA19" i="13"/>
  <c r="AS13" i="13"/>
  <c r="DB29" i="13"/>
  <c r="BA34" i="13"/>
  <c r="CH25" i="13"/>
  <c r="CN18" i="13"/>
  <c r="CY6" i="13"/>
  <c r="DC32" i="13"/>
  <c r="CJ20" i="13"/>
  <c r="DF27" i="13"/>
  <c r="AU22" i="13"/>
  <c r="DB32" i="13"/>
  <c r="DC25" i="13"/>
  <c r="BJ20" i="13"/>
  <c r="AL27" i="13"/>
  <c r="BY31" i="13"/>
  <c r="BV10" i="13"/>
  <c r="X32" i="13"/>
  <c r="DE7" i="13"/>
  <c r="BJ9" i="13"/>
  <c r="AH25" i="13"/>
  <c r="BJ21" i="13"/>
  <c r="BW34" i="13"/>
  <c r="DJ26" i="13"/>
  <c r="AM23" i="13"/>
  <c r="X34" i="13"/>
  <c r="BF31" i="13"/>
  <c r="BZ14" i="13"/>
  <c r="AZ18" i="13"/>
  <c r="AR26" i="13"/>
  <c r="DJ28" i="13"/>
  <c r="BO23" i="13"/>
  <c r="BK28" i="13"/>
  <c r="BN27" i="13"/>
  <c r="CJ12" i="13"/>
  <c r="BB27" i="13"/>
  <c r="BL30" i="13"/>
  <c r="CW9" i="13"/>
  <c r="AU25" i="13"/>
  <c r="DH20" i="13"/>
  <c r="BS19" i="13"/>
  <c r="AN31" i="13"/>
  <c r="DC23" i="13"/>
  <c r="CD23" i="13"/>
  <c r="CD31" i="13"/>
  <c r="DI34" i="13"/>
  <c r="AI25" i="13"/>
  <c r="CY15" i="13"/>
  <c r="BW7" i="13"/>
  <c r="AP31" i="13"/>
  <c r="BP5" i="13"/>
  <c r="AL21" i="13"/>
  <c r="CT25" i="13"/>
  <c r="AM16" i="13"/>
  <c r="AN15" i="13"/>
  <c r="AD12" i="13"/>
  <c r="AN32" i="13"/>
  <c r="CZ9" i="13"/>
  <c r="BJ26" i="13"/>
  <c r="AV24" i="13"/>
  <c r="BV17" i="13"/>
  <c r="DA33" i="13"/>
  <c r="DE27" i="13"/>
  <c r="BB34" i="13"/>
  <c r="DD6" i="13"/>
  <c r="DC17" i="13"/>
  <c r="AX13" i="13"/>
  <c r="BH17" i="13"/>
  <c r="BN23" i="13"/>
  <c r="CV14" i="13"/>
  <c r="CZ19" i="13"/>
  <c r="CV6" i="13"/>
  <c r="BI21" i="13"/>
  <c r="CY17" i="13"/>
  <c r="AL25" i="13"/>
  <c r="AH33" i="13"/>
  <c r="CB13" i="13"/>
  <c r="AM6" i="13"/>
  <c r="AS22" i="13"/>
  <c r="AN19" i="13"/>
  <c r="BA13" i="13"/>
  <c r="AV33" i="13"/>
  <c r="Z26" i="13"/>
  <c r="BB14" i="13"/>
  <c r="BK34" i="13"/>
  <c r="DJ27" i="13"/>
  <c r="DF10" i="13"/>
  <c r="CT28" i="13"/>
  <c r="BO30" i="13"/>
  <c r="CB9" i="13"/>
  <c r="AI7" i="13"/>
  <c r="CB7" i="13"/>
  <c r="BZ25" i="13"/>
  <c r="CA30" i="13"/>
  <c r="AA20" i="13"/>
  <c r="CL32" i="13"/>
  <c r="BM17" i="13"/>
  <c r="DC15" i="13"/>
  <c r="CC7" i="13"/>
  <c r="BB26" i="13"/>
  <c r="BJ17" i="13"/>
  <c r="BK25" i="13"/>
  <c r="CL9" i="13"/>
  <c r="CY28" i="13"/>
  <c r="AN30" i="13"/>
  <c r="AU9" i="13"/>
  <c r="BT33" i="13"/>
  <c r="BX15" i="13"/>
  <c r="BE17" i="13"/>
  <c r="BE13" i="13"/>
  <c r="AB33" i="13"/>
  <c r="BJ34" i="13"/>
  <c r="AV32" i="13"/>
  <c r="AL20" i="13"/>
  <c r="Z20" i="13"/>
  <c r="AF22" i="13"/>
  <c r="AZ24" i="13"/>
  <c r="BQ14" i="13"/>
  <c r="BM18" i="13"/>
  <c r="AQ28" i="13"/>
  <c r="X23" i="13"/>
  <c r="BR34" i="13"/>
  <c r="AT18" i="13"/>
  <c r="AW15" i="13"/>
  <c r="BM7" i="13"/>
  <c r="BN24" i="13"/>
  <c r="AL33" i="13"/>
  <c r="CH29" i="13"/>
  <c r="CZ17" i="13"/>
  <c r="BA7" i="13"/>
  <c r="AT15" i="13"/>
  <c r="AA8" i="13"/>
  <c r="AE6" i="13"/>
  <c r="BZ18" i="13"/>
  <c r="CP27" i="13"/>
  <c r="DB15" i="13"/>
  <c r="BI31" i="13"/>
  <c r="BX29" i="13"/>
  <c r="BH23" i="13"/>
  <c r="DH26" i="13"/>
  <c r="BJ27" i="13"/>
  <c r="X6" i="13"/>
  <c r="BL18" i="13"/>
  <c r="BF9" i="13"/>
  <c r="DB19" i="13"/>
  <c r="CD10" i="13"/>
  <c r="BF23" i="13"/>
  <c r="CJ25" i="13"/>
  <c r="AQ7" i="13"/>
  <c r="BB18" i="13"/>
  <c r="AC9" i="13"/>
  <c r="AT22" i="13"/>
  <c r="CB14" i="13"/>
  <c r="AL6" i="13"/>
  <c r="AM27" i="13"/>
  <c r="CH21" i="13"/>
  <c r="AE33" i="13"/>
  <c r="BH25" i="13"/>
  <c r="AY12" i="13"/>
  <c r="AU6" i="13"/>
  <c r="CB30" i="13"/>
  <c r="AI34" i="13"/>
  <c r="BY16" i="13"/>
  <c r="BS12" i="13"/>
  <c r="BT28" i="13"/>
  <c r="AT12" i="13"/>
  <c r="AZ7" i="13"/>
  <c r="BP13" i="13"/>
  <c r="CD26" i="13"/>
  <c r="AT9" i="13"/>
  <c r="DA24" i="13"/>
  <c r="BY32" i="13"/>
  <c r="DA21" i="13"/>
  <c r="CP30" i="13"/>
  <c r="AA22" i="13"/>
  <c r="CL15" i="13"/>
  <c r="CV32" i="13"/>
  <c r="AJ14" i="13"/>
  <c r="DE23" i="13"/>
  <c r="BI15" i="13"/>
  <c r="BF21" i="13"/>
  <c r="CA26" i="13"/>
  <c r="DA32" i="13"/>
  <c r="BS10" i="13"/>
  <c r="BV12" i="13"/>
  <c r="DG34" i="13"/>
  <c r="AI11" i="13"/>
  <c r="AK25" i="13"/>
  <c r="BG19" i="13"/>
  <c r="AM21" i="13"/>
  <c r="AW20" i="13"/>
  <c r="CX15" i="13"/>
  <c r="CJ21" i="13"/>
  <c r="BJ24" i="13"/>
  <c r="AW7" i="13"/>
  <c r="DD15" i="13"/>
  <c r="BR32" i="13"/>
  <c r="BN20" i="13"/>
  <c r="AL12" i="13"/>
  <c r="CD12" i="13"/>
  <c r="BJ32" i="13"/>
  <c r="BR23" i="13"/>
  <c r="AQ30" i="13"/>
  <c r="CJ27" i="13"/>
  <c r="BK10" i="13"/>
  <c r="BH26" i="13"/>
  <c r="DJ30" i="13"/>
  <c r="Z25" i="13"/>
  <c r="BR28" i="13"/>
  <c r="AE28" i="13"/>
  <c r="AN24" i="13"/>
  <c r="AC26" i="13"/>
  <c r="AJ21" i="13"/>
  <c r="CH26" i="13"/>
  <c r="BV19" i="13"/>
  <c r="Z21" i="13"/>
  <c r="AH32" i="13"/>
  <c r="BI29" i="13"/>
  <c r="AL23" i="13"/>
  <c r="AW27" i="13"/>
  <c r="AV19" i="13"/>
  <c r="CN13" i="13"/>
  <c r="BB17" i="13"/>
  <c r="AX28" i="13"/>
  <c r="AJ30" i="13"/>
  <c r="AK24" i="13"/>
  <c r="DI11" i="13"/>
  <c r="DF9" i="13"/>
  <c r="CN26" i="13"/>
  <c r="BU30" i="13"/>
  <c r="AD21" i="13"/>
  <c r="AN18" i="13"/>
  <c r="BM26" i="13"/>
  <c r="BO33" i="13"/>
  <c r="DI7" i="13"/>
  <c r="AJ22" i="13"/>
  <c r="CY34" i="13"/>
  <c r="AO17" i="13"/>
  <c r="BD11" i="13"/>
  <c r="AC27" i="13"/>
  <c r="AH20" i="13"/>
  <c r="BC9" i="13"/>
  <c r="BW17" i="13"/>
  <c r="BO19" i="13"/>
  <c r="BA21" i="13"/>
  <c r="CC33" i="13"/>
  <c r="AF25" i="13"/>
  <c r="AV17" i="13"/>
  <c r="BD28" i="13"/>
  <c r="CP11" i="13"/>
  <c r="BE33" i="13"/>
  <c r="AD24" i="13"/>
  <c r="AX33" i="13"/>
  <c r="Z22" i="13"/>
  <c r="AT11" i="13"/>
  <c r="BK16" i="13"/>
  <c r="BB22" i="13"/>
  <c r="AQ27" i="13"/>
  <c r="CZ32" i="13"/>
  <c r="BK27" i="13"/>
  <c r="DG6" i="13"/>
  <c r="CA21" i="13"/>
  <c r="AT31" i="13"/>
  <c r="CP6" i="13"/>
  <c r="AH12" i="13"/>
  <c r="BS13" i="13"/>
  <c r="AG33" i="13"/>
  <c r="AI21" i="13"/>
  <c r="B5" i="13"/>
  <c r="BN29" i="13"/>
  <c r="CT30" i="13"/>
  <c r="DG7" i="13"/>
  <c r="X33" i="13"/>
  <c r="CJ7" i="13"/>
  <c r="AH21" i="13"/>
  <c r="CA9" i="13"/>
  <c r="BJ10" i="13"/>
  <c r="DF26" i="13"/>
  <c r="AP26" i="13"/>
  <c r="CU25" i="13"/>
  <c r="CP13" i="13"/>
  <c r="AF28" i="13"/>
  <c r="BV20" i="13"/>
  <c r="BB20" i="13"/>
  <c r="BY17" i="13"/>
  <c r="BS23" i="13"/>
  <c r="CT6" i="13"/>
  <c r="BT9" i="13"/>
  <c r="AD17" i="13"/>
  <c r="BP16" i="13"/>
  <c r="BR12" i="13"/>
  <c r="CH10" i="13"/>
  <c r="BX27" i="13"/>
  <c r="BW8" i="13"/>
  <c r="CV27" i="13"/>
  <c r="DB27" i="13"/>
  <c r="BH22" i="13"/>
  <c r="BN17" i="13"/>
  <c r="AB7" i="13"/>
  <c r="CA34" i="13"/>
  <c r="BP10" i="13"/>
  <c r="AU30" i="13"/>
  <c r="DE15" i="13"/>
  <c r="AJ26" i="13"/>
  <c r="BO32" i="13"/>
  <c r="BZ26" i="13"/>
  <c r="BO29" i="13"/>
  <c r="DF17" i="13"/>
  <c r="AQ29" i="13"/>
  <c r="CN17" i="13"/>
  <c r="AC18" i="13"/>
  <c r="Z29" i="13"/>
  <c r="BS8" i="13"/>
  <c r="BZ24" i="13"/>
  <c r="AV16" i="13"/>
  <c r="AZ29" i="13"/>
  <c r="AR19" i="13"/>
  <c r="CJ31" i="13"/>
  <c r="BE20" i="13"/>
  <c r="AU34" i="13"/>
  <c r="AX21" i="13"/>
  <c r="AM11" i="13"/>
  <c r="CL19" i="13"/>
  <c r="AL16" i="13"/>
  <c r="BO17" i="13"/>
  <c r="BM32" i="13"/>
  <c r="AA27" i="13"/>
  <c r="BK15" i="13"/>
  <c r="DD19" i="13"/>
  <c r="AJ15" i="13"/>
  <c r="DI6" i="13"/>
  <c r="BH5" i="13"/>
  <c r="CL30" i="13"/>
  <c r="AO27" i="13"/>
  <c r="AI19" i="13"/>
  <c r="BM13" i="13"/>
  <c r="DF32" i="13"/>
  <c r="DD23" i="13"/>
  <c r="BX24" i="13"/>
  <c r="AB15" i="13"/>
  <c r="BB16" i="13"/>
  <c r="CN7" i="13"/>
  <c r="AU23" i="13"/>
  <c r="AJ9" i="13"/>
  <c r="AU28" i="13"/>
  <c r="BR27" i="13"/>
  <c r="AN22" i="13"/>
  <c r="AJ27" i="13"/>
  <c r="BG30" i="13"/>
  <c r="AU15" i="13"/>
  <c r="DA26" i="13"/>
  <c r="AQ12" i="13"/>
  <c r="AY27" i="13"/>
  <c r="BA27" i="13"/>
  <c r="AX11" i="13"/>
  <c r="AZ25" i="13"/>
  <c r="CR26" i="13"/>
  <c r="BA22" i="13"/>
  <c r="BM29" i="13"/>
  <c r="BV33" i="13"/>
  <c r="BV34" i="13"/>
  <c r="Z12" i="13"/>
  <c r="DC11" i="13"/>
  <c r="AE26" i="13"/>
  <c r="DC8" i="13"/>
  <c r="AS11" i="13"/>
  <c r="CA29" i="13"/>
  <c r="AC19" i="13"/>
  <c r="BJ23" i="13"/>
  <c r="AK14" i="13"/>
  <c r="AX23" i="13"/>
  <c r="BP6" i="13"/>
  <c r="DD25" i="13"/>
  <c r="BG21" i="13"/>
  <c r="AG31" i="13"/>
  <c r="AF16" i="13"/>
  <c r="AV29" i="13"/>
  <c r="BB23" i="13"/>
  <c r="BV28" i="13"/>
  <c r="BV5" i="13"/>
  <c r="CL13" i="13"/>
  <c r="AI9" i="13"/>
  <c r="DJ16" i="13"/>
  <c r="BQ28" i="13"/>
  <c r="AZ22" i="13"/>
  <c r="AP14" i="13"/>
  <c r="BZ5" i="13"/>
  <c r="BW33" i="13"/>
  <c r="BG28" i="13"/>
  <c r="BG17" i="13"/>
  <c r="AG7" i="13"/>
  <c r="DJ23" i="13"/>
  <c r="BP19" i="13"/>
  <c r="CZ25" i="13"/>
  <c r="CJ26" i="13"/>
  <c r="DH28" i="13"/>
  <c r="BV23" i="13"/>
  <c r="BZ11" i="13"/>
  <c r="AG8" i="13"/>
  <c r="BL25" i="13"/>
  <c r="DJ34" i="13"/>
  <c r="AL18" i="13"/>
  <c r="BN5" i="13"/>
  <c r="AV26" i="13"/>
  <c r="AD22" i="13"/>
  <c r="AE30" i="13"/>
  <c r="BT13" i="13"/>
  <c r="BB30" i="13"/>
  <c r="BP18" i="13"/>
  <c r="CB27" i="13"/>
  <c r="AP5" i="13"/>
  <c r="BK32" i="13"/>
  <c r="BR21" i="13"/>
  <c r="AQ19" i="13"/>
  <c r="AH31" i="13"/>
  <c r="BP20" i="13"/>
  <c r="BS34" i="13"/>
  <c r="BO13" i="13"/>
  <c r="AK13" i="13"/>
  <c r="BP23" i="13"/>
  <c r="BX25" i="13"/>
  <c r="AB25" i="13"/>
  <c r="AD34" i="13"/>
  <c r="AL17" i="13"/>
  <c r="AZ9" i="13"/>
  <c r="CW16" i="13"/>
  <c r="BF12" i="13"/>
  <c r="AO32" i="13"/>
  <c r="AZ10" i="13"/>
  <c r="AZ17" i="13"/>
  <c r="BT11" i="13"/>
  <c r="BA19" i="13"/>
  <c r="BR6" i="13"/>
  <c r="DJ25" i="13"/>
  <c r="BS15" i="13"/>
  <c r="BP31" i="13"/>
  <c r="AW13" i="13"/>
  <c r="AN9" i="13"/>
  <c r="DF28" i="13"/>
  <c r="AR30" i="13"/>
  <c r="CB21" i="13"/>
  <c r="CA28" i="13"/>
  <c r="CT24" i="13"/>
  <c r="CZ13" i="13"/>
  <c r="CC21" i="13"/>
  <c r="AJ19" i="13"/>
  <c r="X28" i="13"/>
  <c r="BL6" i="13"/>
  <c r="BF28" i="13"/>
  <c r="AA29" i="13"/>
  <c r="CH14" i="13"/>
  <c r="AL29" i="13"/>
  <c r="CY33" i="13"/>
  <c r="BN8" i="13"/>
  <c r="BK13" i="13"/>
  <c r="Z17" i="13"/>
  <c r="AN5" i="13"/>
  <c r="BI27" i="13"/>
  <c r="BU33" i="13"/>
  <c r="CH30" i="13"/>
  <c r="CZ30" i="13"/>
  <c r="AR22" i="13"/>
  <c r="BH24" i="13"/>
  <c r="DA29" i="13"/>
  <c r="CJ30" i="13"/>
  <c r="BQ33" i="13"/>
  <c r="BC25" i="13"/>
  <c r="AZ31" i="13"/>
  <c r="BX28" i="13"/>
  <c r="DI28" i="13"/>
  <c r="BJ14" i="13"/>
  <c r="BB9" i="13"/>
  <c r="AF24" i="13"/>
  <c r="BO11" i="13"/>
  <c r="BR29" i="13"/>
  <c r="AD18" i="13"/>
  <c r="BT26" i="13"/>
  <c r="BX34" i="13"/>
  <c r="BX32" i="13"/>
  <c r="BT25" i="13"/>
  <c r="BL11" i="13"/>
  <c r="CC31" i="13"/>
  <c r="BQ23" i="13"/>
  <c r="CZ7" i="13"/>
  <c r="DI8" i="13"/>
  <c r="BY26" i="13"/>
  <c r="BF7" i="13"/>
  <c r="BV15" i="13"/>
  <c r="BY15" i="13"/>
  <c r="AW12" i="13"/>
  <c r="AM32" i="13"/>
  <c r="AX22" i="13"/>
  <c r="AX16" i="13"/>
  <c r="BZ17" i="13"/>
  <c r="BQ30" i="13"/>
  <c r="AR18" i="13"/>
  <c r="AZ19" i="13"/>
  <c r="AY7" i="13"/>
  <c r="CL8" i="13"/>
  <c r="DF31" i="13"/>
  <c r="CN25" i="13"/>
  <c r="AO29" i="13"/>
  <c r="BM23" i="13"/>
  <c r="AE9" i="13"/>
  <c r="DC21" i="13"/>
  <c r="CC27" i="13"/>
  <c r="AI12" i="13"/>
  <c r="AQ11" i="13"/>
  <c r="CL23" i="13"/>
  <c r="AF11" i="13"/>
  <c r="CX19" i="13"/>
  <c r="BN13" i="13"/>
  <c r="BX21" i="13"/>
  <c r="CH6" i="13"/>
  <c r="BE25" i="13"/>
  <c r="CP23" i="13"/>
  <c r="BQ25" i="13"/>
  <c r="BG24" i="13"/>
  <c r="BJ25" i="13"/>
  <c r="DA13" i="13"/>
  <c r="CY21" i="13"/>
  <c r="BX13" i="13"/>
  <c r="AM15" i="13"/>
  <c r="Z33" i="13"/>
  <c r="AG28" i="13"/>
  <c r="AP25" i="13"/>
  <c r="BV14" i="13"/>
  <c r="BK11" i="13"/>
  <c r="CV31" i="13"/>
  <c r="BV25" i="13"/>
  <c r="CZ28" i="13"/>
  <c r="BX22" i="13"/>
  <c r="BB13" i="13"/>
  <c r="BA26" i="13"/>
  <c r="BK9" i="13"/>
  <c r="BH13" i="13"/>
  <c r="BB21" i="13"/>
  <c r="AG23" i="13"/>
  <c r="BL21" i="13"/>
  <c r="AF9" i="13"/>
  <c r="BL32" i="13"/>
  <c r="AZ23" i="13"/>
  <c r="CH15" i="13"/>
  <c r="BH20" i="13"/>
  <c r="AJ5" i="13"/>
  <c r="CD32" i="13"/>
  <c r="AN28" i="13"/>
  <c r="CX26" i="13"/>
  <c r="AZ27" i="13"/>
  <c r="BN19" i="13"/>
  <c r="AT24" i="13"/>
  <c r="BX9" i="13"/>
  <c r="AJ32" i="13"/>
  <c r="BZ13" i="13"/>
  <c r="BX26" i="13"/>
  <c r="AF21" i="13"/>
  <c r="BH6" i="13"/>
  <c r="BP25" i="13"/>
  <c r="X8" i="13"/>
  <c r="AV27" i="13"/>
  <c r="AH16" i="13"/>
  <c r="AI31" i="13"/>
  <c r="AH17" i="13"/>
  <c r="BP26" i="13"/>
  <c r="BJ8" i="13"/>
  <c r="BN25" i="13"/>
  <c r="AN8" i="13"/>
  <c r="AG30" i="13"/>
  <c r="BB28" i="13"/>
  <c r="BL28" i="13"/>
  <c r="CT34" i="13"/>
  <c r="CY26" i="13"/>
  <c r="DD27" i="13"/>
  <c r="CB31" i="13"/>
  <c r="M19" i="14"/>
  <c r="CU10" i="1"/>
  <c r="CO7" i="13"/>
  <c r="CO27" i="13"/>
  <c r="CQ13" i="13"/>
  <c r="CI27" i="13"/>
  <c r="CW34" i="13"/>
  <c r="DF29" i="13"/>
  <c r="AH18" i="13"/>
  <c r="BR25" i="13"/>
  <c r="BL13" i="13"/>
  <c r="AG19" i="13"/>
  <c r="CB8" i="13"/>
  <c r="AH5" i="13"/>
  <c r="AP11" i="13"/>
  <c r="BF13" i="13"/>
  <c r="BL15" i="13"/>
  <c r="AL19" i="13"/>
  <c r="AT20" i="13"/>
  <c r="BG26" i="13"/>
  <c r="BO21" i="13"/>
  <c r="BH31" i="13"/>
  <c r="AX18" i="13"/>
  <c r="AH34" i="13"/>
  <c r="AY32" i="13"/>
  <c r="AV34" i="13"/>
  <c r="BN26" i="13"/>
  <c r="AT14" i="13"/>
  <c r="BX19" i="13"/>
  <c r="BT20" i="13"/>
  <c r="AV14" i="13"/>
  <c r="AW17" i="13"/>
  <c r="AF32" i="13"/>
  <c r="BW26" i="13"/>
  <c r="CJ28" i="13"/>
  <c r="DC9" i="13"/>
  <c r="BI28" i="13"/>
  <c r="AR10" i="13"/>
  <c r="AA23" i="13"/>
  <c r="AB30" i="13"/>
  <c r="BR30" i="13"/>
  <c r="CT26" i="13"/>
  <c r="AJ6" i="13"/>
  <c r="BT34" i="13"/>
  <c r="AB17" i="13"/>
  <c r="CY32" i="13"/>
  <c r="BN15" i="13"/>
  <c r="AX29" i="13"/>
  <c r="AD23" i="13"/>
  <c r="CB23" i="13"/>
  <c r="AZ13" i="13"/>
  <c r="X11" i="13"/>
  <c r="AJ17" i="13"/>
  <c r="BJ16" i="13"/>
  <c r="AG27" i="13"/>
  <c r="BV18" i="13"/>
  <c r="AF13" i="13"/>
  <c r="AZ8" i="13"/>
  <c r="CX21" i="13"/>
  <c r="AJ33" i="13"/>
  <c r="AM19" i="13"/>
  <c r="CU11" i="1"/>
  <c r="CU7" i="1"/>
  <c r="CI24" i="13"/>
  <c r="CO24" i="13"/>
  <c r="BT18" i="13"/>
  <c r="DC27" i="13"/>
  <c r="BJ12" i="13"/>
  <c r="AI26" i="13"/>
  <c r="AT23" i="13"/>
  <c r="BM25" i="13"/>
  <c r="AZ34" i="13"/>
  <c r="AN12" i="13"/>
  <c r="CR28" i="13"/>
  <c r="AS15" i="13"/>
  <c r="CT13" i="13"/>
  <c r="DC19" i="13"/>
  <c r="DF12" i="13"/>
  <c r="BG7" i="13"/>
  <c r="CB25" i="13"/>
  <c r="DA11" i="13"/>
  <c r="AC28" i="13"/>
  <c r="AX24" i="13"/>
  <c r="CD15" i="13"/>
  <c r="BB7" i="13"/>
  <c r="Z13" i="13"/>
  <c r="AT5" i="13"/>
  <c r="CU32" i="13"/>
  <c r="Z16" i="13"/>
  <c r="BZ33" i="13"/>
  <c r="AM9" i="13"/>
  <c r="AD32" i="13"/>
  <c r="DG30" i="13"/>
  <c r="CB20" i="13"/>
  <c r="X22" i="13"/>
  <c r="DB13" i="13"/>
  <c r="X16" i="13"/>
  <c r="AU13" i="13"/>
  <c r="DD17" i="13"/>
  <c r="AO26" i="13"/>
  <c r="I5" i="13"/>
  <c r="DJ33" i="13"/>
  <c r="AN13" i="13"/>
  <c r="CP29" i="13"/>
  <c r="CU34" i="13"/>
  <c r="DB8" i="13"/>
  <c r="AO28" i="13"/>
  <c r="BB6" i="13"/>
  <c r="AH29" i="13"/>
  <c r="AP15" i="13"/>
  <c r="BV29" i="13"/>
  <c r="CH27" i="13"/>
  <c r="AM33" i="13"/>
  <c r="AP28" i="13"/>
  <c r="AH11" i="13"/>
  <c r="BX14" i="13"/>
  <c r="CC30" i="13"/>
  <c r="J5" i="13"/>
  <c r="BD19" i="13"/>
  <c r="BP17" i="13"/>
  <c r="CD28" i="13"/>
  <c r="CR29" i="13"/>
  <c r="AR9" i="13"/>
  <c r="CP7" i="13"/>
  <c r="CY9" i="13"/>
  <c r="AV18" i="13"/>
  <c r="CD13" i="13"/>
  <c r="CU31" i="1"/>
  <c r="M25" i="14"/>
  <c r="CU17" i="1"/>
  <c r="CM26" i="13"/>
  <c r="CO12" i="13"/>
  <c r="CS17" i="13"/>
  <c r="AR27" i="13"/>
  <c r="DH9" i="13"/>
  <c r="BS6" i="13"/>
  <c r="CU28" i="13"/>
  <c r="BE10" i="13"/>
  <c r="AD29" i="13"/>
  <c r="BN21" i="13"/>
  <c r="CB18" i="13"/>
  <c r="Z11" i="13"/>
  <c r="DD13" i="13"/>
  <c r="AT19" i="13"/>
  <c r="DD9" i="13"/>
  <c r="CU23" i="13"/>
  <c r="BX10" i="13"/>
  <c r="AH7" i="13"/>
  <c r="CR30" i="13"/>
  <c r="AR16" i="13"/>
  <c r="BP27" i="13"/>
  <c r="CB6" i="13"/>
  <c r="AE13" i="13"/>
  <c r="X25" i="13"/>
  <c r="BB19" i="13"/>
  <c r="X12" i="13"/>
  <c r="BH27" i="13"/>
  <c r="AD5" i="13"/>
  <c r="DJ19" i="13"/>
  <c r="BV31" i="13"/>
  <c r="CB5" i="13"/>
  <c r="BW15" i="13"/>
  <c r="BL29" i="13"/>
  <c r="AF18" i="13"/>
  <c r="BL8" i="13"/>
  <c r="AL15" i="13"/>
  <c r="AX26" i="13"/>
  <c r="AW23" i="13"/>
  <c r="CX7" i="13"/>
  <c r="AW32" i="13"/>
  <c r="BN28" i="13"/>
  <c r="CN23" i="13"/>
  <c r="AT33" i="13"/>
  <c r="BR31" i="13"/>
  <c r="AD10" i="13"/>
  <c r="AP22" i="13"/>
  <c r="AT17" i="13"/>
  <c r="CB26" i="13"/>
  <c r="AR5" i="13"/>
  <c r="BT6" i="13"/>
  <c r="BR22" i="13"/>
  <c r="AW6" i="13"/>
  <c r="AP18" i="13"/>
  <c r="BR16" i="13"/>
  <c r="AV12" i="13"/>
  <c r="Z6" i="13"/>
  <c r="BL9" i="13"/>
  <c r="BX30" i="13"/>
  <c r="CU22" i="1"/>
  <c r="CU15" i="1"/>
  <c r="CG30" i="13"/>
  <c r="CM34" i="13"/>
  <c r="CM15" i="13"/>
  <c r="CK14" i="13"/>
  <c r="CG10" i="13"/>
  <c r="CS14" i="13"/>
  <c r="CM28" i="13"/>
  <c r="CS25" i="13"/>
  <c r="CG7" i="13"/>
  <c r="CG6" i="13"/>
  <c r="CQ27" i="13"/>
  <c r="CO31" i="13"/>
  <c r="CI32" i="13"/>
  <c r="CK20" i="13"/>
  <c r="CO20" i="13"/>
  <c r="CM23" i="13"/>
  <c r="CQ14" i="13"/>
  <c r="CM7" i="13"/>
  <c r="CO15" i="13"/>
  <c r="CM18" i="13"/>
  <c r="CE32" i="13"/>
  <c r="CE10" i="13"/>
  <c r="CE26" i="13"/>
  <c r="CE17" i="13"/>
  <c r="AZ33" i="13"/>
  <c r="BX8" i="13"/>
  <c r="BX33" i="13"/>
  <c r="BN18" i="13"/>
  <c r="AI23" i="13"/>
  <c r="Z7" i="13"/>
  <c r="AJ13" i="13"/>
  <c r="AX10" i="13"/>
  <c r="AH9" i="13"/>
  <c r="AL13" i="13"/>
  <c r="AT16" i="13"/>
  <c r="CR15" i="13"/>
  <c r="AV5" i="13"/>
  <c r="CH7" i="13"/>
  <c r="DG28" i="13"/>
  <c r="BU8" i="13"/>
  <c r="AT25" i="13"/>
  <c r="AZ20" i="13"/>
  <c r="BA28" i="13"/>
  <c r="DI30" i="13"/>
  <c r="AQ17" i="13"/>
  <c r="AS28" i="13"/>
  <c r="BH29" i="13"/>
  <c r="BT30" i="13"/>
  <c r="AV9" i="13"/>
  <c r="BV27" i="13"/>
  <c r="BH33" i="13"/>
  <c r="X15" i="13"/>
  <c r="BT10" i="13"/>
  <c r="AN26" i="13"/>
  <c r="CL17" i="13"/>
  <c r="X9" i="13"/>
  <c r="BB12" i="13"/>
  <c r="BL33" i="13"/>
  <c r="AN33" i="13"/>
  <c r="AF17" i="13"/>
  <c r="AF20" i="13"/>
  <c r="BX7" i="13"/>
  <c r="AH8" i="13"/>
  <c r="BP33" i="13"/>
  <c r="CU12" i="1"/>
  <c r="M19" i="4"/>
  <c r="CI14" i="13"/>
  <c r="CG29" i="13"/>
  <c r="CO16" i="13"/>
  <c r="CM17" i="13"/>
  <c r="AA31" i="13"/>
  <c r="CZ26" i="13"/>
  <c r="DI22" i="13"/>
  <c r="AL34" i="13"/>
  <c r="BC6" i="13"/>
  <c r="BY25" i="13"/>
  <c r="CZ33" i="13"/>
  <c r="CC26" i="13"/>
  <c r="BL14" i="13"/>
  <c r="BE28" i="13"/>
  <c r="AD7" i="13"/>
  <c r="AO11" i="13"/>
  <c r="BR33" i="13"/>
  <c r="AP34" i="13"/>
  <c r="BU34" i="13"/>
  <c r="AV23" i="13"/>
  <c r="CA10" i="13"/>
  <c r="BZ15" i="13"/>
  <c r="AT6" i="13"/>
  <c r="DB6" i="13"/>
  <c r="CJ17" i="13"/>
  <c r="AR20" i="13"/>
  <c r="BL16" i="13"/>
  <c r="BT16" i="13"/>
  <c r="BK19" i="13"/>
  <c r="DG25" i="13"/>
  <c r="BG23" i="13"/>
  <c r="CX14" i="13"/>
  <c r="AU33" i="13"/>
  <c r="AZ28" i="13"/>
  <c r="DB33" i="13"/>
  <c r="AJ23" i="13"/>
  <c r="AH19" i="13"/>
  <c r="AZ11" i="13"/>
  <c r="BW11" i="13"/>
  <c r="BJ31" i="13"/>
  <c r="BJ5" i="13"/>
  <c r="BV11" i="13"/>
  <c r="CD29" i="13"/>
  <c r="BS30" i="13"/>
  <c r="BK30" i="13"/>
  <c r="X27" i="13"/>
  <c r="AP19" i="13"/>
  <c r="BZ21" i="13"/>
  <c r="BU29" i="13"/>
  <c r="AI15" i="13"/>
  <c r="CR32" i="13"/>
  <c r="Z31" i="13"/>
  <c r="AV13" i="13"/>
  <c r="AS12" i="13"/>
  <c r="Z18" i="13"/>
  <c r="AK30" i="13"/>
  <c r="AR25" i="13"/>
  <c r="X17" i="13"/>
  <c r="CU26" i="1"/>
  <c r="CU9" i="1"/>
  <c r="CU6" i="1"/>
  <c r="CK33" i="13"/>
  <c r="DF6" i="13"/>
  <c r="DA17" i="13"/>
  <c r="AU19" i="13"/>
  <c r="BZ28" i="13"/>
  <c r="CB16" i="13"/>
  <c r="AJ12" i="13"/>
  <c r="CP15" i="13"/>
  <c r="CL6" i="13"/>
  <c r="DA30" i="13"/>
  <c r="CW26" i="13"/>
  <c r="DA27" i="13"/>
  <c r="AB12" i="13"/>
  <c r="BD13" i="13"/>
  <c r="AU31" i="13"/>
  <c r="BM11" i="13"/>
  <c r="CT32" i="13"/>
  <c r="AT27" i="13"/>
  <c r="BP24" i="13"/>
  <c r="Z10" i="13"/>
  <c r="AF5" i="13"/>
  <c r="AD15" i="13"/>
  <c r="BR17" i="13"/>
  <c r="AE19" i="13"/>
  <c r="AL9" i="13"/>
  <c r="AN23" i="13"/>
  <c r="BZ30" i="13"/>
  <c r="CB28" i="13"/>
  <c r="DB26" i="13"/>
  <c r="BP34" i="13"/>
  <c r="CC23" i="13"/>
  <c r="BT14" i="13"/>
  <c r="BN7" i="13"/>
  <c r="AZ5" i="13"/>
  <c r="DH10" i="13"/>
  <c r="AL28" i="13"/>
  <c r="AP9" i="13"/>
  <c r="AI33" i="13"/>
  <c r="DJ32" i="13"/>
  <c r="BB29" i="13"/>
  <c r="CC29" i="13"/>
  <c r="BM19" i="13"/>
  <c r="DD26" i="13"/>
  <c r="BO28" i="13"/>
  <c r="AL26" i="13"/>
  <c r="AH6" i="13"/>
  <c r="BI19" i="13"/>
  <c r="CD16" i="13"/>
  <c r="AP16" i="13"/>
  <c r="AW26" i="13"/>
  <c r="BZ12" i="13"/>
  <c r="CD11" i="13"/>
  <c r="AP20" i="13"/>
  <c r="CD33" i="13"/>
  <c r="CD21" i="13"/>
  <c r="DE28" i="13"/>
  <c r="Z8" i="13"/>
  <c r="D96" i="4"/>
  <c r="BB32" i="13"/>
  <c r="Z19" i="13"/>
  <c r="BV13" i="13"/>
  <c r="CD34" i="13"/>
  <c r="DE30" i="13"/>
  <c r="AV6" i="13"/>
  <c r="AG17" i="13"/>
  <c r="CD24" i="13"/>
  <c r="AF19" i="13"/>
  <c r="BX5" i="13"/>
  <c r="AJ29" i="13"/>
  <c r="DI27" i="13"/>
  <c r="AV10" i="13"/>
  <c r="BO16" i="13"/>
  <c r="CR31" i="13"/>
  <c r="BZ31" i="13"/>
  <c r="AI16" i="13"/>
  <c r="BT15" i="13"/>
  <c r="AD33" i="13"/>
  <c r="BN30" i="13"/>
  <c r="BQ13" i="13"/>
  <c r="AJ25" i="13"/>
  <c r="AG15" i="13"/>
  <c r="BC28" i="13"/>
  <c r="BB25" i="13"/>
  <c r="BH34" i="13"/>
  <c r="BX16" i="13"/>
  <c r="AL11" i="13"/>
  <c r="AF14" i="13"/>
  <c r="BO26" i="13"/>
  <c r="CX25" i="13"/>
  <c r="AX14" i="13"/>
  <c r="BT21" i="13"/>
  <c r="AD16" i="13"/>
  <c r="BR10" i="13"/>
  <c r="AJ8" i="13"/>
  <c r="AV15" i="13"/>
  <c r="BB24" i="13"/>
  <c r="AJ18" i="13"/>
  <c r="BH21" i="13"/>
  <c r="CU32" i="1"/>
  <c r="CU24" i="1"/>
  <c r="CU28" i="1"/>
  <c r="CQ7" i="13"/>
  <c r="CK23" i="13"/>
  <c r="CK29" i="13"/>
  <c r="CI18" i="13"/>
  <c r="DB23" i="13"/>
  <c r="CZ24" i="13"/>
  <c r="DB7" i="13"/>
  <c r="AD28" i="13"/>
  <c r="CW12" i="13"/>
  <c r="AF30" i="13"/>
  <c r="BR15" i="13"/>
  <c r="AL32" i="13"/>
  <c r="AJ24" i="13"/>
  <c r="AP27" i="13"/>
  <c r="BE34" i="13"/>
  <c r="CC13" i="13"/>
  <c r="BZ16" i="13"/>
  <c r="BA30" i="13"/>
  <c r="AN29" i="13"/>
  <c r="AP32" i="13"/>
  <c r="BR18" i="13"/>
  <c r="BH18" i="13"/>
  <c r="BR13" i="13"/>
  <c r="CB19" i="13"/>
  <c r="AF8" i="13"/>
  <c r="AF27" i="13"/>
  <c r="BP28" i="13"/>
  <c r="BH28" i="13"/>
  <c r="BC26" i="13"/>
  <c r="BH15" i="13"/>
  <c r="Z28" i="13"/>
  <c r="CV23" i="13"/>
  <c r="AW34" i="13"/>
  <c r="BJ29" i="13"/>
  <c r="AK26" i="13"/>
  <c r="DH30" i="13"/>
  <c r="BL10" i="13"/>
  <c r="DH8" i="13"/>
  <c r="AL5" i="13"/>
  <c r="AV7" i="13"/>
  <c r="AH15" i="13"/>
  <c r="BZ19" i="13"/>
  <c r="BR14" i="13"/>
  <c r="CJ11" i="13"/>
  <c r="BV16" i="13"/>
  <c r="AA7" i="13"/>
  <c r="BH12" i="13"/>
  <c r="BP21" i="13"/>
  <c r="BB8" i="13"/>
  <c r="AY17" i="13"/>
  <c r="CL28" i="13"/>
  <c r="CD8" i="13"/>
  <c r="BN33" i="13"/>
  <c r="CD17" i="13"/>
  <c r="BI26" i="13"/>
  <c r="BB11" i="13"/>
  <c r="AT30" i="13"/>
  <c r="CD9" i="13"/>
  <c r="CU18" i="1"/>
  <c r="CU29" i="1"/>
  <c r="CO13" i="13"/>
  <c r="CQ32" i="13"/>
  <c r="CR19" i="13"/>
  <c r="BT32" i="13"/>
  <c r="AY16" i="13"/>
  <c r="BZ10" i="13"/>
  <c r="CD6" i="13"/>
  <c r="AP30" i="13"/>
  <c r="DA8" i="13"/>
  <c r="AM30" i="13"/>
  <c r="CV29" i="13"/>
  <c r="BZ22" i="13"/>
  <c r="DD22" i="13"/>
  <c r="BM31" i="13"/>
  <c r="CB34" i="13"/>
  <c r="BW27" i="13"/>
  <c r="AD19" i="13"/>
  <c r="AX27" i="13"/>
  <c r="BZ34" i="13"/>
  <c r="BV26" i="13"/>
  <c r="AZ21" i="13"/>
  <c r="BY28" i="13"/>
  <c r="AM13" i="13"/>
  <c r="BF26" i="13"/>
  <c r="BN10" i="13"/>
  <c r="CR17" i="13"/>
  <c r="BV22" i="13"/>
  <c r="X7" i="13"/>
  <c r="AD6" i="13"/>
  <c r="CD18" i="13"/>
  <c r="CH9" i="13"/>
  <c r="Z15" i="13"/>
  <c r="CP28" i="13"/>
  <c r="CW21" i="13"/>
  <c r="AH10" i="13"/>
  <c r="BT31" i="13"/>
  <c r="BZ20" i="13"/>
  <c r="AR34" i="13"/>
  <c r="CW19" i="13"/>
  <c r="BJ19" i="13"/>
  <c r="CN30" i="13"/>
  <c r="BI17" i="13"/>
  <c r="BV32" i="13"/>
  <c r="BT12" i="13"/>
  <c r="AI30" i="13"/>
  <c r="AX12" i="13"/>
  <c r="X21" i="13"/>
  <c r="AF6" i="13"/>
  <c r="DA23" i="13"/>
  <c r="Z32" i="13"/>
  <c r="AW8" i="13"/>
  <c r="AH28" i="13"/>
  <c r="CV11" i="13"/>
  <c r="AD9" i="13"/>
  <c r="BU17" i="13"/>
  <c r="AN16" i="13"/>
  <c r="BR20" i="13"/>
  <c r="BZ9" i="13"/>
  <c r="CA25" i="13"/>
  <c r="AR32" i="13"/>
  <c r="BK21" i="13"/>
  <c r="BH8" i="13"/>
  <c r="CB10" i="13"/>
  <c r="BL23" i="13"/>
  <c r="DC28" i="13"/>
  <c r="CU8" i="1"/>
  <c r="CU14" i="1"/>
  <c r="CQ22" i="13"/>
  <c r="CO8" i="13"/>
  <c r="CS10" i="13"/>
  <c r="CI11" i="13"/>
  <c r="AA24" i="13"/>
  <c r="CR9" i="13"/>
  <c r="BY6" i="13"/>
  <c r="BD9" i="13"/>
  <c r="BG33" i="13"/>
  <c r="AP23" i="13"/>
  <c r="CU27" i="13"/>
  <c r="AR7" i="13"/>
  <c r="BX17" i="13"/>
  <c r="BD17" i="13"/>
  <c r="Z5" i="13"/>
  <c r="BL24" i="13"/>
  <c r="AR11" i="13"/>
  <c r="BZ29" i="13"/>
  <c r="AR28" i="13"/>
  <c r="X24" i="13"/>
  <c r="AZ16" i="13"/>
  <c r="CT11" i="13"/>
  <c r="BK17" i="13"/>
  <c r="BT24" i="13"/>
  <c r="CW30" i="13"/>
  <c r="CC17" i="13"/>
  <c r="AP24" i="13"/>
  <c r="X30" i="13"/>
  <c r="AF10" i="13"/>
  <c r="BG34" i="13"/>
  <c r="AO34" i="13"/>
  <c r="BM20" i="13"/>
  <c r="BU6" i="13"/>
  <c r="AN34" i="13"/>
  <c r="DA12" i="13"/>
  <c r="AL10" i="13"/>
  <c r="AT7" i="13"/>
  <c r="CP32" i="13"/>
  <c r="AP21" i="13"/>
  <c r="X31" i="13"/>
  <c r="BT7" i="13"/>
  <c r="BV21" i="13"/>
  <c r="CH34" i="13"/>
  <c r="Z23" i="13"/>
  <c r="DH7" i="13"/>
  <c r="BH9" i="13"/>
  <c r="AD8" i="13"/>
  <c r="BL17" i="13"/>
  <c r="DE19" i="13"/>
  <c r="BP14" i="13"/>
  <c r="DH17" i="13"/>
  <c r="BU9" i="13"/>
  <c r="AY25" i="13"/>
  <c r="BZ7" i="13"/>
  <c r="AD13" i="13"/>
  <c r="AR24" i="13"/>
  <c r="BX12" i="13"/>
  <c r="AX5" i="13"/>
  <c r="CU16" i="1"/>
  <c r="CU27" i="1"/>
  <c r="CQ16" i="13"/>
  <c r="CO18" i="13"/>
  <c r="CI7" i="13"/>
  <c r="CQ19" i="13"/>
  <c r="CG13" i="13"/>
  <c r="CQ20" i="13"/>
  <c r="CM31" i="13"/>
  <c r="CO9" i="13"/>
  <c r="CS21" i="13"/>
  <c r="CK21" i="13"/>
  <c r="CM13" i="13"/>
  <c r="CM16" i="13"/>
  <c r="CG20" i="13"/>
  <c r="CS23" i="13"/>
  <c r="CI34" i="13"/>
  <c r="CS13" i="13"/>
  <c r="CG9" i="13"/>
  <c r="CG11" i="13"/>
  <c r="CS9" i="13"/>
  <c r="CK31" i="13"/>
  <c r="CF12" i="13"/>
  <c r="CF30" i="13"/>
  <c r="CE28" i="13"/>
  <c r="CF17" i="13"/>
  <c r="CE33" i="13"/>
  <c r="BD27" i="13"/>
  <c r="CZ27" i="13"/>
  <c r="BE11" i="13"/>
  <c r="BN31" i="13"/>
  <c r="AG21" i="13"/>
  <c r="AT10" i="13"/>
  <c r="AF23" i="13"/>
  <c r="Z24" i="13"/>
  <c r="BC34" i="13"/>
  <c r="AN25" i="13"/>
  <c r="AJ31" i="13"/>
  <c r="CP19" i="13"/>
  <c r="BU11" i="13"/>
  <c r="CB12" i="13"/>
  <c r="CB29" i="13"/>
  <c r="BJ33" i="13"/>
  <c r="DC33" i="13"/>
  <c r="AD25" i="13"/>
  <c r="AH30" i="13"/>
  <c r="X29" i="13"/>
  <c r="AN7" i="13"/>
  <c r="CB17" i="13"/>
  <c r="BT19" i="13"/>
  <c r="CX28" i="13"/>
  <c r="BO7" i="13"/>
  <c r="AP29" i="13"/>
  <c r="BH19" i="13"/>
  <c r="AH24" i="13"/>
  <c r="X18" i="13"/>
  <c r="CV30" i="13"/>
  <c r="BL22" i="13"/>
  <c r="CV28" i="13"/>
  <c r="BT5" i="13"/>
  <c r="AS21" i="13"/>
  <c r="AM28" i="13"/>
  <c r="AN11" i="13"/>
  <c r="BN12" i="13"/>
  <c r="AF7" i="13"/>
  <c r="AB5" i="13"/>
  <c r="CU20" i="1"/>
  <c r="CU30" i="1"/>
  <c r="CS5" i="13"/>
  <c r="CM5" i="13"/>
  <c r="CQ31" i="13"/>
  <c r="CK10" i="13"/>
  <c r="CK11" i="13"/>
  <c r="AK15" i="13"/>
  <c r="AW28" i="13"/>
  <c r="AN20" i="13"/>
  <c r="BN11" i="13"/>
  <c r="BD12" i="13"/>
  <c r="CN15" i="13"/>
  <c r="AJ7" i="13"/>
  <c r="BR8" i="13"/>
  <c r="BZ32" i="13"/>
  <c r="BI25" i="13"/>
  <c r="Z14" i="13"/>
  <c r="CU30" i="13"/>
  <c r="AX30" i="13"/>
  <c r="BP8" i="13"/>
  <c r="CD19" i="13"/>
  <c r="AL30" i="13"/>
  <c r="AR14" i="13"/>
  <c r="BE19" i="13"/>
  <c r="CW13" i="13"/>
  <c r="BD15" i="13"/>
  <c r="BN14" i="13"/>
  <c r="H5" i="13"/>
  <c r="CT21" i="13"/>
  <c r="CB22" i="13"/>
  <c r="BP12" i="13"/>
  <c r="BJ11" i="13"/>
  <c r="AR12" i="13"/>
  <c r="BY9" i="13"/>
  <c r="Z30" i="13"/>
  <c r="AR21" i="13"/>
  <c r="AF15" i="13"/>
  <c r="AP13" i="13"/>
  <c r="BP15" i="13"/>
  <c r="CD25" i="13"/>
  <c r="AZ6" i="13"/>
  <c r="BX23" i="13"/>
  <c r="BN9" i="13"/>
  <c r="CW17" i="13"/>
  <c r="BD32" i="13"/>
  <c r="DE26" i="13"/>
  <c r="CX34" i="13"/>
  <c r="DB11" i="13"/>
  <c r="CR25" i="13"/>
  <c r="BP9" i="13"/>
  <c r="BN34" i="13"/>
  <c r="CV9" i="13"/>
  <c r="AG11" i="13"/>
  <c r="AF31" i="13"/>
  <c r="AZ15" i="13"/>
  <c r="CB15" i="13"/>
  <c r="BR9" i="13"/>
  <c r="AJ28" i="13"/>
  <c r="CD20" i="13"/>
  <c r="BL31" i="13"/>
  <c r="M20" i="14"/>
  <c r="M24" i="14"/>
  <c r="CI17" i="13"/>
  <c r="CM20" i="13"/>
  <c r="BS26" i="13"/>
  <c r="CZ11" i="13"/>
  <c r="CC16" i="13"/>
  <c r="AL24" i="13"/>
  <c r="CB11" i="13"/>
  <c r="AP8" i="13"/>
  <c r="CX30" i="13"/>
  <c r="BD23" i="13"/>
  <c r="AG32" i="13"/>
  <c r="CX6" i="13"/>
  <c r="Z34" i="13"/>
  <c r="CJ32" i="13"/>
  <c r="CD22" i="13"/>
  <c r="BK26" i="13"/>
  <c r="CB32" i="13"/>
  <c r="BR19" i="13"/>
  <c r="X20" i="13"/>
  <c r="BH30" i="13"/>
  <c r="AA30" i="13"/>
  <c r="BB33" i="13"/>
  <c r="AQ14" i="13"/>
  <c r="DB30" i="13"/>
  <c r="AD27" i="13"/>
  <c r="X14" i="13"/>
  <c r="AU21" i="13"/>
  <c r="BV6" i="13"/>
  <c r="BW32" i="13"/>
  <c r="AX9" i="13"/>
  <c r="AY29" i="13"/>
  <c r="CV26" i="13"/>
  <c r="BB5" i="13"/>
  <c r="AT32" i="13"/>
  <c r="AP17" i="13"/>
  <c r="BE29" i="13"/>
  <c r="BB10" i="13"/>
  <c r="BX20" i="13"/>
  <c r="AU32" i="13"/>
  <c r="AV28" i="13"/>
  <c r="CU15" i="13"/>
  <c r="BP29" i="13"/>
  <c r="BP30" i="13"/>
  <c r="BT17" i="13"/>
  <c r="AZ14" i="13"/>
  <c r="BO27" i="13"/>
  <c r="AZ12" i="13"/>
  <c r="BP7" i="13"/>
  <c r="AJ20" i="13"/>
  <c r="AT29" i="13"/>
  <c r="AT21" i="13"/>
  <c r="AN6" i="13"/>
  <c r="AR8" i="13"/>
  <c r="AV30" i="13"/>
  <c r="AT28" i="13"/>
  <c r="AR15" i="13"/>
  <c r="BO15" i="13"/>
  <c r="AI32" i="13"/>
  <c r="AU17" i="13"/>
  <c r="BP22" i="13"/>
  <c r="AX20" i="13"/>
  <c r="AY19" i="13"/>
  <c r="AL31" i="13"/>
  <c r="BH10" i="13"/>
  <c r="AF26" i="13"/>
  <c r="CU19" i="1"/>
  <c r="M21" i="14"/>
  <c r="CK7" i="13"/>
  <c r="CO23" i="13"/>
  <c r="CS19" i="13"/>
  <c r="CO33" i="13"/>
  <c r="AK33" i="13"/>
  <c r="BQ15" i="13"/>
  <c r="BT29" i="13"/>
  <c r="CR12" i="13"/>
  <c r="BJ28" i="13"/>
  <c r="BQ26" i="13"/>
  <c r="AJ16" i="13"/>
  <c r="DI23" i="13"/>
  <c r="BJ22" i="13"/>
  <c r="BC30" i="13"/>
  <c r="AV25" i="13"/>
  <c r="DE9" i="13"/>
  <c r="BJ30" i="13"/>
  <c r="AX34" i="13"/>
  <c r="BG15" i="13"/>
  <c r="BD21" i="13"/>
  <c r="BH16" i="13"/>
  <c r="AO30" i="13"/>
  <c r="CA17" i="13"/>
  <c r="CH32" i="13"/>
  <c r="BQ19" i="13"/>
  <c r="AD30" i="13"/>
  <c r="CD30" i="13"/>
  <c r="AS26" i="13"/>
  <c r="BH7" i="13"/>
  <c r="BL12" i="13"/>
  <c r="BA15" i="13"/>
  <c r="AY23" i="13"/>
  <c r="BU24" i="13"/>
  <c r="BC19" i="13"/>
  <c r="AB8" i="13"/>
  <c r="AK7" i="13"/>
  <c r="AZ30" i="13"/>
  <c r="CW10" i="13"/>
  <c r="BL19" i="13"/>
  <c r="BY27" i="13"/>
  <c r="CD14" i="13"/>
  <c r="AF33" i="13"/>
  <c r="CB24" i="13"/>
  <c r="AQ32" i="13"/>
  <c r="BR11" i="13"/>
  <c r="CZ21" i="13"/>
  <c r="AX25" i="13"/>
  <c r="AD11" i="13"/>
  <c r="AX17" i="13"/>
  <c r="CU31" i="13"/>
  <c r="AT34" i="13"/>
  <c r="CU7" i="13"/>
  <c r="AX31" i="13"/>
  <c r="BC13" i="13"/>
  <c r="BV9" i="13"/>
  <c r="DC29" i="13"/>
  <c r="AR17" i="13"/>
  <c r="CD7" i="13"/>
  <c r="BL5" i="13"/>
  <c r="M22" i="14"/>
  <c r="CU13" i="1"/>
  <c r="CK25" i="13"/>
  <c r="CI20" i="13"/>
  <c r="CG17" i="13"/>
  <c r="CS30" i="13"/>
  <c r="CQ10" i="13"/>
  <c r="CM11" i="13"/>
  <c r="CQ12" i="13"/>
  <c r="CK32" i="13"/>
  <c r="CI23" i="13"/>
  <c r="CS12" i="13"/>
  <c r="CM12" i="13"/>
  <c r="CG31" i="13"/>
  <c r="CF24" i="13"/>
  <c r="CE24" i="13"/>
  <c r="CE21" i="13"/>
  <c r="CQ25" i="13"/>
  <c r="CS16" i="13"/>
  <c r="CS31" i="13"/>
  <c r="CI21" i="13"/>
  <c r="CO19" i="13"/>
  <c r="CM21" i="13"/>
  <c r="CK18" i="13"/>
  <c r="CQ23" i="13"/>
  <c r="CQ28" i="13"/>
  <c r="CO14" i="13"/>
  <c r="CQ18" i="13"/>
  <c r="BL20" i="13"/>
  <c r="AV31" i="13"/>
  <c r="AX15" i="13"/>
  <c r="CU25" i="1"/>
  <c r="CO34" i="13"/>
  <c r="CK5" i="13"/>
  <c r="CM19" i="13"/>
  <c r="DC26" i="13"/>
  <c r="AH13" i="13"/>
  <c r="BS9" i="13"/>
  <c r="DA28" i="13"/>
  <c r="BC32" i="13"/>
  <c r="BS11" i="13"/>
  <c r="CT33" i="13"/>
  <c r="AR13" i="13"/>
  <c r="AH27" i="13"/>
  <c r="BC21" i="13"/>
  <c r="AP33" i="13"/>
  <c r="AJ10" i="13"/>
  <c r="CB33" i="13"/>
  <c r="AE21" i="13"/>
  <c r="AB26" i="13"/>
  <c r="BR7" i="13"/>
  <c r="BH14" i="13"/>
  <c r="Z9" i="13"/>
  <c r="CN19" i="13"/>
  <c r="BJ13" i="13"/>
  <c r="CH23" i="13"/>
  <c r="AJ34" i="13"/>
  <c r="AA28" i="13"/>
  <c r="BR5" i="13"/>
  <c r="BJ15" i="13"/>
  <c r="AP10" i="13"/>
  <c r="BL7" i="13"/>
  <c r="CU21" i="1"/>
  <c r="CM22" i="13"/>
  <c r="CQ26" i="13"/>
  <c r="CO17" i="13"/>
  <c r="CG26" i="13"/>
  <c r="CK27" i="13"/>
  <c r="CG12" i="13"/>
  <c r="CF16" i="13"/>
  <c r="CI8" i="13"/>
  <c r="CS7" i="13"/>
  <c r="CG18" i="13"/>
  <c r="CI26" i="13"/>
  <c r="CM24" i="13"/>
  <c r="CG19" i="13"/>
  <c r="CI10" i="13"/>
  <c r="CQ15" i="13"/>
  <c r="CI12" i="13"/>
  <c r="CM8" i="13"/>
  <c r="CQ24" i="13"/>
  <c r="CO22" i="13"/>
  <c r="CI19" i="13"/>
  <c r="CO21" i="13"/>
  <c r="CG34" i="13"/>
  <c r="CI29" i="13"/>
  <c r="CE13" i="13"/>
  <c r="CF15" i="13"/>
  <c r="CF31" i="13"/>
  <c r="CE9" i="13"/>
  <c r="CF26" i="13"/>
  <c r="CE7" i="13"/>
  <c r="Y26" i="13"/>
  <c r="CF18" i="13"/>
  <c r="Y27" i="13"/>
  <c r="X5" i="13"/>
  <c r="Y21" i="13"/>
  <c r="Y12" i="13"/>
  <c r="CE34" i="13"/>
  <c r="Y17" i="13"/>
  <c r="Y11" i="13"/>
  <c r="Y32" i="13"/>
  <c r="CF10" i="13"/>
  <c r="CI22" i="13"/>
  <c r="CQ11" i="13"/>
  <c r="CG22" i="13"/>
  <c r="CM27" i="13"/>
  <c r="CK28" i="13"/>
  <c r="CK17" i="13"/>
  <c r="CO11" i="13"/>
  <c r="CS33" i="13"/>
  <c r="CI25" i="13"/>
  <c r="CE15" i="13"/>
  <c r="CE22" i="13"/>
  <c r="CE16" i="13"/>
  <c r="CQ30" i="13"/>
  <c r="CS24" i="13"/>
  <c r="CG14" i="13"/>
  <c r="CS27" i="13"/>
  <c r="CK13" i="13"/>
  <c r="CM14" i="13"/>
  <c r="CG27" i="13"/>
  <c r="CI13" i="13"/>
  <c r="CS26" i="13"/>
  <c r="CO10" i="13"/>
  <c r="CG33" i="13"/>
  <c r="CI30" i="13"/>
  <c r="CK22" i="13"/>
  <c r="CG23" i="13"/>
  <c r="CK9" i="13"/>
  <c r="CS20" i="13"/>
  <c r="CQ5" i="13"/>
  <c r="CI28" i="13"/>
  <c r="CK8" i="13"/>
  <c r="CG21" i="13"/>
  <c r="CS6" i="13"/>
  <c r="CF14" i="13"/>
  <c r="CF21" i="13"/>
  <c r="CE31" i="13"/>
  <c r="CF34" i="13"/>
  <c r="CE8" i="13"/>
  <c r="CI6" i="13"/>
  <c r="CF13" i="13"/>
  <c r="CE14" i="13"/>
  <c r="Y29" i="13"/>
  <c r="Y23" i="13"/>
  <c r="Y18" i="13"/>
  <c r="CF9" i="13"/>
  <c r="Y31" i="13"/>
  <c r="Y7" i="13"/>
  <c r="C5" i="13"/>
  <c r="Y19" i="13"/>
  <c r="L5" i="13"/>
  <c r="F5" i="13"/>
  <c r="M5" i="13"/>
  <c r="Y9" i="13"/>
  <c r="N5" i="13"/>
  <c r="Y30" i="13"/>
  <c r="CO28" i="13"/>
  <c r="CI16" i="13"/>
  <c r="CM32" i="13"/>
  <c r="CO29" i="13"/>
  <c r="CE11" i="13"/>
  <c r="CF28" i="13"/>
  <c r="CQ17" i="13"/>
  <c r="CK16" i="13"/>
  <c r="CO5" i="13"/>
  <c r="CK12" i="13"/>
  <c r="CK24" i="13"/>
  <c r="CS15" i="13"/>
  <c r="CI33" i="13"/>
  <c r="CG8" i="13"/>
  <c r="CO32" i="13"/>
  <c r="CM25" i="13"/>
  <c r="CE30" i="13"/>
  <c r="CF33" i="13"/>
  <c r="CF29" i="13"/>
  <c r="Y25" i="13"/>
  <c r="CF23" i="13"/>
  <c r="CF19" i="13"/>
  <c r="Y34" i="13"/>
  <c r="CF25" i="13"/>
  <c r="G5" i="13"/>
  <c r="CD5" i="13"/>
  <c r="E5" i="13"/>
  <c r="CK6" i="13"/>
  <c r="AD20" i="13"/>
  <c r="Z27" i="13"/>
  <c r="AB28" i="13"/>
  <c r="M23" i="14"/>
  <c r="CI5" i="13"/>
  <c r="CS29" i="13"/>
  <c r="CZ15" i="13"/>
  <c r="BD8" i="13"/>
  <c r="BD34" i="13"/>
  <c r="BM34" i="13"/>
  <c r="X10" i="13"/>
  <c r="BH11" i="13"/>
  <c r="CD27" i="13"/>
  <c r="BL26" i="13"/>
  <c r="BZ27" i="13"/>
  <c r="BN16" i="13"/>
  <c r="DA9" i="13"/>
  <c r="BN6" i="13"/>
  <c r="BI23" i="13"/>
  <c r="AR6" i="13"/>
  <c r="CC28" i="13"/>
  <c r="DI19" i="13"/>
  <c r="AK32" i="13"/>
  <c r="X13" i="13"/>
  <c r="AZ32" i="13"/>
  <c r="BN22" i="13"/>
  <c r="AN27" i="13"/>
  <c r="BR24" i="13"/>
  <c r="BX11" i="13"/>
  <c r="BT8" i="13"/>
  <c r="CU26" i="13"/>
  <c r="AV21" i="13"/>
  <c r="BV8" i="13"/>
  <c r="CU23" i="1"/>
  <c r="CQ21" i="13"/>
  <c r="CQ8" i="13"/>
  <c r="CI15" i="13"/>
  <c r="CO25" i="13"/>
  <c r="CQ33" i="13"/>
  <c r="CK26" i="13"/>
  <c r="CF8" i="13"/>
  <c r="CF27" i="13"/>
  <c r="CM33" i="13"/>
  <c r="CQ34" i="13"/>
  <c r="CG32" i="13"/>
  <c r="CM29" i="13"/>
  <c r="CQ9" i="13"/>
  <c r="CG15" i="13"/>
  <c r="CS11" i="13"/>
  <c r="CK30" i="13"/>
  <c r="CI9" i="13"/>
  <c r="CM30" i="13"/>
  <c r="CK15" i="13"/>
  <c r="CG24" i="13"/>
  <c r="CO30" i="13"/>
  <c r="CG16" i="13"/>
  <c r="CS18" i="13"/>
  <c r="CF32" i="13"/>
  <c r="CF20" i="13"/>
  <c r="CE19" i="13"/>
  <c r="CE23" i="13"/>
  <c r="CE18" i="13"/>
  <c r="Y28" i="13"/>
  <c r="Y16" i="13"/>
  <c r="CF22" i="13"/>
  <c r="Y24" i="13"/>
  <c r="D5" i="13"/>
  <c r="Y14" i="13"/>
  <c r="Y10" i="13"/>
  <c r="CE29" i="13"/>
  <c r="Y20" i="13"/>
  <c r="CF11" i="13"/>
  <c r="CE12" i="13"/>
  <c r="Y13" i="13"/>
  <c r="CQ6" i="13"/>
  <c r="CK34" i="13"/>
  <c r="CG25" i="13"/>
  <c r="CS32" i="13"/>
  <c r="CS34" i="13"/>
  <c r="CF7" i="13"/>
  <c r="CM10" i="13"/>
  <c r="CK19" i="13"/>
  <c r="CG28" i="13"/>
  <c r="CO26" i="13"/>
  <c r="CQ29" i="13"/>
  <c r="CM6" i="13"/>
  <c r="CS28" i="13"/>
  <c r="CS22" i="13"/>
  <c r="CI31" i="13"/>
  <c r="CM9" i="13"/>
  <c r="CS8" i="13"/>
  <c r="CE25" i="13"/>
  <c r="CE27" i="13"/>
  <c r="Y15" i="13"/>
  <c r="Y33" i="13"/>
  <c r="CE20" i="13"/>
  <c r="Y8" i="13"/>
  <c r="Y22" i="13"/>
  <c r="P5" i="13"/>
  <c r="O5" i="13"/>
  <c r="CG5" i="13"/>
  <c r="CO6" i="13"/>
  <c r="O36" i="13" l="1"/>
  <c r="P36" i="13"/>
  <c r="D36" i="13"/>
  <c r="DK27" i="13"/>
  <c r="A92" i="14"/>
  <c r="D92" i="14" s="1"/>
  <c r="G36" i="13"/>
  <c r="N36" i="13"/>
  <c r="T5" i="13"/>
  <c r="F36" i="13"/>
  <c r="S5" i="13"/>
  <c r="A91" i="14"/>
  <c r="D91" i="14" s="1"/>
  <c r="DK7" i="13"/>
  <c r="DK14" i="13"/>
  <c r="DK30" i="13"/>
  <c r="A90" i="14"/>
  <c r="D90" i="14" s="1"/>
  <c r="DK22" i="13"/>
  <c r="A93" i="14"/>
  <c r="D93" i="14" s="1"/>
  <c r="A89" i="14"/>
  <c r="D89" i="14" s="1"/>
  <c r="DK20" i="13"/>
  <c r="DK25" i="13"/>
  <c r="H36" i="13"/>
  <c r="DK19" i="13"/>
  <c r="DK18" i="13"/>
  <c r="DK9" i="13"/>
  <c r="DK17" i="13"/>
  <c r="DK8" i="13"/>
  <c r="DK24" i="13"/>
  <c r="DK34" i="13"/>
  <c r="DK21" i="13"/>
  <c r="DK33" i="13"/>
  <c r="DK11" i="13"/>
  <c r="DK16" i="13"/>
  <c r="DK29" i="13"/>
  <c r="A88" i="4"/>
  <c r="A94" i="14"/>
  <c r="D94" i="14" s="1"/>
  <c r="DK13" i="13"/>
  <c r="DK28" i="13"/>
  <c r="J36" i="13"/>
  <c r="I36" i="13"/>
  <c r="DK15" i="13"/>
  <c r="A88" i="14"/>
  <c r="D88" i="14" s="1"/>
  <c r="D103" i="14" s="1"/>
  <c r="G19" i="14" s="1"/>
  <c r="DK32" i="13"/>
  <c r="DK12" i="13"/>
  <c r="DK26" i="13"/>
  <c r="DK10" i="13"/>
  <c r="DK31" i="13"/>
  <c r="DK23" i="13"/>
  <c r="L36" i="13"/>
  <c r="G14" i="4"/>
  <c r="CE6" i="13"/>
  <c r="DK6" i="13" l="1"/>
  <c r="D19" i="14"/>
  <c r="M36" i="13"/>
  <c r="CF6" i="13"/>
  <c r="I19" i="14" l="1"/>
  <c r="M514" i="5"/>
  <c r="M513" i="5"/>
  <c r="M510" i="5"/>
  <c r="M511" i="5"/>
  <c r="M507" i="5"/>
  <c r="M512" i="5"/>
  <c r="M509" i="5"/>
  <c r="M506" i="5"/>
  <c r="M501" i="5"/>
  <c r="M505" i="5"/>
  <c r="M503" i="5"/>
  <c r="M504" i="5"/>
  <c r="M502" i="5"/>
  <c r="M500" i="5"/>
  <c r="Y6" i="13"/>
  <c r="D91" i="4"/>
  <c r="D93" i="4"/>
  <c r="D90" i="4"/>
  <c r="D95" i="4"/>
  <c r="D99" i="4"/>
  <c r="D98" i="4"/>
  <c r="D88" i="4"/>
  <c r="D100" i="4"/>
  <c r="D89" i="4"/>
  <c r="D92" i="4"/>
  <c r="D97" i="4"/>
  <c r="D94" i="4"/>
  <c r="M515" i="5" l="1"/>
  <c r="D103" i="4"/>
  <c r="D19" i="4" s="1"/>
  <c r="I19" i="4" s="1"/>
  <c r="Y5" i="13"/>
  <c r="CF5" i="13"/>
  <c r="G19" i="4" l="1"/>
  <c r="CE5" i="13"/>
  <c r="DK5" i="13" l="1"/>
</calcChain>
</file>

<file path=xl/comments1.xml><?xml version="1.0" encoding="utf-8"?>
<comments xmlns="http://schemas.openxmlformats.org/spreadsheetml/2006/main">
  <authors>
    <author>Jakob Burgler</author>
  </authors>
  <commentList>
    <comment ref="D11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11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11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12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12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12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13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13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3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13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14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14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16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16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6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16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17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17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17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19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19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9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19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20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20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0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20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21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21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21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23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23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3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23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4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24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24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4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24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5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25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25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5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25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26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26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6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26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27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27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7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27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28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8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28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8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28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30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0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30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1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31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31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1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31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33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3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33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3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33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5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35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35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E36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G36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6" authorId="0">
      <text>
        <r>
          <rPr>
            <b/>
            <sz val="8"/>
            <color indexed="81"/>
            <rFont val="Tahoma"/>
            <family val="2"/>
          </rPr>
          <t>U dient hier een percentage in te voeren.</t>
        </r>
      </text>
    </comment>
    <comment ref="I36" authorId="0">
      <text>
        <r>
          <rPr>
            <b/>
            <sz val="8"/>
            <color indexed="81"/>
            <rFont val="Tahoma"/>
            <family val="2"/>
          </rPr>
          <t>Als u in de vorige kolom een percentage heeft ingevulld hoeft u hier niets in te vullen anders vult u hier het bedrag in.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Martine Godlieb</author>
  </authors>
  <commentList>
    <comment ref="H92" authorId="0">
      <text>
        <r>
          <rPr>
            <b/>
            <sz val="9"/>
            <color indexed="81"/>
            <rFont val="Tahoma"/>
            <family val="2"/>
          </rPr>
          <t>Sportvloer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31" authorId="0">
      <text>
        <r>
          <rPr>
            <b/>
            <sz val="9"/>
            <color indexed="81"/>
            <rFont val="Tahoma"/>
            <family val="2"/>
          </rPr>
          <t>Sportvloer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<sst xmlns="http://schemas.openxmlformats.org/spreadsheetml/2006/main" count="1002" uniqueCount="506">
  <si>
    <t>bestek</t>
  </si>
  <si>
    <t>ingangsdatum</t>
  </si>
  <si>
    <t>soort inspectie</t>
  </si>
  <si>
    <t>inspectie betaald door</t>
  </si>
  <si>
    <t>VSR</t>
  </si>
  <si>
    <t>SMB</t>
  </si>
  <si>
    <t>inv</t>
  </si>
  <si>
    <t>naam object</t>
  </si>
  <si>
    <t>adres</t>
  </si>
  <si>
    <t>plaats</t>
  </si>
  <si>
    <t>aantal dagen smk/jr</t>
  </si>
  <si>
    <t>gebouw inventarisatie door Alpha / SMB</t>
  </si>
  <si>
    <t>glas inventarisatie door Alpha / SMB</t>
  </si>
  <si>
    <t>inventarisatie compleet</t>
  </si>
  <si>
    <t>opmerking inventarisatie</t>
  </si>
  <si>
    <t>eigen dienst</t>
  </si>
  <si>
    <t>aansturing door</t>
  </si>
  <si>
    <t>levering mm door</t>
  </si>
  <si>
    <t>gewenste aanvangstijd</t>
  </si>
  <si>
    <t>bijzondere vloeren</t>
  </si>
  <si>
    <t>1 soort vloeronderhoud</t>
  </si>
  <si>
    <t>freq</t>
  </si>
  <si>
    <t>2 soort vloeronderhoud</t>
  </si>
  <si>
    <t>3 soort vloeronderhoud</t>
  </si>
  <si>
    <t>4 soort vloeronderhoud</t>
  </si>
  <si>
    <t>5 soort vloeronderhoud</t>
  </si>
  <si>
    <t>6 soort vloeronderhoud</t>
  </si>
  <si>
    <t>7 soort vloeronderhoud</t>
  </si>
  <si>
    <t>1 extra werk</t>
  </si>
  <si>
    <t>prijs per</t>
  </si>
  <si>
    <t>aantal</t>
  </si>
  <si>
    <t>brt/jr</t>
  </si>
  <si>
    <t>2 extra werk</t>
  </si>
  <si>
    <t>3 extra werk</t>
  </si>
  <si>
    <t>4 extra werk</t>
  </si>
  <si>
    <t>5 extra werk</t>
  </si>
  <si>
    <t>6 extra werk</t>
  </si>
  <si>
    <t>7 extra werk</t>
  </si>
  <si>
    <t>8 extra werk</t>
  </si>
  <si>
    <t xml:space="preserve">prijs per </t>
  </si>
  <si>
    <t>9 extra werk</t>
  </si>
  <si>
    <t>10 extra werk</t>
  </si>
  <si>
    <t>11 extra werk</t>
  </si>
  <si>
    <t>8 soort vloeronderhoud</t>
  </si>
  <si>
    <t>1 glas</t>
  </si>
  <si>
    <t>2 glas</t>
  </si>
  <si>
    <t>3 glas</t>
  </si>
  <si>
    <t>4 glas</t>
  </si>
  <si>
    <t>5 glas</t>
  </si>
  <si>
    <t>6 glas</t>
  </si>
  <si>
    <t>7 glas</t>
  </si>
  <si>
    <t>8 glas</t>
  </si>
  <si>
    <t>9 glas</t>
  </si>
  <si>
    <t xml:space="preserve">10 glas </t>
  </si>
  <si>
    <t>levering sanitaire voorzieningen</t>
  </si>
  <si>
    <t>gevelglas buitenzijde enkelvoudig gemeten</t>
  </si>
  <si>
    <t>op afroep</t>
  </si>
  <si>
    <t>gevelglas binnenzijde enkelvoudig gemeten</t>
  </si>
  <si>
    <t>separatieglas dubbelvoudig gemeten</t>
  </si>
  <si>
    <t>koepelglas enkelvoudig gemeten</t>
  </si>
  <si>
    <t>aantal gebruikers per locatie</t>
  </si>
  <si>
    <t>m2 prijs inspectie</t>
  </si>
  <si>
    <t>totaal m2 schoonmaak per dag</t>
  </si>
  <si>
    <t>inspectieprijs</t>
  </si>
  <si>
    <t>aantal inspecties</t>
  </si>
  <si>
    <t>huidig SMB</t>
  </si>
  <si>
    <t>sprayen</t>
  </si>
  <si>
    <t>conserveren</t>
  </si>
  <si>
    <t>tapijtreinigen</t>
  </si>
  <si>
    <t>dieptereiniging sanitair</t>
  </si>
  <si>
    <t>m2</t>
  </si>
  <si>
    <t>Straat:</t>
  </si>
  <si>
    <t>Object:</t>
  </si>
  <si>
    <t>Plaats:</t>
  </si>
  <si>
    <t>Gewenste aanvangstijd schoonmaak:</t>
  </si>
  <si>
    <t xml:space="preserve">Aantal dagen schoonmaak per jaar: </t>
  </si>
  <si>
    <t>Uitvoeringsbepaling:</t>
  </si>
  <si>
    <t>Inventarisatie:</t>
  </si>
  <si>
    <t>Totale jaarprijs / jaaruren</t>
  </si>
  <si>
    <t>Uren direct toezicht</t>
  </si>
  <si>
    <t>Extra werkzaamheden</t>
  </si>
  <si>
    <t>prijs</t>
  </si>
  <si>
    <t>jaarprijs</t>
  </si>
  <si>
    <t>jaaruren</t>
  </si>
  <si>
    <t>verhouding</t>
  </si>
  <si>
    <t>per dag</t>
  </si>
  <si>
    <t>per jaar</t>
  </si>
  <si>
    <t>prijs per eenheid</t>
  </si>
  <si>
    <t>beurt prijs</t>
  </si>
  <si>
    <t>beurten per jaar</t>
  </si>
  <si>
    <t>prijs per jaar</t>
  </si>
  <si>
    <t>programma</t>
  </si>
  <si>
    <t>categorie</t>
  </si>
  <si>
    <t>gemiddelde</t>
  </si>
  <si>
    <t>productie per m2</t>
  </si>
  <si>
    <t>A</t>
  </si>
  <si>
    <t>B</t>
  </si>
  <si>
    <t>D</t>
  </si>
  <si>
    <t>Totaal</t>
  </si>
  <si>
    <t>Werkzaamheden met een frequentie tot 1/20</t>
  </si>
  <si>
    <t>Schoonmaakwerkzaamheden 3x per jaar</t>
  </si>
  <si>
    <t>Schoonmaakwerkzaamheden 1x per jaar</t>
  </si>
  <si>
    <t>Vloer onderhoud</t>
  </si>
  <si>
    <t>Glasbewassing</t>
  </si>
  <si>
    <t>Totaalprijs per jaar</t>
  </si>
  <si>
    <t>cat</t>
  </si>
  <si>
    <t>Adres, plaats:</t>
  </si>
  <si>
    <t>nr</t>
  </si>
  <si>
    <t>Ruimte</t>
  </si>
  <si>
    <t>ED</t>
  </si>
  <si>
    <t>Cat.</t>
  </si>
  <si>
    <t>Tapijt</t>
  </si>
  <si>
    <t>Linoleum</t>
  </si>
  <si>
    <t>PVC</t>
  </si>
  <si>
    <t>Hout</t>
  </si>
  <si>
    <t>Steen</t>
  </si>
  <si>
    <t>Freq</t>
  </si>
  <si>
    <t>m2 smk/jr</t>
  </si>
  <si>
    <t>Tot/jr</t>
  </si>
  <si>
    <t>Categorie:</t>
  </si>
  <si>
    <t>Categorie</t>
  </si>
  <si>
    <t>Frequentie</t>
  </si>
  <si>
    <t>E</t>
  </si>
  <si>
    <t>C</t>
  </si>
  <si>
    <t>F</t>
  </si>
  <si>
    <t>G</t>
  </si>
  <si>
    <t>Totaal uitbesteden:</t>
  </si>
  <si>
    <t>Categorie H (nio)</t>
  </si>
  <si>
    <t>Naam opdrachtgever</t>
  </si>
  <si>
    <t>Vestigingsplaats opdrachtgever</t>
  </si>
  <si>
    <t>Kvk-nummer</t>
  </si>
  <si>
    <t>Naam tekenbevoegde opdrachtgever voor contract</t>
  </si>
  <si>
    <t>Functie</t>
  </si>
  <si>
    <t>Naam tekenbevoegde opdrachtgever voor supplementen</t>
  </si>
  <si>
    <t>Telefoonnummer kantoor</t>
  </si>
  <si>
    <t>Naam contactpersoon</t>
  </si>
  <si>
    <t>Mobiel nummer contactpersoon</t>
  </si>
  <si>
    <t>E-mail adres contactpersoon</t>
  </si>
  <si>
    <t>Volledige naam schoonmaakbedrijf (Handelsnaam Kvk)</t>
  </si>
  <si>
    <t>Vestigingsplaats schoonmaakbedrijf (Kvk)</t>
  </si>
  <si>
    <t>Tekenbevoegde schoonmaakbedrijf voor contract</t>
  </si>
  <si>
    <t>Tekenbevoegde schoonmaakbedrijf voor supplementen</t>
  </si>
  <si>
    <t>Contactpersoon offerte</t>
  </si>
  <si>
    <t>Postadres kantoor</t>
  </si>
  <si>
    <t>Mobiel nummer contactpersoon offerte</t>
  </si>
  <si>
    <t>E-mail adres contactpersoon offerte</t>
  </si>
  <si>
    <t>PC + woonplaats kantoor</t>
  </si>
  <si>
    <t>Opbouw uurtarieven</t>
  </si>
  <si>
    <t>%</t>
  </si>
  <si>
    <t>€</t>
  </si>
  <si>
    <t>Offerte tarief</t>
  </si>
  <si>
    <t>Specialistisch tarief</t>
  </si>
  <si>
    <t>Regie tarief divers</t>
  </si>
  <si>
    <t>Evt. toeslag</t>
  </si>
  <si>
    <t>Subtotaal basis</t>
  </si>
  <si>
    <t>Cao</t>
  </si>
  <si>
    <t>Vakantiedagen</t>
  </si>
  <si>
    <t>Kosten ziektedagen</t>
  </si>
  <si>
    <t>Subtotaal</t>
  </si>
  <si>
    <t>Vakantietoeslag</t>
  </si>
  <si>
    <t>Sociale lasten</t>
  </si>
  <si>
    <t>Totale lookkosten</t>
  </si>
  <si>
    <t>Middelen en materialen</t>
  </si>
  <si>
    <t>Werkkleding</t>
  </si>
  <si>
    <t>Machinekosten</t>
  </si>
  <si>
    <t>Direct toezicht</t>
  </si>
  <si>
    <t>Diversen</t>
  </si>
  <si>
    <t>Totaal directe kosten</t>
  </si>
  <si>
    <t>Indirect toezicht</t>
  </si>
  <si>
    <t>Overhead</t>
  </si>
  <si>
    <t>Risico en Winst</t>
  </si>
  <si>
    <t>Totaal tarief</t>
  </si>
  <si>
    <t>Basis Cao-uurloon</t>
  </si>
  <si>
    <t>MA</t>
  </si>
  <si>
    <t>DI</t>
  </si>
  <si>
    <t>WO</t>
  </si>
  <si>
    <t>DO</t>
  </si>
  <si>
    <t>VR</t>
  </si>
  <si>
    <t>ZA</t>
  </si>
  <si>
    <t>ZO</t>
  </si>
  <si>
    <t>FE</t>
  </si>
  <si>
    <t>00:00 tot 06:00</t>
  </si>
  <si>
    <t>06:00 tot 21:30</t>
  </si>
  <si>
    <t>21:30 tot 24:00</t>
  </si>
  <si>
    <t>Regietarief diverse werkzaamheden</t>
  </si>
  <si>
    <t>Regietarief specialistische werkzaamheden</t>
  </si>
  <si>
    <t>Kwartaalbeurt 3x</t>
  </si>
  <si>
    <t>Sanitaire voorzieningen</t>
  </si>
  <si>
    <t>Uren maand schoonmaak x 12</t>
  </si>
  <si>
    <t>Uren direct toezicht per dag</t>
  </si>
  <si>
    <t xml:space="preserve"> Maandprijs 12x </t>
  </si>
  <si>
    <t xml:space="preserve"> Kwartaal beurt </t>
  </si>
  <si>
    <t>Jaar beurt</t>
  </si>
  <si>
    <t>Glas bewassing</t>
  </si>
  <si>
    <t>Uren kwartaal beurt 3x</t>
  </si>
  <si>
    <t>Uren jaar beurt</t>
  </si>
  <si>
    <t>Maand prijs</t>
  </si>
  <si>
    <t>m2/jr</t>
  </si>
  <si>
    <t>prijs/jr</t>
  </si>
  <si>
    <t>I</t>
  </si>
  <si>
    <t>Totaal:</t>
  </si>
  <si>
    <t>uren</t>
  </si>
  <si>
    <t>prijs per m2</t>
  </si>
  <si>
    <t>Handoekautomaat</t>
  </si>
  <si>
    <t>Toiletrolautomaat</t>
  </si>
  <si>
    <t>Zeepdispenser</t>
  </si>
  <si>
    <t>Luchtverfrisser</t>
  </si>
  <si>
    <t xml:space="preserve">Dameshygiëne </t>
  </si>
  <si>
    <t>Toiletbrilreiniger</t>
  </si>
  <si>
    <t>Inloopmat</t>
  </si>
  <si>
    <t>artikel</t>
  </si>
  <si>
    <t>omschrijving</t>
  </si>
  <si>
    <t>huur/koop</t>
  </si>
  <si>
    <t>medewerkers</t>
  </si>
  <si>
    <t>bezoekers</t>
  </si>
  <si>
    <t>Kwaliteitsinspecties</t>
  </si>
  <si>
    <t>Gem. uren/dag</t>
  </si>
  <si>
    <t>m2 uit te besteden per jaar</t>
  </si>
  <si>
    <t>m2 uit te besteden per dag</t>
  </si>
  <si>
    <t>gem. prestatie</t>
  </si>
  <si>
    <t>Prestatie</t>
  </si>
  <si>
    <t>Regie tarief</t>
  </si>
  <si>
    <t>Gemiddelde m2 prestatie</t>
  </si>
  <si>
    <t>Totaal m2 uitbesteden/dag</t>
  </si>
  <si>
    <t>Totaal m2 uitbesteden jr</t>
  </si>
  <si>
    <t>categorie 1</t>
  </si>
  <si>
    <t>prestatie</t>
  </si>
  <si>
    <t>categorie 2</t>
  </si>
  <si>
    <t>categorie 3</t>
  </si>
  <si>
    <t>categorie 4</t>
  </si>
  <si>
    <t>categorie 5</t>
  </si>
  <si>
    <t>categorie 6</t>
  </si>
  <si>
    <t>categorie 7</t>
  </si>
  <si>
    <t>categorie 8</t>
  </si>
  <si>
    <t>categorie 9</t>
  </si>
  <si>
    <t>categorie 10</t>
  </si>
  <si>
    <t>categorie 11</t>
  </si>
  <si>
    <t>categorie 12</t>
  </si>
  <si>
    <t>categorie 13</t>
  </si>
  <si>
    <t>categorie 14</t>
  </si>
  <si>
    <t>categorie 15</t>
  </si>
  <si>
    <t>Totalen overzicht</t>
  </si>
  <si>
    <t>extra 1</t>
  </si>
  <si>
    <t>extra 2</t>
  </si>
  <si>
    <t>extra 3</t>
  </si>
  <si>
    <t>extra 4</t>
  </si>
  <si>
    <t>extra 5</t>
  </si>
  <si>
    <t>extra 6</t>
  </si>
  <si>
    <t>extra 7</t>
  </si>
  <si>
    <t>extra 8</t>
  </si>
  <si>
    <t>extra 9</t>
  </si>
  <si>
    <t>extra 10</t>
  </si>
  <si>
    <t>extra 11</t>
  </si>
  <si>
    <t>vloer 1</t>
  </si>
  <si>
    <t>vloer 2</t>
  </si>
  <si>
    <t>vloer 3</t>
  </si>
  <si>
    <t>vloer 4</t>
  </si>
  <si>
    <t>vloer 5</t>
  </si>
  <si>
    <t>vloer 6</t>
  </si>
  <si>
    <t>vloer 7</t>
  </si>
  <si>
    <t>glas 1</t>
  </si>
  <si>
    <t>glas 2</t>
  </si>
  <si>
    <t>glas 3</t>
  </si>
  <si>
    <t>glas 4</t>
  </si>
  <si>
    <t>glas 5</t>
  </si>
  <si>
    <t>glas 6</t>
  </si>
  <si>
    <t>glas 7</t>
  </si>
  <si>
    <t>glas 8</t>
  </si>
  <si>
    <t>glas 9</t>
  </si>
  <si>
    <t>glas 10</t>
  </si>
  <si>
    <t>Tot uren per jaar</t>
  </si>
  <si>
    <t>Totaal eigen dienst:</t>
  </si>
  <si>
    <t>Eigen dienst:</t>
  </si>
  <si>
    <t>Aantal gebruikers van dit object</t>
  </si>
  <si>
    <t>Locatie</t>
  </si>
  <si>
    <t>Opdrachtgever:</t>
  </si>
  <si>
    <t>en</t>
  </si>
  <si>
    <t>Opdrachtnemer:</t>
  </si>
  <si>
    <t>Zijn het volgende overeengekomen:</t>
  </si>
  <si>
    <t>Wijzigingnummer:</t>
  </si>
  <si>
    <t xml:space="preserve">Deze wijziging betreft het object: </t>
  </si>
  <si>
    <t>Objectnummer:</t>
  </si>
  <si>
    <t>Ingangsdatum wijziging:</t>
  </si>
  <si>
    <t>Evt. einddatum wijziging:</t>
  </si>
  <si>
    <t>De wijziging houdt het volgende in:</t>
  </si>
  <si>
    <t>De nieuwe bedragen zijn vermeld op het prijzenblad dat als bijlage bij dit supplement is verstrekt.</t>
  </si>
  <si>
    <t>Opgemaakt:</t>
  </si>
  <si>
    <t>Zuidlaren</t>
  </si>
  <si>
    <t>Nr.</t>
  </si>
  <si>
    <t>Ingangsdatum</t>
  </si>
  <si>
    <t>Evt. einddatum</t>
  </si>
  <si>
    <t>Object</t>
  </si>
  <si>
    <t>Wijziging</t>
  </si>
  <si>
    <t>Oud jaarbedrag</t>
  </si>
  <si>
    <t>Nieuw jaarbedrag</t>
  </si>
  <si>
    <t>Evt. bijlage</t>
  </si>
  <si>
    <t>Uitvoerings bepaling</t>
  </si>
  <si>
    <t xml:space="preserve"> Totaalprijs per jaar </t>
  </si>
  <si>
    <t xml:space="preserve">Maanduren x12 </t>
  </si>
  <si>
    <t>Kwartaalbeurt uren x3</t>
  </si>
  <si>
    <t>Reinigen lamellen</t>
  </si>
  <si>
    <t>Gravity verwijderen</t>
  </si>
  <si>
    <t>schrobben van de stenen vloeren</t>
  </si>
  <si>
    <t>schrobben van pvc vloeren</t>
  </si>
  <si>
    <t>Kosten adviesbureau</t>
  </si>
  <si>
    <t>totaalprijs</t>
  </si>
  <si>
    <t>prijs /m2</t>
  </si>
  <si>
    <t xml:space="preserve">netto meters </t>
  </si>
  <si>
    <t>x</t>
  </si>
  <si>
    <t>= vaste periode factuur</t>
  </si>
  <si>
    <t>= facturatie met getekende opdrachtbon</t>
  </si>
  <si>
    <t>Factuur frequentie :</t>
  </si>
  <si>
    <t>Periode bedrag</t>
  </si>
  <si>
    <t>RSG Ter Apel</t>
  </si>
  <si>
    <t>Oudeweg 41</t>
  </si>
  <si>
    <t>Ter Apel</t>
  </si>
  <si>
    <t>1a</t>
  </si>
  <si>
    <t>Entree</t>
  </si>
  <si>
    <t>1B</t>
  </si>
  <si>
    <t>Centrale hal</t>
  </si>
  <si>
    <t>5b</t>
  </si>
  <si>
    <t>Kantoor</t>
  </si>
  <si>
    <t>5a</t>
  </si>
  <si>
    <t>Reproruimte</t>
  </si>
  <si>
    <t>1c</t>
  </si>
  <si>
    <t>Lift</t>
  </si>
  <si>
    <t>1d</t>
  </si>
  <si>
    <t>Gang</t>
  </si>
  <si>
    <t>5e</t>
  </si>
  <si>
    <t xml:space="preserve">Kantoor </t>
  </si>
  <si>
    <t>Lokaal</t>
  </si>
  <si>
    <t xml:space="preserve"> Lokaal scheikunde</t>
  </si>
  <si>
    <t>1e</t>
  </si>
  <si>
    <t>Toa (kabinet)</t>
  </si>
  <si>
    <t>1f</t>
  </si>
  <si>
    <t>Noodtrap</t>
  </si>
  <si>
    <t>Toiletgroep meisjes</t>
  </si>
  <si>
    <t>Toiletgroep jongens</t>
  </si>
  <si>
    <t>Kantine 1</t>
  </si>
  <si>
    <t>Kantine 2</t>
  </si>
  <si>
    <t>14a</t>
  </si>
  <si>
    <t>Keuken</t>
  </si>
  <si>
    <t>Gang en entree</t>
  </si>
  <si>
    <t>Toiletgroepmeisjes</t>
  </si>
  <si>
    <t>15b</t>
  </si>
  <si>
    <t>22a</t>
  </si>
  <si>
    <t>22b</t>
  </si>
  <si>
    <t>15c</t>
  </si>
  <si>
    <t>15d</t>
  </si>
  <si>
    <t>15e</t>
  </si>
  <si>
    <t>15f</t>
  </si>
  <si>
    <t>16a</t>
  </si>
  <si>
    <t>16b</t>
  </si>
  <si>
    <t>16c</t>
  </si>
  <si>
    <t>Toilet personeel</t>
  </si>
  <si>
    <t>16d</t>
  </si>
  <si>
    <t>17a</t>
  </si>
  <si>
    <t>35a</t>
  </si>
  <si>
    <t>36a</t>
  </si>
  <si>
    <t>Berging</t>
  </si>
  <si>
    <t>36b</t>
  </si>
  <si>
    <t>Muzieklokaal</t>
  </si>
  <si>
    <t>Portaal</t>
  </si>
  <si>
    <t>38a</t>
  </si>
  <si>
    <t>38b</t>
  </si>
  <si>
    <t>38c</t>
  </si>
  <si>
    <t>39a</t>
  </si>
  <si>
    <t>Lokaal zorg en welzijn</t>
  </si>
  <si>
    <t>17b</t>
  </si>
  <si>
    <t>40a</t>
  </si>
  <si>
    <t>Wasruimte</t>
  </si>
  <si>
    <t>40b</t>
  </si>
  <si>
    <t>Lokaal zorg</t>
  </si>
  <si>
    <t>Kapsalon</t>
  </si>
  <si>
    <t>45a</t>
  </si>
  <si>
    <t>Studiehuis</t>
  </si>
  <si>
    <t>45c</t>
  </si>
  <si>
    <t>Kantoor in studiehuis</t>
  </si>
  <si>
    <t>45d</t>
  </si>
  <si>
    <t>45e</t>
  </si>
  <si>
    <t>26a</t>
  </si>
  <si>
    <t>26c</t>
  </si>
  <si>
    <t>26b</t>
  </si>
  <si>
    <t>27a</t>
  </si>
  <si>
    <t>27b</t>
  </si>
  <si>
    <t>27c</t>
  </si>
  <si>
    <t>51a</t>
  </si>
  <si>
    <t>Techniek breed</t>
  </si>
  <si>
    <t>51b</t>
  </si>
  <si>
    <t>Toilet jongens</t>
  </si>
  <si>
    <t>51c</t>
  </si>
  <si>
    <t>Toilet meisjes</t>
  </si>
  <si>
    <t>Tb3</t>
  </si>
  <si>
    <t>Lokaal verdieping techniek</t>
  </si>
  <si>
    <t>Tb4</t>
  </si>
  <si>
    <t>Tb5</t>
  </si>
  <si>
    <t>Kantoor 1e verdieping techniek</t>
  </si>
  <si>
    <t>29a</t>
  </si>
  <si>
    <t>Teamleider</t>
  </si>
  <si>
    <t>30a</t>
  </si>
  <si>
    <t>Gang drama</t>
  </si>
  <si>
    <t>29b</t>
  </si>
  <si>
    <t>Lokaal drama</t>
  </si>
  <si>
    <t>31a</t>
  </si>
  <si>
    <t>Lokaal muziekschool</t>
  </si>
  <si>
    <t>33a</t>
  </si>
  <si>
    <t>33b</t>
  </si>
  <si>
    <t>Garderobe kluisjes</t>
  </si>
  <si>
    <t>33c</t>
  </si>
  <si>
    <t>Kantoor conciërge</t>
  </si>
  <si>
    <t>33d</t>
  </si>
  <si>
    <t>12a</t>
  </si>
  <si>
    <t>12b</t>
  </si>
  <si>
    <t>12c</t>
  </si>
  <si>
    <t>12d</t>
  </si>
  <si>
    <t>12e</t>
  </si>
  <si>
    <t>9a</t>
  </si>
  <si>
    <t>Werkruimte</t>
  </si>
  <si>
    <t>5d</t>
  </si>
  <si>
    <t>Administratie</t>
  </si>
  <si>
    <t>5z</t>
  </si>
  <si>
    <t>5c</t>
  </si>
  <si>
    <t>34e</t>
  </si>
  <si>
    <t>Personeelsruimte</t>
  </si>
  <si>
    <t>8a</t>
  </si>
  <si>
    <t>8b</t>
  </si>
  <si>
    <t>8c</t>
  </si>
  <si>
    <t>8d</t>
  </si>
  <si>
    <t>8e</t>
  </si>
  <si>
    <t>8f</t>
  </si>
  <si>
    <t>Toiletgoep</t>
  </si>
  <si>
    <t>34b</t>
  </si>
  <si>
    <t>Gang  gymlokaal</t>
  </si>
  <si>
    <t>34f</t>
  </si>
  <si>
    <t>Docentenruimte</t>
  </si>
  <si>
    <t>34g</t>
  </si>
  <si>
    <t>Kleedruimte</t>
  </si>
  <si>
    <t>34h</t>
  </si>
  <si>
    <t>Doucheruimte</t>
  </si>
  <si>
    <t>34i</t>
  </si>
  <si>
    <t>Toilet</t>
  </si>
  <si>
    <t>34j</t>
  </si>
  <si>
    <t>34k</t>
  </si>
  <si>
    <t>34l</t>
  </si>
  <si>
    <t>34a</t>
  </si>
  <si>
    <t>Gymzaal</t>
  </si>
  <si>
    <t>34m</t>
  </si>
  <si>
    <t>25d</t>
  </si>
  <si>
    <t>25c</t>
  </si>
  <si>
    <t>21a</t>
  </si>
  <si>
    <t>21b</t>
  </si>
  <si>
    <t>21c/d</t>
  </si>
  <si>
    <t>Mediatheek</t>
  </si>
  <si>
    <t>Trap</t>
  </si>
  <si>
    <t>110a</t>
  </si>
  <si>
    <t>Toa</t>
  </si>
  <si>
    <t>113b</t>
  </si>
  <si>
    <t>113c</t>
  </si>
  <si>
    <t>Rector</t>
  </si>
  <si>
    <t>114a</t>
  </si>
  <si>
    <t>114b</t>
  </si>
  <si>
    <t>115a</t>
  </si>
  <si>
    <t>115b</t>
  </si>
  <si>
    <t>Computerlokaal</t>
  </si>
  <si>
    <t>117a</t>
  </si>
  <si>
    <t>117b</t>
  </si>
  <si>
    <t>Gang/overloop</t>
  </si>
  <si>
    <t>Glas gevel</t>
  </si>
  <si>
    <t>Glas sep</t>
  </si>
  <si>
    <t>Stichting Openbaar Voortgezet Onderwijs Vlagtwedde</t>
  </si>
  <si>
    <t>2016-S2800</t>
  </si>
  <si>
    <t>Op afroep</t>
  </si>
  <si>
    <t>Tapijtreinigen</t>
  </si>
  <si>
    <t>Reinigen inloopzones</t>
  </si>
  <si>
    <t>Dhr. A.H. Bangma</t>
  </si>
  <si>
    <t>M. Lanting</t>
  </si>
  <si>
    <t>050-534 72 13</t>
  </si>
  <si>
    <t>mlanting@alpha-adviesbureau.nl</t>
  </si>
  <si>
    <t>A1</t>
  </si>
  <si>
    <t>B1</t>
  </si>
  <si>
    <t>Glasbewassing (inclusief omlijsting)</t>
  </si>
  <si>
    <t>A2</t>
  </si>
  <si>
    <t>C1</t>
  </si>
  <si>
    <t>D1</t>
  </si>
  <si>
    <t>F1</t>
  </si>
  <si>
    <t>Toestelberging</t>
  </si>
  <si>
    <t>Hoofd Bedrijfsvoering</t>
  </si>
  <si>
    <t>H</t>
  </si>
  <si>
    <t xml:space="preserve">Polymeren lokalen </t>
  </si>
  <si>
    <t>Polymeren verkeersruimten</t>
  </si>
  <si>
    <t>Polymeren Aula</t>
  </si>
  <si>
    <t>Sprayen Aula</t>
  </si>
  <si>
    <t>Tussenronde Toiletten</t>
  </si>
  <si>
    <t>dag</t>
  </si>
  <si>
    <t>Entree noodunit 1</t>
  </si>
  <si>
    <t>Hal noodunit 1</t>
  </si>
  <si>
    <t>Kantoor noodunit 1</t>
  </si>
  <si>
    <t>Toilet noodunits 1</t>
  </si>
  <si>
    <t>Gang noodunit 1</t>
  </si>
  <si>
    <t>Lokaal noodunit 1</t>
  </si>
  <si>
    <t>Entree noodunit 2</t>
  </si>
  <si>
    <t>Lokaal noodunit 2</t>
  </si>
  <si>
    <t>Toilet noodunit 2</t>
  </si>
  <si>
    <t>Gang noodunit 2</t>
  </si>
  <si>
    <t>Noodlokaal</t>
  </si>
  <si>
    <t>Dagelijkse wc ronde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</si>
</sst>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€&quot;\ * #,##0.00_ ;_ &quot;€&quot;\ * \-#,##0.00_ ;_ &quot;€&quot;\ * &quot;-&quot;??_ ;_ @_ "/>
    <numFmt numFmtId="164" formatCode="0.000%"/>
    <numFmt numFmtId="165" formatCode="0#########"/>
    <numFmt numFmtId="166" formatCode="[$-413]d\ mmmm\ yy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1F1770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07512"/>
        <bgColor indexed="64"/>
      </patternFill>
    </fill>
    <fill>
      <patternFill patternType="solid">
        <fgColor rgb="FF1F177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9F928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361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1" fontId="0" fillId="0" borderId="0" xfId="0" applyNumberFormat="1"/>
    <xf numFmtId="1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4" fillId="0" borderId="0" xfId="0" applyFont="1"/>
    <xf numFmtId="0" fontId="0" fillId="0" borderId="0" xfId="0" applyBorder="1"/>
    <xf numFmtId="0" fontId="0" fillId="0" borderId="1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15" xfId="0" applyBorder="1"/>
    <xf numFmtId="0" fontId="0" fillId="0" borderId="0" xfId="0" applyFill="1" applyBorder="1"/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20" fontId="0" fillId="0" borderId="5" xfId="0" applyNumberFormat="1" applyBorder="1"/>
    <xf numFmtId="2" fontId="0" fillId="0" borderId="8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9" xfId="0" applyNumberFormat="1" applyBorder="1"/>
    <xf numFmtId="2" fontId="0" fillId="0" borderId="17" xfId="0" applyNumberFormat="1" applyFill="1" applyBorder="1"/>
    <xf numFmtId="2" fontId="0" fillId="0" borderId="15" xfId="0" applyNumberFormat="1" applyFill="1" applyBorder="1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Fill="1"/>
    <xf numFmtId="0" fontId="0" fillId="0" borderId="14" xfId="0" applyFill="1" applyBorder="1"/>
    <xf numFmtId="4" fontId="0" fillId="0" borderId="2" xfId="0" applyNumberFormat="1" applyBorder="1"/>
    <xf numFmtId="44" fontId="0" fillId="0" borderId="2" xfId="0" applyNumberFormat="1" applyBorder="1"/>
    <xf numFmtId="0" fontId="4" fillId="0" borderId="13" xfId="0" applyFont="1" applyBorder="1"/>
    <xf numFmtId="0" fontId="0" fillId="0" borderId="15" xfId="0" applyFill="1" applyBorder="1"/>
    <xf numFmtId="0" fontId="2" fillId="0" borderId="13" xfId="0" applyFont="1" applyBorder="1"/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2" fontId="0" fillId="0" borderId="39" xfId="0" applyNumberFormat="1" applyFill="1" applyBorder="1"/>
    <xf numFmtId="2" fontId="0" fillId="0" borderId="26" xfId="0" applyNumberFormat="1" applyFill="1" applyBorder="1"/>
    <xf numFmtId="1" fontId="0" fillId="0" borderId="13" xfId="0" applyNumberFormat="1" applyBorder="1"/>
    <xf numFmtId="0" fontId="0" fillId="0" borderId="13" xfId="0" applyBorder="1" applyAlignment="1">
      <alignment horizontal="center"/>
    </xf>
    <xf numFmtId="1" fontId="0" fillId="0" borderId="0" xfId="0" applyNumberFormat="1" applyAlignment="1" applyProtection="1">
      <alignment horizontal="left"/>
      <protection hidden="1"/>
    </xf>
    <xf numFmtId="44" fontId="0" fillId="0" borderId="0" xfId="0" applyNumberFormat="1"/>
    <xf numFmtId="0" fontId="0" fillId="0" borderId="46" xfId="0" applyBorder="1"/>
    <xf numFmtId="0" fontId="0" fillId="0" borderId="45" xfId="0" applyBorder="1"/>
    <xf numFmtId="0" fontId="0" fillId="0" borderId="47" xfId="0" applyBorder="1"/>
    <xf numFmtId="2" fontId="0" fillId="0" borderId="48" xfId="0" applyNumberFormat="1" applyFill="1" applyBorder="1"/>
    <xf numFmtId="2" fontId="0" fillId="0" borderId="45" xfId="0" applyNumberFormat="1" applyFill="1" applyBorder="1"/>
    <xf numFmtId="2" fontId="0" fillId="0" borderId="46" xfId="0" applyNumberFormat="1" applyFill="1" applyBorder="1"/>
    <xf numFmtId="2" fontId="0" fillId="0" borderId="47" xfId="0" applyNumberFormat="1" applyFill="1" applyBorder="1"/>
    <xf numFmtId="0" fontId="0" fillId="0" borderId="49" xfId="0" applyBorder="1"/>
    <xf numFmtId="2" fontId="0" fillId="0" borderId="0" xfId="0" applyNumberFormat="1" applyFill="1" applyBorder="1"/>
    <xf numFmtId="0" fontId="0" fillId="0" borderId="50" xfId="0" applyBorder="1"/>
    <xf numFmtId="0" fontId="0" fillId="2" borderId="14" xfId="0" applyFill="1" applyBorder="1" applyAlignment="1">
      <alignment horizontal="left"/>
    </xf>
    <xf numFmtId="2" fontId="0" fillId="2" borderId="15" xfId="0" applyNumberFormat="1" applyFill="1" applyBorder="1"/>
    <xf numFmtId="0" fontId="4" fillId="0" borderId="14" xfId="0" applyFont="1" applyBorder="1"/>
    <xf numFmtId="0" fontId="0" fillId="3" borderId="10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9" xfId="0" applyFill="1" applyBorder="1" applyProtection="1"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9" fontId="0" fillId="3" borderId="7" xfId="0" applyNumberFormat="1" applyFill="1" applyBorder="1" applyProtection="1">
      <protection locked="0"/>
    </xf>
    <xf numFmtId="9" fontId="0" fillId="3" borderId="11" xfId="0" applyNumberFormat="1" applyFill="1" applyBorder="1" applyProtection="1">
      <protection locked="0"/>
    </xf>
    <xf numFmtId="9" fontId="0" fillId="3" borderId="9" xfId="0" applyNumberFormat="1" applyFill="1" applyBorder="1" applyProtection="1">
      <protection locked="0"/>
    </xf>
    <xf numFmtId="0" fontId="6" fillId="4" borderId="7" xfId="0" applyFont="1" applyFill="1" applyBorder="1"/>
    <xf numFmtId="0" fontId="6" fillId="4" borderId="11" xfId="0" applyFont="1" applyFill="1" applyBorder="1"/>
    <xf numFmtId="0" fontId="6" fillId="4" borderId="9" xfId="0" applyFont="1" applyFill="1" applyBorder="1"/>
    <xf numFmtId="0" fontId="6" fillId="4" borderId="1" xfId="0" applyFont="1" applyFill="1" applyBorder="1"/>
    <xf numFmtId="44" fontId="6" fillId="4" borderId="1" xfId="0" applyNumberFormat="1" applyFont="1" applyFill="1" applyBorder="1"/>
    <xf numFmtId="0" fontId="0" fillId="5" borderId="41" xfId="0" applyFill="1" applyBorder="1"/>
    <xf numFmtId="0" fontId="0" fillId="5" borderId="28" xfId="0" applyFill="1" applyBorder="1"/>
    <xf numFmtId="0" fontId="0" fillId="5" borderId="32" xfId="0" applyFill="1" applyBorder="1"/>
    <xf numFmtId="0" fontId="0" fillId="5" borderId="43" xfId="0" applyFill="1" applyBorder="1"/>
    <xf numFmtId="0" fontId="0" fillId="5" borderId="36" xfId="0" applyFill="1" applyBorder="1"/>
    <xf numFmtId="0" fontId="0" fillId="5" borderId="38" xfId="0" applyFill="1" applyBorder="1"/>
    <xf numFmtId="0" fontId="0" fillId="5" borderId="10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6" fillId="4" borderId="41" xfId="0" applyFont="1" applyFill="1" applyBorder="1"/>
    <xf numFmtId="0" fontId="6" fillId="4" borderId="28" xfId="0" applyFont="1" applyFill="1" applyBorder="1"/>
    <xf numFmtId="0" fontId="6" fillId="4" borderId="32" xfId="0" applyFont="1" applyFill="1" applyBorder="1"/>
    <xf numFmtId="0" fontId="6" fillId="4" borderId="43" xfId="0" applyFont="1" applyFill="1" applyBorder="1"/>
    <xf numFmtId="0" fontId="6" fillId="4" borderId="36" xfId="0" applyFont="1" applyFill="1" applyBorder="1"/>
    <xf numFmtId="14" fontId="6" fillId="4" borderId="38" xfId="0" applyNumberFormat="1" applyFont="1" applyFill="1" applyBorder="1"/>
    <xf numFmtId="0" fontId="6" fillId="4" borderId="42" xfId="0" applyFont="1" applyFill="1" applyBorder="1"/>
    <xf numFmtId="0" fontId="6" fillId="4" borderId="35" xfId="0" applyFont="1" applyFill="1" applyBorder="1" applyAlignment="1">
      <alignment horizontal="right"/>
    </xf>
    <xf numFmtId="0" fontId="6" fillId="4" borderId="38" xfId="0" applyFont="1" applyFill="1" applyBorder="1"/>
    <xf numFmtId="0" fontId="6" fillId="4" borderId="35" xfId="0" applyFont="1" applyFill="1" applyBorder="1"/>
    <xf numFmtId="0" fontId="0" fillId="5" borderId="4" xfId="0" applyFill="1" applyBorder="1"/>
    <xf numFmtId="0" fontId="0" fillId="5" borderId="10" xfId="0" applyFill="1" applyBorder="1"/>
    <xf numFmtId="0" fontId="0" fillId="5" borderId="40" xfId="0" applyFill="1" applyBorder="1"/>
    <xf numFmtId="0" fontId="0" fillId="5" borderId="33" xfId="0" applyFill="1" applyBorder="1"/>
    <xf numFmtId="0" fontId="0" fillId="5" borderId="34" xfId="0" applyFill="1" applyBorder="1"/>
    <xf numFmtId="0" fontId="0" fillId="5" borderId="27" xfId="0" applyFill="1" applyBorder="1"/>
    <xf numFmtId="0" fontId="0" fillId="5" borderId="31" xfId="0" applyFill="1" applyBorder="1"/>
    <xf numFmtId="0" fontId="0" fillId="5" borderId="14" xfId="0" applyFill="1" applyBorder="1"/>
    <xf numFmtId="0" fontId="0" fillId="5" borderId="46" xfId="0" applyFill="1" applyBorder="1" applyAlignment="1">
      <alignment horizontal="right"/>
    </xf>
    <xf numFmtId="1" fontId="0" fillId="5" borderId="21" xfId="0" applyNumberFormat="1" applyFill="1" applyBorder="1" applyAlignment="1">
      <alignment horizontal="right"/>
    </xf>
    <xf numFmtId="0" fontId="0" fillId="5" borderId="13" xfId="0" applyFill="1" applyBorder="1"/>
    <xf numFmtId="0" fontId="0" fillId="5" borderId="46" xfId="0" applyFill="1" applyBorder="1"/>
    <xf numFmtId="0" fontId="0" fillId="5" borderId="15" xfId="0" applyFill="1" applyBorder="1"/>
    <xf numFmtId="0" fontId="0" fillId="5" borderId="30" xfId="0" applyFill="1" applyBorder="1"/>
    <xf numFmtId="0" fontId="0" fillId="5" borderId="5" xfId="0" applyFill="1" applyBorder="1"/>
    <xf numFmtId="0" fontId="0" fillId="5" borderId="8" xfId="0" applyFill="1" applyBorder="1"/>
    <xf numFmtId="0" fontId="0" fillId="5" borderId="29" xfId="0" applyFill="1" applyBorder="1"/>
    <xf numFmtId="0" fontId="0" fillId="5" borderId="6" xfId="0" applyFill="1" applyBorder="1"/>
    <xf numFmtId="0" fontId="0" fillId="5" borderId="12" xfId="0" applyFill="1" applyBorder="1"/>
    <xf numFmtId="0" fontId="0" fillId="5" borderId="44" xfId="0" applyFill="1" applyBorder="1"/>
    <xf numFmtId="0" fontId="0" fillId="5" borderId="18" xfId="0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4" fontId="5" fillId="6" borderId="10" xfId="0" applyNumberFormat="1" applyFont="1" applyFill="1" applyBorder="1"/>
    <xf numFmtId="2" fontId="5" fillId="6" borderId="10" xfId="0" applyNumberFormat="1" applyFont="1" applyFill="1" applyBorder="1"/>
    <xf numFmtId="44" fontId="5" fillId="6" borderId="8" xfId="0" applyNumberFormat="1" applyFont="1" applyFill="1" applyBorder="1"/>
    <xf numFmtId="2" fontId="5" fillId="6" borderId="11" xfId="0" applyNumberFormat="1" applyFont="1" applyFill="1" applyBorder="1"/>
    <xf numFmtId="44" fontId="5" fillId="6" borderId="22" xfId="0" applyNumberFormat="1" applyFont="1" applyFill="1" applyBorder="1"/>
    <xf numFmtId="2" fontId="5" fillId="6" borderId="9" xfId="0" applyNumberFormat="1" applyFont="1" applyFill="1" applyBorder="1"/>
    <xf numFmtId="44" fontId="5" fillId="6" borderId="25" xfId="0" applyNumberFormat="1" applyFont="1" applyFill="1" applyBorder="1"/>
    <xf numFmtId="2" fontId="5" fillId="6" borderId="24" xfId="0" applyNumberFormat="1" applyFont="1" applyFill="1" applyBorder="1"/>
    <xf numFmtId="2" fontId="5" fillId="6" borderId="45" xfId="0" applyNumberFormat="1" applyFont="1" applyFill="1" applyBorder="1"/>
    <xf numFmtId="44" fontId="5" fillId="6" borderId="32" xfId="0" applyNumberFormat="1" applyFont="1" applyFill="1" applyBorder="1"/>
    <xf numFmtId="2" fontId="5" fillId="6" borderId="8" xfId="0" applyNumberFormat="1" applyFont="1" applyFill="1" applyBorder="1"/>
    <xf numFmtId="44" fontId="5" fillId="6" borderId="37" xfId="0" applyNumberFormat="1" applyFont="1" applyFill="1" applyBorder="1"/>
    <xf numFmtId="2" fontId="5" fillId="6" borderId="22" xfId="0" applyNumberFormat="1" applyFont="1" applyFill="1" applyBorder="1"/>
    <xf numFmtId="2" fontId="5" fillId="6" borderId="21" xfId="0" applyNumberFormat="1" applyFont="1" applyFill="1" applyBorder="1" applyAlignment="1">
      <alignment horizontal="center"/>
    </xf>
    <xf numFmtId="2" fontId="5" fillId="6" borderId="20" xfId="0" applyNumberFormat="1" applyFont="1" applyFill="1" applyBorder="1" applyAlignment="1">
      <alignment horizontal="center"/>
    </xf>
    <xf numFmtId="4" fontId="5" fillId="6" borderId="7" xfId="0" applyNumberFormat="1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1" fontId="5" fillId="6" borderId="15" xfId="0" applyNumberFormat="1" applyFont="1" applyFill="1" applyBorder="1" applyAlignment="1">
      <alignment horizontal="center"/>
    </xf>
    <xf numFmtId="0" fontId="5" fillId="6" borderId="10" xfId="0" applyFont="1" applyFill="1" applyBorder="1"/>
    <xf numFmtId="0" fontId="5" fillId="6" borderId="8" xfId="0" applyFont="1" applyFill="1" applyBorder="1"/>
    <xf numFmtId="0" fontId="5" fillId="6" borderId="12" xfId="0" applyFont="1" applyFill="1" applyBorder="1"/>
    <xf numFmtId="0" fontId="5" fillId="6" borderId="7" xfId="0" applyFont="1" applyFill="1" applyBorder="1"/>
    <xf numFmtId="0" fontId="5" fillId="6" borderId="11" xfId="0" applyFont="1" applyFill="1" applyBorder="1"/>
    <xf numFmtId="0" fontId="5" fillId="6" borderId="9" xfId="0" applyFont="1" applyFill="1" applyBorder="1"/>
    <xf numFmtId="0" fontId="5" fillId="6" borderId="51" xfId="0" applyFont="1" applyFill="1" applyBorder="1"/>
    <xf numFmtId="0" fontId="5" fillId="6" borderId="1" xfId="0" applyFont="1" applyFill="1" applyBorder="1"/>
    <xf numFmtId="44" fontId="5" fillId="6" borderId="1" xfId="0" applyNumberFormat="1" applyFont="1" applyFill="1" applyBorder="1"/>
    <xf numFmtId="0" fontId="5" fillId="6" borderId="38" xfId="0" applyFont="1" applyFill="1" applyBorder="1"/>
    <xf numFmtId="0" fontId="5" fillId="6" borderId="35" xfId="0" applyFont="1" applyFill="1" applyBorder="1"/>
    <xf numFmtId="164" fontId="0" fillId="3" borderId="48" xfId="0" applyNumberFormat="1" applyFill="1" applyBorder="1" applyProtection="1">
      <protection locked="0"/>
    </xf>
    <xf numFmtId="164" fontId="0" fillId="3" borderId="47" xfId="0" applyNumberFormat="1" applyFill="1" applyBorder="1" applyProtection="1">
      <protection locked="0"/>
    </xf>
    <xf numFmtId="164" fontId="0" fillId="3" borderId="46" xfId="0" applyNumberFormat="1" applyFill="1" applyBorder="1" applyProtection="1">
      <protection locked="0"/>
    </xf>
    <xf numFmtId="164" fontId="0" fillId="3" borderId="45" xfId="0" applyNumberFormat="1" applyFill="1" applyBorder="1" applyProtection="1">
      <protection locked="0"/>
    </xf>
    <xf numFmtId="2" fontId="0" fillId="3" borderId="46" xfId="0" applyNumberFormat="1" applyFill="1" applyBorder="1" applyProtection="1">
      <protection locked="0"/>
    </xf>
    <xf numFmtId="2" fontId="0" fillId="3" borderId="4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5" borderId="25" xfId="0" applyFill="1" applyBorder="1"/>
    <xf numFmtId="44" fontId="0" fillId="5" borderId="23" xfId="0" applyNumberFormat="1" applyFill="1" applyBorder="1"/>
    <xf numFmtId="44" fontId="0" fillId="6" borderId="10" xfId="0" applyNumberFormat="1" applyFill="1" applyBorder="1"/>
    <xf numFmtId="2" fontId="0" fillId="6" borderId="10" xfId="0" applyNumberFormat="1" applyFill="1" applyBorder="1"/>
    <xf numFmtId="44" fontId="0" fillId="6" borderId="8" xfId="0" applyNumberFormat="1" applyFill="1" applyBorder="1"/>
    <xf numFmtId="2" fontId="0" fillId="6" borderId="11" xfId="0" applyNumberFormat="1" applyFill="1" applyBorder="1"/>
    <xf numFmtId="44" fontId="0" fillId="6" borderId="22" xfId="0" applyNumberFormat="1" applyFill="1" applyBorder="1"/>
    <xf numFmtId="2" fontId="0" fillId="6" borderId="9" xfId="0" applyNumberFormat="1" applyFill="1" applyBorder="1"/>
    <xf numFmtId="44" fontId="0" fillId="6" borderId="25" xfId="0" applyNumberFormat="1" applyFill="1" applyBorder="1"/>
    <xf numFmtId="2" fontId="0" fillId="6" borderId="24" xfId="0" applyNumberFormat="1" applyFill="1" applyBorder="1"/>
    <xf numFmtId="44" fontId="0" fillId="6" borderId="32" xfId="0" applyNumberFormat="1" applyFill="1" applyBorder="1"/>
    <xf numFmtId="2" fontId="0" fillId="6" borderId="8" xfId="0" applyNumberFormat="1" applyFill="1" applyBorder="1"/>
    <xf numFmtId="44" fontId="0" fillId="6" borderId="37" xfId="0" applyNumberFormat="1" applyFill="1" applyBorder="1"/>
    <xf numFmtId="2" fontId="0" fillId="6" borderId="22" xfId="0" applyNumberFormat="1" applyFill="1" applyBorder="1"/>
    <xf numFmtId="2" fontId="0" fillId="6" borderId="21" xfId="0" applyNumberFormat="1" applyFill="1" applyBorder="1" applyAlignment="1">
      <alignment horizontal="center"/>
    </xf>
    <xf numFmtId="2" fontId="0" fillId="6" borderId="20" xfId="0" applyNumberFormat="1" applyFill="1" applyBorder="1" applyAlignment="1">
      <alignment horizontal="center"/>
    </xf>
    <xf numFmtId="4" fontId="0" fillId="6" borderId="7" xfId="0" applyNumberFormat="1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1" fontId="0" fillId="6" borderId="15" xfId="0" applyNumberFormat="1" applyFill="1" applyBorder="1" applyAlignment="1">
      <alignment horizontal="center"/>
    </xf>
    <xf numFmtId="0" fontId="0" fillId="6" borderId="10" xfId="0" applyFill="1" applyBorder="1"/>
    <xf numFmtId="0" fontId="0" fillId="6" borderId="8" xfId="0" applyFill="1" applyBorder="1"/>
    <xf numFmtId="0" fontId="0" fillId="6" borderId="12" xfId="0" applyFill="1" applyBorder="1"/>
    <xf numFmtId="0" fontId="0" fillId="6" borderId="7" xfId="0" applyFill="1" applyBorder="1"/>
    <xf numFmtId="0" fontId="0" fillId="6" borderId="11" xfId="0" applyFill="1" applyBorder="1"/>
    <xf numFmtId="0" fontId="0" fillId="6" borderId="9" xfId="0" applyFill="1" applyBorder="1"/>
    <xf numFmtId="0" fontId="0" fillId="6" borderId="51" xfId="0" applyFill="1" applyBorder="1"/>
    <xf numFmtId="0" fontId="0" fillId="6" borderId="1" xfId="0" applyFill="1" applyBorder="1"/>
    <xf numFmtId="0" fontId="0" fillId="6" borderId="38" xfId="0" applyFill="1" applyBorder="1"/>
    <xf numFmtId="0" fontId="0" fillId="6" borderId="35" xfId="0" applyFill="1" applyBorder="1"/>
    <xf numFmtId="44" fontId="0" fillId="6" borderId="1" xfId="0" applyNumberFormat="1" applyFill="1" applyBorder="1"/>
    <xf numFmtId="4" fontId="7" fillId="0" borderId="0" xfId="0" applyNumberFormat="1" applyFont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2" fontId="7" fillId="0" borderId="0" xfId="0" applyNumberFormat="1" applyFont="1"/>
    <xf numFmtId="1" fontId="7" fillId="0" borderId="0" xfId="0" applyNumberFormat="1" applyFont="1"/>
    <xf numFmtId="1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165" fontId="0" fillId="3" borderId="11" xfId="0" applyNumberFormat="1" applyFill="1" applyBorder="1" applyAlignment="1" applyProtection="1">
      <alignment horizontal="left"/>
      <protection locked="0"/>
    </xf>
    <xf numFmtId="0" fontId="0" fillId="5" borderId="31" xfId="0" applyFill="1" applyBorder="1" applyAlignment="1">
      <alignment horizontal="right"/>
    </xf>
    <xf numFmtId="0" fontId="0" fillId="5" borderId="33" xfId="0" applyFill="1" applyBorder="1" applyAlignment="1">
      <alignment horizontal="right"/>
    </xf>
    <xf numFmtId="0" fontId="0" fillId="5" borderId="43" xfId="0" applyFill="1" applyBorder="1" applyAlignment="1">
      <alignment horizontal="right"/>
    </xf>
    <xf numFmtId="4" fontId="6" fillId="4" borderId="1" xfId="0" applyNumberFormat="1" applyFont="1" applyFill="1" applyBorder="1"/>
    <xf numFmtId="0" fontId="0" fillId="3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44" fontId="5" fillId="0" borderId="0" xfId="0" applyNumberFormat="1" applyFont="1" applyFill="1" applyBorder="1"/>
    <xf numFmtId="2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Protection="1">
      <protection locked="0"/>
    </xf>
    <xf numFmtId="44" fontId="0" fillId="0" borderId="0" xfId="0" applyNumberFormat="1" applyBorder="1"/>
    <xf numFmtId="44" fontId="5" fillId="0" borderId="0" xfId="0" applyNumberFormat="1" applyFont="1" applyFill="1" applyBorder="1" applyAlignment="1">
      <alignment horizontal="right"/>
    </xf>
    <xf numFmtId="44" fontId="5" fillId="0" borderId="0" xfId="0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horizontal="right"/>
    </xf>
    <xf numFmtId="166" fontId="5" fillId="0" borderId="0" xfId="0" applyNumberFormat="1" applyFont="1" applyFill="1" applyBorder="1" applyAlignment="1">
      <alignment horizontal="left"/>
    </xf>
    <xf numFmtId="0" fontId="0" fillId="0" borderId="0" xfId="0" applyBorder="1" applyAlignment="1">
      <alignment vertical="top"/>
    </xf>
    <xf numFmtId="0" fontId="5" fillId="7" borderId="2" xfId="0" applyFont="1" applyFill="1" applyBorder="1" applyProtection="1">
      <protection locked="0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44" fontId="0" fillId="0" borderId="3" xfId="0" applyNumberFormat="1" applyBorder="1" applyAlignment="1">
      <alignment wrapText="1"/>
    </xf>
    <xf numFmtId="0" fontId="0" fillId="0" borderId="3" xfId="0" applyBorder="1" applyAlignment="1">
      <alignment horizontal="center" wrapText="1"/>
    </xf>
    <xf numFmtId="166" fontId="0" fillId="0" borderId="14" xfId="0" applyNumberFormat="1" applyBorder="1"/>
    <xf numFmtId="166" fontId="0" fillId="0" borderId="3" xfId="0" applyNumberFormat="1" applyBorder="1" applyAlignment="1">
      <alignment wrapText="1"/>
    </xf>
    <xf numFmtId="166" fontId="0" fillId="0" borderId="0" xfId="0" applyNumberFormat="1"/>
    <xf numFmtId="0" fontId="2" fillId="0" borderId="13" xfId="0" applyFont="1" applyBorder="1" applyAlignment="1">
      <alignment horizontal="left"/>
    </xf>
    <xf numFmtId="2" fontId="5" fillId="8" borderId="1" xfId="0" applyNumberFormat="1" applyFont="1" applyFill="1" applyBorder="1"/>
    <xf numFmtId="2" fontId="5" fillId="8" borderId="19" xfId="0" applyNumberFormat="1" applyFont="1" applyFill="1" applyBorder="1"/>
    <xf numFmtId="2" fontId="5" fillId="0" borderId="15" xfId="0" applyNumberFormat="1" applyFont="1" applyFill="1" applyBorder="1"/>
    <xf numFmtId="2" fontId="5" fillId="0" borderId="47" xfId="0" applyNumberFormat="1" applyFont="1" applyFill="1" applyBorder="1"/>
    <xf numFmtId="44" fontId="5" fillId="8" borderId="23" xfId="0" applyNumberFormat="1" applyFont="1" applyFill="1" applyBorder="1"/>
    <xf numFmtId="44" fontId="5" fillId="8" borderId="19" xfId="0" applyNumberFormat="1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4" fillId="0" borderId="14" xfId="0" applyFont="1" applyFill="1" applyBorder="1"/>
    <xf numFmtId="165" fontId="6" fillId="4" borderId="11" xfId="0" applyNumberFormat="1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14" fontId="0" fillId="0" borderId="0" xfId="0" applyNumberFormat="1" applyFill="1" applyBorder="1"/>
    <xf numFmtId="0" fontId="11" fillId="0" borderId="0" xfId="0" applyFont="1"/>
    <xf numFmtId="0" fontId="0" fillId="0" borderId="0" xfId="0" applyFont="1"/>
    <xf numFmtId="0" fontId="0" fillId="0" borderId="0" xfId="0" applyAlignment="1">
      <alignment horizontal="center" textRotation="90"/>
    </xf>
    <xf numFmtId="1" fontId="0" fillId="0" borderId="0" xfId="0" applyNumberFormat="1" applyFill="1" applyBorder="1" applyAlignment="1">
      <alignment horizontal="center"/>
    </xf>
    <xf numFmtId="44" fontId="0" fillId="0" borderId="0" xfId="0" applyNumberFormat="1" applyFill="1" applyBorder="1"/>
    <xf numFmtId="44" fontId="5" fillId="0" borderId="0" xfId="0" quotePrefix="1" applyNumberFormat="1" applyFont="1" applyFill="1" applyBorder="1"/>
    <xf numFmtId="44" fontId="0" fillId="0" borderId="0" xfId="0" quotePrefix="1" applyNumberFormat="1" applyFill="1" applyBorder="1"/>
    <xf numFmtId="0" fontId="0" fillId="0" borderId="0" xfId="0" quotePrefix="1"/>
    <xf numFmtId="0" fontId="0" fillId="5" borderId="50" xfId="0" applyFill="1" applyBorder="1"/>
    <xf numFmtId="0" fontId="0" fillId="5" borderId="49" xfId="0" applyFill="1" applyBorder="1"/>
    <xf numFmtId="44" fontId="5" fillId="6" borderId="49" xfId="0" applyNumberFormat="1" applyFont="1" applyFill="1" applyBorder="1"/>
    <xf numFmtId="44" fontId="0" fillId="6" borderId="49" xfId="0" applyNumberFormat="1" applyFill="1" applyBorder="1"/>
    <xf numFmtId="44" fontId="5" fillId="0" borderId="1" xfId="0" applyNumberFormat="1" applyFont="1" applyFill="1" applyBorder="1"/>
    <xf numFmtId="44" fontId="0" fillId="0" borderId="1" xfId="0" applyNumberFormat="1" applyFill="1" applyBorder="1"/>
    <xf numFmtId="0" fontId="0" fillId="0" borderId="13" xfId="0" applyFill="1" applyBorder="1"/>
    <xf numFmtId="44" fontId="5" fillId="9" borderId="2" xfId="0" applyNumberFormat="1" applyFont="1" applyFill="1" applyBorder="1"/>
    <xf numFmtId="44" fontId="0" fillId="9" borderId="2" xfId="0" applyNumberFormat="1" applyFill="1" applyBorder="1"/>
    <xf numFmtId="0" fontId="0" fillId="6" borderId="7" xfId="0" applyFill="1" applyBorder="1" applyProtection="1">
      <protection locked="0"/>
    </xf>
    <xf numFmtId="0" fontId="0" fillId="6" borderId="11" xfId="0" applyFill="1" applyBorder="1" applyProtection="1">
      <protection locked="0"/>
    </xf>
    <xf numFmtId="0" fontId="0" fillId="6" borderId="9" xfId="0" applyFill="1" applyBorder="1" applyProtection="1">
      <protection locked="0"/>
    </xf>
    <xf numFmtId="0" fontId="0" fillId="6" borderId="2" xfId="0" applyFill="1" applyBorder="1"/>
    <xf numFmtId="0" fontId="0" fillId="6" borderId="15" xfId="0" applyFill="1" applyBorder="1"/>
    <xf numFmtId="44" fontId="5" fillId="0" borderId="10" xfId="0" applyNumberFormat="1" applyFont="1" applyFill="1" applyBorder="1"/>
    <xf numFmtId="44" fontId="5" fillId="0" borderId="32" xfId="0" applyNumberFormat="1" applyFont="1" applyFill="1" applyBorder="1"/>
    <xf numFmtId="44" fontId="5" fillId="0" borderId="37" xfId="0" applyNumberFormat="1" applyFont="1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0" fillId="0" borderId="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 applyProtection="1">
      <protection locked="0"/>
    </xf>
    <xf numFmtId="44" fontId="0" fillId="0" borderId="10" xfId="0" applyNumberFormat="1" applyFill="1" applyBorder="1"/>
    <xf numFmtId="44" fontId="0" fillId="0" borderId="32" xfId="0" applyNumberFormat="1" applyFill="1" applyBorder="1"/>
    <xf numFmtId="44" fontId="0" fillId="0" borderId="37" xfId="0" applyNumberFormat="1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4" fontId="0" fillId="0" borderId="0" xfId="0" applyNumberFormat="1" applyFill="1" applyBorder="1"/>
    <xf numFmtId="4" fontId="0" fillId="0" borderId="0" xfId="0" applyNumberFormat="1"/>
    <xf numFmtId="0" fontId="0" fillId="0" borderId="0" xfId="0" applyAlignment="1">
      <alignment horizontal="left"/>
    </xf>
    <xf numFmtId="1" fontId="13" fillId="0" borderId="0" xfId="0" applyNumberFormat="1" applyFont="1" applyAlignment="1">
      <alignment horizontal="left"/>
    </xf>
    <xf numFmtId="1" fontId="13" fillId="0" borderId="0" xfId="0" applyNumberFormat="1" applyFont="1"/>
    <xf numFmtId="0" fontId="0" fillId="0" borderId="0" xfId="0" applyFill="1" applyAlignment="1">
      <alignment horizontal="center"/>
    </xf>
    <xf numFmtId="1" fontId="13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/>
    <xf numFmtId="1" fontId="5" fillId="0" borderId="0" xfId="0" applyNumberFormat="1" applyFont="1"/>
    <xf numFmtId="0" fontId="5" fillId="0" borderId="0" xfId="0" applyFont="1" applyAlignment="1">
      <alignment horizontal="left"/>
    </xf>
    <xf numFmtId="2" fontId="0" fillId="2" borderId="14" xfId="0" applyNumberFormat="1" applyFill="1" applyBorder="1"/>
    <xf numFmtId="2" fontId="0" fillId="0" borderId="0" xfId="0" applyNumberFormat="1" applyFill="1"/>
    <xf numFmtId="2" fontId="5" fillId="0" borderId="0" xfId="0" applyNumberFormat="1" applyFont="1" applyFill="1" applyBorder="1"/>
    <xf numFmtId="2" fontId="12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0" fillId="5" borderId="4" xfId="0" applyNumberFormat="1" applyFill="1" applyBorder="1"/>
    <xf numFmtId="2" fontId="0" fillId="5" borderId="5" xfId="0" applyNumberFormat="1" applyFill="1" applyBorder="1" applyAlignment="1">
      <alignment horizontal="center"/>
    </xf>
    <xf numFmtId="2" fontId="0" fillId="5" borderId="6" xfId="0" applyNumberFormat="1" applyFill="1" applyBorder="1" applyAlignment="1">
      <alignment horizontal="center"/>
    </xf>
    <xf numFmtId="0" fontId="10" fillId="4" borderId="9" xfId="2" applyFill="1" applyBorder="1"/>
    <xf numFmtId="0" fontId="12" fillId="0" borderId="13" xfId="0" applyFont="1" applyBorder="1"/>
    <xf numFmtId="2" fontId="0" fillId="0" borderId="0" xfId="0" applyNumberFormat="1" applyAlignment="1">
      <alignment horizontal="right"/>
    </xf>
    <xf numFmtId="0" fontId="5" fillId="0" borderId="0" xfId="0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left"/>
    </xf>
    <xf numFmtId="4" fontId="7" fillId="0" borderId="1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4" fontId="3" fillId="0" borderId="0" xfId="0" applyNumberFormat="1" applyFont="1" applyAlignment="1">
      <alignment horizontal="left"/>
    </xf>
    <xf numFmtId="4" fontId="3" fillId="0" borderId="1" xfId="0" applyNumberFormat="1" applyFont="1" applyBorder="1" applyAlignment="1">
      <alignment horizontal="left"/>
    </xf>
    <xf numFmtId="4" fontId="0" fillId="5" borderId="10" xfId="0" applyNumberFormat="1" applyFill="1" applyBorder="1" applyAlignment="1">
      <alignment horizontal="center"/>
    </xf>
    <xf numFmtId="0" fontId="5" fillId="9" borderId="0" xfId="0" applyFont="1" applyFill="1" applyBorder="1" applyAlignment="1">
      <alignment horizontal="center"/>
    </xf>
    <xf numFmtId="0" fontId="1" fillId="0" borderId="0" xfId="0" applyFont="1" applyBorder="1" applyProtection="1">
      <protection locked="0"/>
    </xf>
    <xf numFmtId="2" fontId="0" fillId="2" borderId="14" xfId="0" applyNumberFormat="1" applyFill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0" xfId="0" applyNumberFormat="1" applyFill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Alignment="1">
      <alignment horizontal="right"/>
    </xf>
    <xf numFmtId="2" fontId="7" fillId="0" borderId="0" xfId="0" applyNumberFormat="1" applyFont="1" applyAlignment="1">
      <alignment horizontal="right"/>
    </xf>
    <xf numFmtId="2" fontId="7" fillId="0" borderId="1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0" fillId="5" borderId="7" xfId="0" applyNumberFormat="1" applyFill="1" applyBorder="1" applyAlignment="1">
      <alignment horizontal="right"/>
    </xf>
    <xf numFmtId="2" fontId="0" fillId="5" borderId="11" xfId="0" applyNumberFormat="1" applyFill="1" applyBorder="1" applyAlignment="1">
      <alignment horizontal="right"/>
    </xf>
    <xf numFmtId="2" fontId="0" fillId="5" borderId="9" xfId="0" applyNumberFormat="1" applyFill="1" applyBorder="1" applyAlignment="1">
      <alignment horizontal="right"/>
    </xf>
    <xf numFmtId="0" fontId="0" fillId="0" borderId="0" xfId="0" applyNumberFormat="1" applyAlignment="1">
      <alignment horizontal="left"/>
    </xf>
    <xf numFmtId="0" fontId="5" fillId="0" borderId="0" xfId="0" applyNumberFormat="1" applyFont="1" applyAlignment="1">
      <alignment horizontal="left"/>
    </xf>
    <xf numFmtId="0" fontId="0" fillId="0" borderId="0" xfId="0" applyNumberFormat="1" applyFill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5" fillId="0" borderId="0" xfId="0" applyNumberFormat="1" applyFont="1" applyAlignment="1">
      <alignment horizontal="left" vertical="center"/>
    </xf>
    <xf numFmtId="2" fontId="1" fillId="0" borderId="0" xfId="0" applyNumberFormat="1" applyFont="1" applyBorder="1" applyProtection="1">
      <protection locked="0"/>
    </xf>
    <xf numFmtId="2" fontId="0" fillId="0" borderId="0" xfId="0" applyNumberFormat="1" applyFont="1" applyBorder="1" applyProtection="1">
      <protection locked="0"/>
    </xf>
    <xf numFmtId="20" fontId="6" fillId="4" borderId="38" xfId="0" applyNumberFormat="1" applyFont="1" applyFill="1" applyBorder="1"/>
    <xf numFmtId="0" fontId="0" fillId="0" borderId="14" xfId="0" applyBorder="1" applyAlignment="1">
      <alignment horizontal="left"/>
    </xf>
    <xf numFmtId="2" fontId="0" fillId="0" borderId="14" xfId="0" applyNumberFormat="1" applyBorder="1"/>
    <xf numFmtId="2" fontId="0" fillId="0" borderId="14" xfId="0" applyNumberFormat="1" applyBorder="1" applyAlignment="1">
      <alignment horizontal="right"/>
    </xf>
    <xf numFmtId="1" fontId="0" fillId="0" borderId="14" xfId="0" applyNumberFormat="1" applyBorder="1"/>
    <xf numFmtId="2" fontId="0" fillId="0" borderId="15" xfId="0" applyNumberFormat="1" applyBorder="1"/>
    <xf numFmtId="1" fontId="0" fillId="0" borderId="0" xfId="0" applyNumberFormat="1" applyAlignment="1">
      <alignment horizontal="left"/>
    </xf>
    <xf numFmtId="0" fontId="15" fillId="0" borderId="0" xfId="0" applyFont="1" applyAlignment="1">
      <alignment horizontal="center"/>
    </xf>
    <xf numFmtId="0" fontId="0" fillId="9" borderId="0" xfId="0" applyFill="1"/>
    <xf numFmtId="4" fontId="0" fillId="5" borderId="8" xfId="0" applyNumberFormat="1" applyFill="1" applyBorder="1" applyAlignment="1">
      <alignment horizontal="center"/>
    </xf>
    <xf numFmtId="0" fontId="0" fillId="0" borderId="50" xfId="0" applyBorder="1" applyAlignment="1">
      <alignment vertical="top" wrapText="1"/>
    </xf>
    <xf numFmtId="0" fontId="0" fillId="0" borderId="49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0" xfId="0" applyAlignment="1">
      <alignment wrapText="1"/>
    </xf>
    <xf numFmtId="0" fontId="0" fillId="0" borderId="26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7" xfId="0" applyBorder="1" applyAlignment="1">
      <alignment wrapText="1"/>
    </xf>
  </cellXfs>
  <cellStyles count="3">
    <cellStyle name="Hyperlink" xfId="2" builtinId="8"/>
    <cellStyle name="Standaard" xfId="0" builtinId="0"/>
    <cellStyle name="Standaard 2" xfId="1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F9289"/>
      <color rgb="FFF07512"/>
      <color rgb="FFEBEBEB"/>
      <color rgb="FF1F177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Aangepast Alpha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F3A447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lanting@alpha-adviesbureau.n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tabColor theme="0" tint="-0.249977111117893"/>
  </sheetPr>
  <dimension ref="A1:DF34"/>
  <sheetViews>
    <sheetView showZeros="0" view="pageBreakPreview" topLeftCell="P1" zoomScaleNormal="100" zoomScaleSheetLayoutView="100" workbookViewId="0">
      <selection activeCell="W5" sqref="W5"/>
    </sheetView>
  </sheetViews>
  <sheetFormatPr defaultRowHeight="15" x14ac:dyDescent="0.25"/>
  <cols>
    <col min="2" max="2" width="4.42578125" customWidth="1"/>
    <col min="3" max="3" width="22.7109375" customWidth="1"/>
    <col min="4" max="4" width="26" customWidth="1"/>
    <col min="5" max="5" width="29.85546875" customWidth="1"/>
    <col min="6" max="6" width="20" customWidth="1"/>
    <col min="9" max="9" width="14.28515625" customWidth="1"/>
    <col min="10" max="10" width="16" customWidth="1"/>
    <col min="12" max="12" width="10.28515625" customWidth="1"/>
    <col min="14" max="14" width="12.140625" customWidth="1"/>
    <col min="15" max="15" width="11" customWidth="1"/>
    <col min="16" max="16" width="28.28515625" bestFit="1" customWidth="1"/>
    <col min="17" max="17" width="9.85546875" bestFit="1" customWidth="1"/>
    <col min="18" max="18" width="23.7109375" bestFit="1" customWidth="1"/>
    <col min="19" max="19" width="5.7109375" customWidth="1"/>
    <col min="20" max="20" width="23.7109375" bestFit="1" customWidth="1"/>
    <col min="21" max="21" width="5.7109375" customWidth="1"/>
    <col min="22" max="22" width="15.7109375" customWidth="1"/>
    <col min="23" max="23" width="9.5703125" bestFit="1" customWidth="1"/>
    <col min="24" max="24" width="21.7109375" bestFit="1" customWidth="1"/>
    <col min="25" max="25" width="10.85546875" bestFit="1" customWidth="1"/>
    <col min="26" max="26" width="23.7109375" bestFit="1" customWidth="1"/>
    <col min="27" max="27" width="10.85546875" bestFit="1" customWidth="1"/>
    <col min="28" max="28" width="15.7109375" customWidth="1"/>
    <col min="29" max="29" width="5.7109375" customWidth="1"/>
    <col min="30" max="30" width="15.7109375" customWidth="1"/>
    <col min="31" max="31" width="5.7109375" customWidth="1"/>
    <col min="32" max="32" width="22.140625" bestFit="1" customWidth="1"/>
    <col min="36" max="36" width="23.42578125" bestFit="1" customWidth="1"/>
    <col min="80" max="80" width="34.7109375" bestFit="1" customWidth="1"/>
    <col min="82" max="82" width="31.140625" bestFit="1" customWidth="1"/>
    <col min="96" max="96" width="14.140625" customWidth="1"/>
    <col min="97" max="97" width="9.140625" customWidth="1"/>
    <col min="99" max="99" width="13.85546875" customWidth="1"/>
    <col min="101" max="101" width="11" customWidth="1"/>
  </cols>
  <sheetData>
    <row r="1" spans="1:110" ht="14.45" x14ac:dyDescent="0.3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  <c r="AY1">
        <v>51</v>
      </c>
      <c r="AZ1">
        <v>52</v>
      </c>
      <c r="BA1">
        <v>53</v>
      </c>
      <c r="BB1">
        <v>54</v>
      </c>
      <c r="BC1">
        <v>55</v>
      </c>
      <c r="BD1">
        <v>56</v>
      </c>
      <c r="BE1">
        <v>57</v>
      </c>
      <c r="BF1">
        <v>58</v>
      </c>
      <c r="BG1">
        <v>59</v>
      </c>
      <c r="BH1">
        <v>60</v>
      </c>
      <c r="BI1">
        <v>61</v>
      </c>
      <c r="BJ1">
        <v>62</v>
      </c>
      <c r="BK1">
        <v>63</v>
      </c>
      <c r="BL1">
        <v>64</v>
      </c>
      <c r="BM1">
        <v>65</v>
      </c>
      <c r="BN1">
        <v>66</v>
      </c>
      <c r="BO1">
        <v>67</v>
      </c>
      <c r="BP1">
        <v>68</v>
      </c>
      <c r="BQ1">
        <v>69</v>
      </c>
      <c r="BR1">
        <v>70</v>
      </c>
      <c r="BS1">
        <v>71</v>
      </c>
      <c r="BT1">
        <v>72</v>
      </c>
      <c r="BU1">
        <v>73</v>
      </c>
      <c r="BV1">
        <v>74</v>
      </c>
      <c r="BW1">
        <v>75</v>
      </c>
      <c r="BX1">
        <v>76</v>
      </c>
      <c r="BY1">
        <v>77</v>
      </c>
      <c r="BZ1">
        <v>78</v>
      </c>
      <c r="CA1">
        <v>79</v>
      </c>
      <c r="CB1">
        <v>80</v>
      </c>
      <c r="CC1">
        <v>81</v>
      </c>
      <c r="CD1">
        <v>82</v>
      </c>
      <c r="CE1">
        <v>83</v>
      </c>
      <c r="CF1">
        <v>84</v>
      </c>
      <c r="CG1">
        <v>85</v>
      </c>
      <c r="CH1">
        <v>86</v>
      </c>
      <c r="CI1">
        <v>87</v>
      </c>
      <c r="CJ1">
        <v>88</v>
      </c>
      <c r="CK1">
        <v>89</v>
      </c>
      <c r="CL1">
        <v>90</v>
      </c>
      <c r="CM1">
        <v>91</v>
      </c>
      <c r="CN1">
        <v>92</v>
      </c>
      <c r="CO1">
        <v>93</v>
      </c>
      <c r="CP1">
        <v>94</v>
      </c>
      <c r="CQ1">
        <v>95</v>
      </c>
      <c r="CR1">
        <v>96</v>
      </c>
      <c r="CS1">
        <v>97</v>
      </c>
      <c r="CT1">
        <v>98</v>
      </c>
      <c r="CU1">
        <v>99</v>
      </c>
      <c r="CV1">
        <v>100</v>
      </c>
      <c r="CW1">
        <v>101</v>
      </c>
      <c r="CX1">
        <v>102</v>
      </c>
      <c r="CY1">
        <v>103</v>
      </c>
      <c r="CZ1">
        <v>104</v>
      </c>
      <c r="DA1">
        <v>105</v>
      </c>
      <c r="DB1">
        <v>106</v>
      </c>
      <c r="DC1">
        <v>107</v>
      </c>
      <c r="DD1">
        <v>108</v>
      </c>
      <c r="DE1">
        <v>109</v>
      </c>
      <c r="DF1">
        <v>110</v>
      </c>
    </row>
    <row r="2" spans="1:110" ht="14.45" x14ac:dyDescent="0.3">
      <c r="A2" t="s">
        <v>0</v>
      </c>
      <c r="C2" t="s">
        <v>1</v>
      </c>
      <c r="D2" t="s">
        <v>2</v>
      </c>
      <c r="E2" t="s">
        <v>3</v>
      </c>
    </row>
    <row r="3" spans="1:110" ht="14.45" x14ac:dyDescent="0.3">
      <c r="A3" t="s">
        <v>470</v>
      </c>
      <c r="C3" s="1">
        <v>42917</v>
      </c>
      <c r="D3" t="s">
        <v>4</v>
      </c>
      <c r="E3" t="s">
        <v>5</v>
      </c>
    </row>
    <row r="4" spans="1:110" s="2" customFormat="1" ht="42.75" customHeight="1" x14ac:dyDescent="0.3">
      <c r="A4" s="3"/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21</v>
      </c>
      <c r="T4" s="3" t="s">
        <v>23</v>
      </c>
      <c r="U4" s="3" t="s">
        <v>21</v>
      </c>
      <c r="V4" s="3" t="s">
        <v>24</v>
      </c>
      <c r="W4" s="3" t="s">
        <v>21</v>
      </c>
      <c r="X4" s="3" t="s">
        <v>25</v>
      </c>
      <c r="Y4" s="3" t="s">
        <v>21</v>
      </c>
      <c r="Z4" s="3" t="s">
        <v>26</v>
      </c>
      <c r="AA4" s="3" t="s">
        <v>21</v>
      </c>
      <c r="AB4" s="3" t="s">
        <v>27</v>
      </c>
      <c r="AC4" s="3" t="s">
        <v>21</v>
      </c>
      <c r="AD4" s="3" t="s">
        <v>43</v>
      </c>
      <c r="AE4" s="3" t="s">
        <v>21</v>
      </c>
      <c r="AF4" s="3" t="s">
        <v>28</v>
      </c>
      <c r="AG4" s="3" t="s">
        <v>29</v>
      </c>
      <c r="AH4" s="3" t="s">
        <v>30</v>
      </c>
      <c r="AI4" s="3" t="s">
        <v>31</v>
      </c>
      <c r="AJ4" s="3" t="s">
        <v>32</v>
      </c>
      <c r="AK4" s="3" t="s">
        <v>29</v>
      </c>
      <c r="AL4" s="3" t="s">
        <v>30</v>
      </c>
      <c r="AM4" s="3" t="s">
        <v>31</v>
      </c>
      <c r="AN4" s="3" t="s">
        <v>33</v>
      </c>
      <c r="AO4" s="3" t="s">
        <v>29</v>
      </c>
      <c r="AP4" s="3" t="s">
        <v>30</v>
      </c>
      <c r="AQ4" s="3" t="s">
        <v>31</v>
      </c>
      <c r="AR4" s="3" t="s">
        <v>34</v>
      </c>
      <c r="AS4" s="3" t="s">
        <v>29</v>
      </c>
      <c r="AT4" s="3" t="s">
        <v>30</v>
      </c>
      <c r="AU4" s="3" t="s">
        <v>31</v>
      </c>
      <c r="AV4" s="3" t="s">
        <v>35</v>
      </c>
      <c r="AW4" s="3" t="s">
        <v>29</v>
      </c>
      <c r="AX4" s="3" t="s">
        <v>30</v>
      </c>
      <c r="AY4" s="3" t="s">
        <v>31</v>
      </c>
      <c r="AZ4" s="3" t="s">
        <v>36</v>
      </c>
      <c r="BA4" s="3" t="s">
        <v>29</v>
      </c>
      <c r="BB4" s="3" t="s">
        <v>30</v>
      </c>
      <c r="BC4" s="3" t="s">
        <v>31</v>
      </c>
      <c r="BD4" s="3" t="s">
        <v>37</v>
      </c>
      <c r="BE4" s="3" t="s">
        <v>29</v>
      </c>
      <c r="BF4" s="3" t="s">
        <v>30</v>
      </c>
      <c r="BG4" s="3" t="s">
        <v>31</v>
      </c>
      <c r="BH4" s="3" t="s">
        <v>38</v>
      </c>
      <c r="BI4" s="3" t="s">
        <v>39</v>
      </c>
      <c r="BJ4" s="3" t="s">
        <v>30</v>
      </c>
      <c r="BK4" s="3" t="s">
        <v>31</v>
      </c>
      <c r="BL4" s="3" t="s">
        <v>40</v>
      </c>
      <c r="BM4" s="3" t="s">
        <v>39</v>
      </c>
      <c r="BN4" s="3" t="s">
        <v>30</v>
      </c>
      <c r="BO4" s="3" t="s">
        <v>31</v>
      </c>
      <c r="BP4" s="3" t="s">
        <v>41</v>
      </c>
      <c r="BQ4" s="3" t="s">
        <v>39</v>
      </c>
      <c r="BR4" s="3" t="s">
        <v>30</v>
      </c>
      <c r="BS4" s="3" t="s">
        <v>31</v>
      </c>
      <c r="BT4" s="3" t="s">
        <v>42</v>
      </c>
      <c r="BU4" s="3" t="s">
        <v>29</v>
      </c>
      <c r="BV4" s="3" t="s">
        <v>30</v>
      </c>
      <c r="BW4" s="3" t="s">
        <v>31</v>
      </c>
      <c r="BX4" s="3" t="s">
        <v>44</v>
      </c>
      <c r="BY4" s="3" t="s">
        <v>21</v>
      </c>
      <c r="BZ4" s="3" t="s">
        <v>45</v>
      </c>
      <c r="CA4" s="3" t="s">
        <v>21</v>
      </c>
      <c r="CB4" s="3" t="s">
        <v>46</v>
      </c>
      <c r="CC4" s="3" t="s">
        <v>21</v>
      </c>
      <c r="CD4" s="3" t="s">
        <v>47</v>
      </c>
      <c r="CE4" s="3" t="s">
        <v>21</v>
      </c>
      <c r="CF4" s="3" t="s">
        <v>48</v>
      </c>
      <c r="CG4" s="3" t="s">
        <v>21</v>
      </c>
      <c r="CH4" s="3" t="s">
        <v>49</v>
      </c>
      <c r="CI4" s="3" t="s">
        <v>21</v>
      </c>
      <c r="CJ4" s="3" t="s">
        <v>50</v>
      </c>
      <c r="CK4" s="3" t="s">
        <v>21</v>
      </c>
      <c r="CL4" s="3" t="s">
        <v>51</v>
      </c>
      <c r="CM4" s="3" t="s">
        <v>21</v>
      </c>
      <c r="CN4" s="3" t="s">
        <v>52</v>
      </c>
      <c r="CO4" s="3" t="s">
        <v>21</v>
      </c>
      <c r="CP4" s="3" t="s">
        <v>53</v>
      </c>
      <c r="CQ4" s="3" t="s">
        <v>21</v>
      </c>
      <c r="CR4" s="3" t="s">
        <v>54</v>
      </c>
      <c r="CS4" s="3" t="s">
        <v>60</v>
      </c>
      <c r="CT4" s="3" t="s">
        <v>61</v>
      </c>
      <c r="CU4" s="3" t="s">
        <v>62</v>
      </c>
      <c r="CV4" s="3" t="s">
        <v>63</v>
      </c>
      <c r="CW4" s="3" t="s">
        <v>64</v>
      </c>
      <c r="CX4" s="3" t="s">
        <v>65</v>
      </c>
    </row>
    <row r="5" spans="1:110" ht="14.45" x14ac:dyDescent="0.3">
      <c r="A5">
        <v>1</v>
      </c>
      <c r="B5" t="str">
        <f>CONCATENATE(A5,"a")</f>
        <v>1a</v>
      </c>
      <c r="C5" t="s">
        <v>313</v>
      </c>
      <c r="D5" t="s">
        <v>314</v>
      </c>
      <c r="E5" t="s">
        <v>315</v>
      </c>
      <c r="F5">
        <v>200</v>
      </c>
      <c r="J5" s="247"/>
      <c r="P5" t="s">
        <v>489</v>
      </c>
      <c r="Q5">
        <v>1</v>
      </c>
      <c r="R5" s="350" t="s">
        <v>488</v>
      </c>
      <c r="S5" s="350">
        <v>0.5</v>
      </c>
      <c r="T5" s="350" t="s">
        <v>490</v>
      </c>
      <c r="U5" s="350">
        <v>1</v>
      </c>
      <c r="V5" t="s">
        <v>472</v>
      </c>
      <c r="W5" t="s">
        <v>471</v>
      </c>
      <c r="X5" t="s">
        <v>473</v>
      </c>
      <c r="Y5">
        <v>4</v>
      </c>
      <c r="Z5" t="s">
        <v>491</v>
      </c>
      <c r="AA5" t="s">
        <v>471</v>
      </c>
      <c r="AF5" t="s">
        <v>69</v>
      </c>
      <c r="AG5" t="s">
        <v>70</v>
      </c>
      <c r="AI5">
        <v>2</v>
      </c>
      <c r="AJ5" t="s">
        <v>492</v>
      </c>
      <c r="AK5" t="s">
        <v>493</v>
      </c>
      <c r="AL5">
        <v>200</v>
      </c>
      <c r="BX5" t="s">
        <v>55</v>
      </c>
      <c r="BY5">
        <v>2</v>
      </c>
      <c r="BZ5" t="s">
        <v>57</v>
      </c>
      <c r="CA5">
        <v>2</v>
      </c>
      <c r="CB5" t="s">
        <v>58</v>
      </c>
      <c r="CC5">
        <v>2</v>
      </c>
      <c r="CD5" t="s">
        <v>59</v>
      </c>
      <c r="CE5" t="s">
        <v>56</v>
      </c>
      <c r="CT5">
        <v>0.08</v>
      </c>
      <c r="CU5" s="285">
        <f>'1a'!K515</f>
        <v>8331.8000000000011</v>
      </c>
      <c r="CV5">
        <f>IF(SUM(CT5*CU5&lt;75),75,SUM(CT5*CU5))</f>
        <v>666.5440000000001</v>
      </c>
      <c r="CW5">
        <v>3</v>
      </c>
    </row>
    <row r="6" spans="1:110" ht="14.45" hidden="1" x14ac:dyDescent="0.3">
      <c r="A6">
        <v>2</v>
      </c>
      <c r="B6" t="str">
        <f t="shared" ref="B6:B34" si="0">CONCATENATE(A6,"a")</f>
        <v>2a</v>
      </c>
      <c r="F6">
        <v>200</v>
      </c>
      <c r="CU6">
        <f t="shared" ref="CU6:CU32" ca="1" si="1">INDIRECT("'" &amp; A6 &amp; "'!$G$22")</f>
        <v>0</v>
      </c>
    </row>
    <row r="7" spans="1:110" ht="14.45" hidden="1" x14ac:dyDescent="0.3">
      <c r="A7">
        <v>3</v>
      </c>
      <c r="B7" t="str">
        <f t="shared" si="0"/>
        <v>3a</v>
      </c>
      <c r="F7">
        <v>200</v>
      </c>
      <c r="CU7" t="e">
        <f t="shared" ca="1" si="1"/>
        <v>#REF!</v>
      </c>
    </row>
    <row r="8" spans="1:110" ht="14.45" hidden="1" x14ac:dyDescent="0.3">
      <c r="A8">
        <v>4</v>
      </c>
      <c r="B8" t="str">
        <f t="shared" si="0"/>
        <v>4a</v>
      </c>
      <c r="F8">
        <v>200</v>
      </c>
      <c r="CU8" t="e">
        <f t="shared" ca="1" si="1"/>
        <v>#REF!</v>
      </c>
    </row>
    <row r="9" spans="1:110" ht="14.45" hidden="1" x14ac:dyDescent="0.3">
      <c r="A9">
        <v>5</v>
      </c>
      <c r="B9" t="str">
        <f t="shared" si="0"/>
        <v>5a</v>
      </c>
      <c r="F9">
        <v>200</v>
      </c>
      <c r="CU9" t="e">
        <f t="shared" ca="1" si="1"/>
        <v>#REF!</v>
      </c>
    </row>
    <row r="10" spans="1:110" ht="14.45" hidden="1" x14ac:dyDescent="0.3">
      <c r="A10">
        <v>6</v>
      </c>
      <c r="B10" t="str">
        <f t="shared" si="0"/>
        <v>6a</v>
      </c>
      <c r="F10">
        <v>200</v>
      </c>
      <c r="CU10" t="e">
        <f t="shared" ca="1" si="1"/>
        <v>#REF!</v>
      </c>
    </row>
    <row r="11" spans="1:110" ht="14.45" hidden="1" x14ac:dyDescent="0.3">
      <c r="A11">
        <v>7</v>
      </c>
      <c r="B11" t="str">
        <f t="shared" si="0"/>
        <v>7a</v>
      </c>
      <c r="F11">
        <v>200</v>
      </c>
      <c r="CU11" t="e">
        <f t="shared" ca="1" si="1"/>
        <v>#REF!</v>
      </c>
    </row>
    <row r="12" spans="1:110" ht="14.45" hidden="1" x14ac:dyDescent="0.3">
      <c r="A12">
        <v>8</v>
      </c>
      <c r="B12" t="str">
        <f t="shared" si="0"/>
        <v>8a</v>
      </c>
      <c r="F12">
        <v>200</v>
      </c>
      <c r="CU12" t="e">
        <f t="shared" ca="1" si="1"/>
        <v>#REF!</v>
      </c>
    </row>
    <row r="13" spans="1:110" ht="14.45" hidden="1" x14ac:dyDescent="0.3">
      <c r="A13">
        <v>9</v>
      </c>
      <c r="B13" t="str">
        <f t="shared" si="0"/>
        <v>9a</v>
      </c>
      <c r="F13">
        <v>200</v>
      </c>
      <c r="CU13" t="e">
        <f t="shared" ca="1" si="1"/>
        <v>#REF!</v>
      </c>
    </row>
    <row r="14" spans="1:110" ht="14.45" hidden="1" x14ac:dyDescent="0.3">
      <c r="A14">
        <v>10</v>
      </c>
      <c r="B14" t="str">
        <f t="shared" si="0"/>
        <v>10a</v>
      </c>
      <c r="F14">
        <v>200</v>
      </c>
      <c r="CU14" t="e">
        <f t="shared" ca="1" si="1"/>
        <v>#REF!</v>
      </c>
    </row>
    <row r="15" spans="1:110" ht="14.45" hidden="1" x14ac:dyDescent="0.3">
      <c r="A15">
        <v>11</v>
      </c>
      <c r="B15" t="str">
        <f t="shared" si="0"/>
        <v>11a</v>
      </c>
      <c r="F15">
        <v>200</v>
      </c>
      <c r="CU15" t="e">
        <f t="shared" ca="1" si="1"/>
        <v>#REF!</v>
      </c>
    </row>
    <row r="16" spans="1:110" ht="14.45" hidden="1" x14ac:dyDescent="0.3">
      <c r="A16">
        <v>12</v>
      </c>
      <c r="B16" t="str">
        <f t="shared" si="0"/>
        <v>12a</v>
      </c>
      <c r="F16">
        <v>200</v>
      </c>
      <c r="CU16" t="e">
        <f t="shared" ca="1" si="1"/>
        <v>#REF!</v>
      </c>
    </row>
    <row r="17" spans="1:99" ht="14.45" hidden="1" x14ac:dyDescent="0.3">
      <c r="A17">
        <v>13</v>
      </c>
      <c r="B17" t="str">
        <f t="shared" si="0"/>
        <v>13a</v>
      </c>
      <c r="F17">
        <v>200</v>
      </c>
      <c r="CU17" t="e">
        <f t="shared" ca="1" si="1"/>
        <v>#REF!</v>
      </c>
    </row>
    <row r="18" spans="1:99" ht="14.45" hidden="1" x14ac:dyDescent="0.3">
      <c r="A18">
        <v>14</v>
      </c>
      <c r="B18" t="str">
        <f t="shared" si="0"/>
        <v>14a</v>
      </c>
      <c r="D18" s="248"/>
      <c r="F18">
        <v>200</v>
      </c>
      <c r="CU18" t="e">
        <f t="shared" ca="1" si="1"/>
        <v>#REF!</v>
      </c>
    </row>
    <row r="19" spans="1:99" ht="14.45" hidden="1" x14ac:dyDescent="0.3">
      <c r="A19">
        <v>15</v>
      </c>
      <c r="B19" t="str">
        <f t="shared" si="0"/>
        <v>15a</v>
      </c>
      <c r="F19">
        <v>200</v>
      </c>
      <c r="CU19" t="e">
        <f t="shared" ca="1" si="1"/>
        <v>#REF!</v>
      </c>
    </row>
    <row r="20" spans="1:99" ht="14.45" hidden="1" x14ac:dyDescent="0.3">
      <c r="A20">
        <v>16</v>
      </c>
      <c r="B20" t="str">
        <f t="shared" si="0"/>
        <v>16a</v>
      </c>
      <c r="F20">
        <v>200</v>
      </c>
      <c r="CU20" t="e">
        <f t="shared" ca="1" si="1"/>
        <v>#REF!</v>
      </c>
    </row>
    <row r="21" spans="1:99" ht="14.45" hidden="1" x14ac:dyDescent="0.3">
      <c r="A21">
        <v>17</v>
      </c>
      <c r="B21" t="str">
        <f t="shared" si="0"/>
        <v>17a</v>
      </c>
      <c r="F21">
        <v>200</v>
      </c>
      <c r="CU21" t="e">
        <f t="shared" ca="1" si="1"/>
        <v>#REF!</v>
      </c>
    </row>
    <row r="22" spans="1:99" ht="14.45" hidden="1" x14ac:dyDescent="0.3">
      <c r="A22">
        <v>18</v>
      </c>
      <c r="B22" t="str">
        <f t="shared" si="0"/>
        <v>18a</v>
      </c>
      <c r="F22">
        <v>200</v>
      </c>
      <c r="CU22" t="e">
        <f t="shared" ca="1" si="1"/>
        <v>#REF!</v>
      </c>
    </row>
    <row r="23" spans="1:99" ht="14.45" hidden="1" x14ac:dyDescent="0.3">
      <c r="A23">
        <v>19</v>
      </c>
      <c r="B23" t="str">
        <f t="shared" si="0"/>
        <v>19a</v>
      </c>
      <c r="F23">
        <v>200</v>
      </c>
      <c r="CU23" t="e">
        <f t="shared" ca="1" si="1"/>
        <v>#REF!</v>
      </c>
    </row>
    <row r="24" spans="1:99" ht="14.45" hidden="1" x14ac:dyDescent="0.3">
      <c r="A24">
        <v>20</v>
      </c>
      <c r="B24" t="str">
        <f t="shared" si="0"/>
        <v>20a</v>
      </c>
      <c r="F24">
        <v>200</v>
      </c>
      <c r="CU24" t="e">
        <f t="shared" ca="1" si="1"/>
        <v>#REF!</v>
      </c>
    </row>
    <row r="25" spans="1:99" ht="14.45" hidden="1" x14ac:dyDescent="0.3">
      <c r="A25">
        <v>21</v>
      </c>
      <c r="B25" t="str">
        <f t="shared" si="0"/>
        <v>21a</v>
      </c>
      <c r="F25">
        <v>200</v>
      </c>
      <c r="CU25" t="e">
        <f t="shared" ca="1" si="1"/>
        <v>#REF!</v>
      </c>
    </row>
    <row r="26" spans="1:99" ht="14.45" hidden="1" x14ac:dyDescent="0.3">
      <c r="A26">
        <v>22</v>
      </c>
      <c r="B26" t="str">
        <f t="shared" si="0"/>
        <v>22a</v>
      </c>
      <c r="F26">
        <v>200</v>
      </c>
      <c r="CU26" t="e">
        <f t="shared" ca="1" si="1"/>
        <v>#REF!</v>
      </c>
    </row>
    <row r="27" spans="1:99" ht="14.45" hidden="1" x14ac:dyDescent="0.3">
      <c r="A27">
        <v>23</v>
      </c>
      <c r="B27" t="str">
        <f t="shared" si="0"/>
        <v>23a</v>
      </c>
      <c r="F27">
        <v>200</v>
      </c>
      <c r="CU27" t="e">
        <f t="shared" ca="1" si="1"/>
        <v>#REF!</v>
      </c>
    </row>
    <row r="28" spans="1:99" ht="14.45" hidden="1" x14ac:dyDescent="0.3">
      <c r="A28">
        <v>24</v>
      </c>
      <c r="B28" t="str">
        <f t="shared" si="0"/>
        <v>24a</v>
      </c>
      <c r="F28">
        <v>200</v>
      </c>
      <c r="CU28" t="e">
        <f t="shared" ca="1" si="1"/>
        <v>#REF!</v>
      </c>
    </row>
    <row r="29" spans="1:99" ht="14.45" hidden="1" x14ac:dyDescent="0.3">
      <c r="A29">
        <v>25</v>
      </c>
      <c r="B29" t="str">
        <f t="shared" si="0"/>
        <v>25a</v>
      </c>
      <c r="F29">
        <v>200</v>
      </c>
      <c r="CU29" t="e">
        <f t="shared" ca="1" si="1"/>
        <v>#REF!</v>
      </c>
    </row>
    <row r="30" spans="1:99" ht="14.45" hidden="1" x14ac:dyDescent="0.3">
      <c r="A30">
        <v>26</v>
      </c>
      <c r="B30" t="str">
        <f t="shared" si="0"/>
        <v>26a</v>
      </c>
      <c r="F30">
        <v>200</v>
      </c>
      <c r="CU30" t="e">
        <f t="shared" ca="1" si="1"/>
        <v>#REF!</v>
      </c>
    </row>
    <row r="31" spans="1:99" ht="14.45" hidden="1" x14ac:dyDescent="0.3">
      <c r="A31">
        <v>27</v>
      </c>
      <c r="B31" t="str">
        <f t="shared" si="0"/>
        <v>27a</v>
      </c>
      <c r="F31">
        <v>200</v>
      </c>
      <c r="CU31" t="e">
        <f t="shared" ca="1" si="1"/>
        <v>#REF!</v>
      </c>
    </row>
    <row r="32" spans="1:99" ht="14.45" hidden="1" x14ac:dyDescent="0.3">
      <c r="A32">
        <v>28</v>
      </c>
      <c r="B32" t="str">
        <f t="shared" si="0"/>
        <v>28a</v>
      </c>
      <c r="F32">
        <v>200</v>
      </c>
      <c r="CU32" t="e">
        <f t="shared" ca="1" si="1"/>
        <v>#REF!</v>
      </c>
    </row>
    <row r="33" spans="1:6" ht="14.45" hidden="1" x14ac:dyDescent="0.3">
      <c r="A33">
        <v>29</v>
      </c>
      <c r="B33" t="str">
        <f t="shared" si="0"/>
        <v>29a</v>
      </c>
      <c r="F33">
        <v>200</v>
      </c>
    </row>
    <row r="34" spans="1:6" ht="14.45" hidden="1" x14ac:dyDescent="0.3">
      <c r="A34">
        <v>30</v>
      </c>
      <c r="B34" t="str">
        <f t="shared" si="0"/>
        <v>30a</v>
      </c>
      <c r="F34">
        <v>200</v>
      </c>
    </row>
  </sheetData>
  <pageMargins left="0.7" right="0.7" top="0.75" bottom="0.75" header="0.3" footer="0.3"/>
  <pageSetup paperSize="9" scale="21" orientation="landscape" r:id="rId1"/>
  <colBreaks count="3" manualBreakCount="3">
    <brk id="15" max="1048575" man="1"/>
    <brk id="31" max="1048575" man="1"/>
    <brk id="7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tabColor rgb="FFF07512"/>
  </sheetPr>
  <dimension ref="A1:K32"/>
  <sheetViews>
    <sheetView showGridLines="0" showZeros="0" view="pageBreakPreview" zoomScaleNormal="100" zoomScaleSheetLayoutView="100" workbookViewId="0">
      <selection activeCell="CI22" sqref="CI22"/>
    </sheetView>
  </sheetViews>
  <sheetFormatPr defaultColWidth="0" defaultRowHeight="15" zeroHeight="1" x14ac:dyDescent="0.25"/>
  <cols>
    <col min="1" max="1" width="59" customWidth="1"/>
    <col min="2" max="2" width="50.140625" bestFit="1" customWidth="1"/>
    <col min="3" max="6" width="9.140625" hidden="1" customWidth="1"/>
    <col min="7" max="11" width="0" hidden="1" customWidth="1"/>
    <col min="12" max="16384" width="9.140625" hidden="1"/>
  </cols>
  <sheetData>
    <row r="1" spans="1:2" ht="14.45" x14ac:dyDescent="0.3"/>
    <row r="2" spans="1:2" ht="23.45" x14ac:dyDescent="0.45">
      <c r="A2" s="40" t="str">
        <f>CONCATENATE("Basisgegevens, onderdeel van ",bestekcontract," ",besteknr)</f>
        <v>Basisgegevens, onderdeel van bestek 2016-S2800</v>
      </c>
      <c r="B2" s="22"/>
    </row>
    <row r="3" spans="1:2" ht="14.45" x14ac:dyDescent="0.3"/>
    <row r="4" spans="1:2" ht="14.45" x14ac:dyDescent="0.3">
      <c r="A4" s="18" t="s">
        <v>128</v>
      </c>
      <c r="B4" s="76" t="s">
        <v>469</v>
      </c>
    </row>
    <row r="5" spans="1:2" ht="14.45" x14ac:dyDescent="0.3">
      <c r="A5" s="19" t="s">
        <v>129</v>
      </c>
      <c r="B5" s="77" t="s">
        <v>315</v>
      </c>
    </row>
    <row r="6" spans="1:2" ht="14.45" x14ac:dyDescent="0.3">
      <c r="A6" s="19" t="s">
        <v>130</v>
      </c>
      <c r="B6" s="245">
        <v>1168266</v>
      </c>
    </row>
    <row r="7" spans="1:2" ht="14.45" x14ac:dyDescent="0.3">
      <c r="A7" s="19"/>
      <c r="B7" s="77"/>
    </row>
    <row r="8" spans="1:2" ht="14.45" x14ac:dyDescent="0.3">
      <c r="A8" s="19" t="s">
        <v>131</v>
      </c>
      <c r="B8" s="77" t="s">
        <v>474</v>
      </c>
    </row>
    <row r="9" spans="1:2" ht="14.45" x14ac:dyDescent="0.3">
      <c r="A9" s="19" t="s">
        <v>132</v>
      </c>
      <c r="B9" s="77" t="s">
        <v>486</v>
      </c>
    </row>
    <row r="10" spans="1:2" ht="14.45" x14ac:dyDescent="0.3">
      <c r="A10" s="19" t="s">
        <v>133</v>
      </c>
      <c r="B10" s="77"/>
    </row>
    <row r="11" spans="1:2" ht="14.45" x14ac:dyDescent="0.3">
      <c r="A11" s="20" t="s">
        <v>132</v>
      </c>
      <c r="B11" s="78"/>
    </row>
    <row r="12" spans="1:2" ht="14.45" x14ac:dyDescent="0.3"/>
    <row r="13" spans="1:2" ht="14.45" x14ac:dyDescent="0.3">
      <c r="A13" s="18" t="s">
        <v>135</v>
      </c>
      <c r="B13" s="76" t="s">
        <v>475</v>
      </c>
    </row>
    <row r="14" spans="1:2" ht="14.45" x14ac:dyDescent="0.3">
      <c r="A14" s="19" t="s">
        <v>134</v>
      </c>
      <c r="B14" s="244" t="s">
        <v>476</v>
      </c>
    </row>
    <row r="15" spans="1:2" ht="14.45" x14ac:dyDescent="0.3">
      <c r="A15" s="19" t="s">
        <v>136</v>
      </c>
      <c r="B15" s="244"/>
    </row>
    <row r="16" spans="1:2" ht="14.45" x14ac:dyDescent="0.3">
      <c r="A16" s="20" t="s">
        <v>137</v>
      </c>
      <c r="B16" s="309" t="s">
        <v>477</v>
      </c>
    </row>
    <row r="17" spans="1:2" ht="14.45" x14ac:dyDescent="0.3"/>
    <row r="18" spans="1:2" ht="14.45" x14ac:dyDescent="0.3"/>
    <row r="19" spans="1:2" ht="14.45" x14ac:dyDescent="0.3">
      <c r="A19" s="18" t="s">
        <v>138</v>
      </c>
      <c r="B19" s="201"/>
    </row>
    <row r="20" spans="1:2" ht="14.45" x14ac:dyDescent="0.3">
      <c r="A20" s="19" t="s">
        <v>139</v>
      </c>
      <c r="B20" s="202"/>
    </row>
    <row r="21" spans="1:2" ht="14.45" x14ac:dyDescent="0.3">
      <c r="A21" s="19" t="s">
        <v>130</v>
      </c>
      <c r="B21" s="202"/>
    </row>
    <row r="22" spans="1:2" ht="14.45" x14ac:dyDescent="0.3">
      <c r="A22" s="19" t="s">
        <v>140</v>
      </c>
      <c r="B22" s="202"/>
    </row>
    <row r="23" spans="1:2" ht="14.45" x14ac:dyDescent="0.3">
      <c r="A23" s="19" t="s">
        <v>132</v>
      </c>
      <c r="B23" s="202"/>
    </row>
    <row r="24" spans="1:2" ht="14.45" x14ac:dyDescent="0.3">
      <c r="A24" s="19" t="s">
        <v>141</v>
      </c>
      <c r="B24" s="202"/>
    </row>
    <row r="25" spans="1:2" ht="14.45" x14ac:dyDescent="0.3">
      <c r="A25" s="20" t="s">
        <v>132</v>
      </c>
      <c r="B25" s="203"/>
    </row>
    <row r="26" spans="1:2" ht="14.45" x14ac:dyDescent="0.3"/>
    <row r="27" spans="1:2" ht="14.45" x14ac:dyDescent="0.3">
      <c r="A27" s="18" t="s">
        <v>142</v>
      </c>
      <c r="B27" s="201"/>
    </row>
    <row r="28" spans="1:2" ht="14.45" x14ac:dyDescent="0.3">
      <c r="A28" s="19" t="s">
        <v>134</v>
      </c>
      <c r="B28" s="204"/>
    </row>
    <row r="29" spans="1:2" ht="14.45" x14ac:dyDescent="0.3">
      <c r="A29" s="19" t="s">
        <v>143</v>
      </c>
      <c r="B29" s="202"/>
    </row>
    <row r="30" spans="1:2" ht="14.45" x14ac:dyDescent="0.3">
      <c r="A30" s="19" t="s">
        <v>146</v>
      </c>
      <c r="B30" s="202"/>
    </row>
    <row r="31" spans="1:2" ht="14.45" x14ac:dyDescent="0.3">
      <c r="A31" s="19" t="s">
        <v>144</v>
      </c>
      <c r="B31" s="204"/>
    </row>
    <row r="32" spans="1:2" ht="14.45" x14ac:dyDescent="0.3">
      <c r="A32" s="20" t="s">
        <v>145</v>
      </c>
      <c r="B32" s="203"/>
    </row>
  </sheetData>
  <hyperlinks>
    <hyperlink ref="B16" r:id="rId1"/>
  </hyperlinks>
  <pageMargins left="0.70866141732283472" right="0.70866141732283472" top="0.94488188976377963" bottom="0.74803149606299213" header="0.31496062992125984" footer="0.31496062992125984"/>
  <pageSetup paperSize="9" scale="79" orientation="portrait" r:id="rId2"/>
  <headerFooter>
    <oddHeader>&amp;L&amp;G</oddHead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3">
    <tabColor rgb="FFF07512"/>
  </sheetPr>
  <dimension ref="A1:K52"/>
  <sheetViews>
    <sheetView showGridLines="0" showZeros="0" view="pageBreakPreview" zoomScaleNormal="100" zoomScaleSheetLayoutView="100" workbookViewId="0">
      <selection activeCell="CI22" sqref="CI22"/>
    </sheetView>
  </sheetViews>
  <sheetFormatPr defaultColWidth="0" defaultRowHeight="15" zeroHeight="1" x14ac:dyDescent="0.25"/>
  <cols>
    <col min="1" max="1" width="18.7109375" customWidth="1"/>
    <col min="2" max="9" width="9.7109375" customWidth="1"/>
    <col min="10" max="10" width="5.7109375" hidden="1" customWidth="1"/>
    <col min="11" max="11" width="0" hidden="1" customWidth="1"/>
    <col min="12" max="16384" width="9.140625" hidden="1"/>
  </cols>
  <sheetData>
    <row r="1" spans="1:9" ht="14.45" x14ac:dyDescent="0.3"/>
    <row r="2" spans="1:9" ht="23.45" x14ac:dyDescent="0.45">
      <c r="A2" s="40" t="str">
        <f>CONCATENATE("Tariefblad, onderdeel van ",bestekcontract," ",besteknr)</f>
        <v>Tariefblad, onderdeel van bestek 2016-S2800</v>
      </c>
      <c r="B2" s="63"/>
      <c r="C2" s="63"/>
      <c r="D2" s="13"/>
      <c r="E2" s="13"/>
      <c r="F2" s="13"/>
      <c r="G2" s="13"/>
      <c r="H2" s="22"/>
    </row>
    <row r="3" spans="1:9" ht="14.45" x14ac:dyDescent="0.3"/>
    <row r="4" spans="1:9" ht="14.45" x14ac:dyDescent="0.3">
      <c r="A4" s="23"/>
      <c r="B4" s="246"/>
      <c r="C4" s="23"/>
      <c r="D4" s="23">
        <f>opdrachtnemer</f>
        <v>0</v>
      </c>
      <c r="E4" s="23"/>
      <c r="F4" s="23"/>
      <c r="G4" s="23"/>
      <c r="H4" s="23"/>
    </row>
    <row r="5" spans="1:9" ht="14.45" x14ac:dyDescent="0.3">
      <c r="C5" s="15"/>
    </row>
    <row r="6" spans="1:9" ht="14.45" x14ac:dyDescent="0.3">
      <c r="A6" s="114"/>
      <c r="B6" s="111"/>
      <c r="C6" s="111"/>
      <c r="D6" s="111" t="s">
        <v>150</v>
      </c>
      <c r="E6" s="111"/>
      <c r="F6" s="111" t="s">
        <v>152</v>
      </c>
      <c r="G6" s="111"/>
      <c r="H6" s="111" t="s">
        <v>151</v>
      </c>
      <c r="I6" s="116"/>
    </row>
    <row r="7" spans="1:9" x14ac:dyDescent="0.25">
      <c r="A7" s="12" t="s">
        <v>147</v>
      </c>
      <c r="B7" s="13"/>
      <c r="C7" s="51"/>
      <c r="D7" s="52" t="s">
        <v>148</v>
      </c>
      <c r="E7" s="52" t="s">
        <v>149</v>
      </c>
      <c r="F7" s="52" t="s">
        <v>148</v>
      </c>
      <c r="G7" s="52" t="s">
        <v>149</v>
      </c>
      <c r="H7" s="52" t="s">
        <v>148</v>
      </c>
      <c r="I7" s="22" t="s">
        <v>149</v>
      </c>
    </row>
    <row r="8" spans="1:9" ht="14.45" x14ac:dyDescent="0.3">
      <c r="A8" s="12" t="s">
        <v>172</v>
      </c>
      <c r="B8" s="13"/>
      <c r="C8" s="51"/>
      <c r="D8" s="51"/>
      <c r="E8" s="160">
        <v>22</v>
      </c>
      <c r="F8" s="52"/>
      <c r="G8" s="161"/>
      <c r="H8" s="52"/>
      <c r="I8" s="162"/>
    </row>
    <row r="9" spans="1:9" ht="14.45" x14ac:dyDescent="0.3">
      <c r="A9" s="12" t="s">
        <v>153</v>
      </c>
      <c r="B9" s="13"/>
      <c r="C9" s="51"/>
      <c r="D9" s="51"/>
      <c r="E9" s="160"/>
      <c r="F9" s="52"/>
      <c r="G9" s="160"/>
      <c r="H9" s="52"/>
      <c r="I9" s="162"/>
    </row>
    <row r="10" spans="1:9" thickBot="1" x14ac:dyDescent="0.35">
      <c r="A10" s="124" t="s">
        <v>154</v>
      </c>
      <c r="B10" s="125"/>
      <c r="C10" s="125"/>
      <c r="D10" s="125"/>
      <c r="E10" s="235">
        <f>SUM(E8:E9)</f>
        <v>22</v>
      </c>
      <c r="F10" s="125"/>
      <c r="G10" s="235">
        <f>SUM(G8:G9)</f>
        <v>0</v>
      </c>
      <c r="H10" s="125"/>
      <c r="I10" s="236">
        <f>SUM(I8:I9)</f>
        <v>0</v>
      </c>
    </row>
    <row r="11" spans="1:9" thickTop="1" x14ac:dyDescent="0.3">
      <c r="A11" s="16" t="s">
        <v>155</v>
      </c>
      <c r="B11" s="17"/>
      <c r="C11" s="53"/>
      <c r="D11" s="156"/>
      <c r="E11" s="54" t="str">
        <f>IF(D11="","",D11*$E$10)</f>
        <v/>
      </c>
      <c r="F11" s="156"/>
      <c r="G11" s="54" t="str">
        <f>IF(F11="","",SUM(F11*$G$10))</f>
        <v/>
      </c>
      <c r="H11" s="156"/>
      <c r="I11" s="31" t="str">
        <f>IF(H11="","",SUM(H11*$I$10))</f>
        <v/>
      </c>
    </row>
    <row r="12" spans="1:9" ht="14.45" x14ac:dyDescent="0.3">
      <c r="A12" s="12" t="s">
        <v>156</v>
      </c>
      <c r="B12" s="13"/>
      <c r="C12" s="51"/>
      <c r="D12" s="159"/>
      <c r="E12" s="55" t="str">
        <f>IF(D12="","",D12*$E$10)</f>
        <v/>
      </c>
      <c r="F12" s="159"/>
      <c r="G12" s="55" t="str">
        <f>IF(F12="","",SUM(F12*$G$10))</f>
        <v/>
      </c>
      <c r="H12" s="159"/>
      <c r="I12" s="32" t="str">
        <f>IF(H12="","",SUM(H12*$I$10))</f>
        <v/>
      </c>
    </row>
    <row r="13" spans="1:9" ht="14.45" x14ac:dyDescent="0.3">
      <c r="A13" s="12" t="s">
        <v>157</v>
      </c>
      <c r="B13" s="13"/>
      <c r="C13" s="51"/>
      <c r="D13" s="159"/>
      <c r="E13" s="55" t="str">
        <f>IF(D13="","",D13*$E$10)</f>
        <v/>
      </c>
      <c r="F13" s="159"/>
      <c r="G13" s="55" t="str">
        <f>IF(F13="","",SUM(F13*$G$10))</f>
        <v/>
      </c>
      <c r="H13" s="159"/>
      <c r="I13" s="32" t="str">
        <f>IF(H13="","",SUM(H13*$I$10))</f>
        <v/>
      </c>
    </row>
    <row r="14" spans="1:9" ht="14.45" x14ac:dyDescent="0.3">
      <c r="A14" s="12"/>
      <c r="B14" s="13"/>
      <c r="C14" s="51"/>
      <c r="D14" s="159"/>
      <c r="E14" s="55" t="str">
        <f>IF(D14="","",D14*$E$10)</f>
        <v/>
      </c>
      <c r="F14" s="159"/>
      <c r="G14" s="55" t="str">
        <f>IF(F14="","",SUM(F14*$G$10))</f>
        <v/>
      </c>
      <c r="H14" s="159"/>
      <c r="I14" s="237" t="str">
        <f>IF(H14="","",SUM(H14*$I$10))</f>
        <v/>
      </c>
    </row>
    <row r="15" spans="1:9" thickBot="1" x14ac:dyDescent="0.35">
      <c r="A15" s="124" t="s">
        <v>158</v>
      </c>
      <c r="B15" s="125"/>
      <c r="C15" s="125"/>
      <c r="D15" s="125"/>
      <c r="E15" s="235">
        <f>SUM(E10:E14)</f>
        <v>22</v>
      </c>
      <c r="F15" s="242"/>
      <c r="G15" s="235">
        <f>SUM(G10:G14)</f>
        <v>0</v>
      </c>
      <c r="H15" s="125"/>
      <c r="I15" s="236">
        <f>SUM(I10:I14)</f>
        <v>0</v>
      </c>
    </row>
    <row r="16" spans="1:9" thickTop="1" x14ac:dyDescent="0.3">
      <c r="A16" s="16" t="s">
        <v>159</v>
      </c>
      <c r="B16" s="17"/>
      <c r="C16" s="53"/>
      <c r="D16" s="157"/>
      <c r="E16" s="57" t="str">
        <f>IF(D16="","",SUM(D16*$E$15))</f>
        <v/>
      </c>
      <c r="F16" s="157"/>
      <c r="G16" s="57" t="str">
        <f>IF(F16="","",SUM(F16*$G$15))</f>
        <v/>
      </c>
      <c r="H16" s="157"/>
      <c r="I16" s="31" t="str">
        <f>IF(H16="","",SUM(H16*$I$15))</f>
        <v/>
      </c>
    </row>
    <row r="17" spans="1:9" ht="14.45" x14ac:dyDescent="0.3">
      <c r="A17" s="12"/>
      <c r="B17" s="13"/>
      <c r="C17" s="51"/>
      <c r="D17" s="158"/>
      <c r="E17" s="56" t="str">
        <f>IF(D17="","",SUM(D17*$E$15))</f>
        <v/>
      </c>
      <c r="F17" s="158"/>
      <c r="G17" s="56" t="str">
        <f>IF(F17="","",SUM(F17*$G$15))</f>
        <v/>
      </c>
      <c r="H17" s="158"/>
      <c r="I17" s="32" t="str">
        <f>IF(H17="","",SUM(H17*$I$15))</f>
        <v/>
      </c>
    </row>
    <row r="18" spans="1:9" thickBot="1" x14ac:dyDescent="0.35">
      <c r="A18" s="124" t="s">
        <v>158</v>
      </c>
      <c r="B18" s="125"/>
      <c r="C18" s="125"/>
      <c r="D18" s="125"/>
      <c r="E18" s="235">
        <f>SUM(E15:E17)</f>
        <v>22</v>
      </c>
      <c r="F18" s="125"/>
      <c r="G18" s="235">
        <f>SUM(G15:G17)</f>
        <v>0</v>
      </c>
      <c r="H18" s="125"/>
      <c r="I18" s="236">
        <f>SUM(I15:I17)</f>
        <v>0</v>
      </c>
    </row>
    <row r="19" spans="1:9" thickTop="1" x14ac:dyDescent="0.3">
      <c r="A19" s="16" t="s">
        <v>160</v>
      </c>
      <c r="B19" s="17"/>
      <c r="C19" s="53"/>
      <c r="D19" s="156"/>
      <c r="E19" s="238" t="str">
        <f>IF(D19="","",SUM(D19*$E$18))</f>
        <v/>
      </c>
      <c r="F19" s="157"/>
      <c r="G19" s="57" t="str">
        <f>IF(F19="","",SUM(F19*$G$18))</f>
        <v/>
      </c>
      <c r="H19" s="157"/>
      <c r="I19" s="31" t="str">
        <f>IF(H19="","",SUM(H19*$I$18))</f>
        <v/>
      </c>
    </row>
    <row r="20" spans="1:9" ht="14.45" x14ac:dyDescent="0.3">
      <c r="A20" s="12"/>
      <c r="B20" s="13"/>
      <c r="C20" s="51"/>
      <c r="D20" s="159"/>
      <c r="E20" s="56" t="str">
        <f>IF(D20="","",SUM(D20*$E$18))</f>
        <v/>
      </c>
      <c r="F20" s="158"/>
      <c r="G20" s="56" t="str">
        <f>IF(F20="","",SUM(F20*$G$18))</f>
        <v/>
      </c>
      <c r="H20" s="158"/>
      <c r="I20" s="32" t="str">
        <f>IF(H20="","",SUM(H20*$I$18))</f>
        <v/>
      </c>
    </row>
    <row r="21" spans="1:9" ht="14.45" x14ac:dyDescent="0.3">
      <c r="A21" s="12"/>
      <c r="B21" s="13"/>
      <c r="C21" s="51"/>
      <c r="D21" s="159"/>
      <c r="E21" s="56" t="str">
        <f>IF(D21="","",SUM(D21*$E$18))</f>
        <v/>
      </c>
      <c r="F21" s="158"/>
      <c r="G21" s="56" t="str">
        <f>IF(F21="","",SUM(F21*$G$18))</f>
        <v/>
      </c>
      <c r="H21" s="158"/>
      <c r="I21" s="32" t="str">
        <f>IF(H21="","",SUM(H21*$I$18))</f>
        <v/>
      </c>
    </row>
    <row r="22" spans="1:9" thickBot="1" x14ac:dyDescent="0.35">
      <c r="A22" s="124" t="s">
        <v>161</v>
      </c>
      <c r="B22" s="125"/>
      <c r="C22" s="125"/>
      <c r="D22" s="125"/>
      <c r="E22" s="235">
        <f>SUM(E18:E21)</f>
        <v>22</v>
      </c>
      <c r="F22" s="125"/>
      <c r="G22" s="235">
        <f>SUM(G18:G21)</f>
        <v>0</v>
      </c>
      <c r="H22" s="125"/>
      <c r="I22" s="236">
        <f>SUM(I18:I21)</f>
        <v>0</v>
      </c>
    </row>
    <row r="23" spans="1:9" thickTop="1" x14ac:dyDescent="0.3">
      <c r="A23" s="16" t="s">
        <v>162</v>
      </c>
      <c r="B23" s="17"/>
      <c r="C23" s="53"/>
      <c r="D23" s="156"/>
      <c r="E23" s="54" t="str">
        <f t="shared" ref="E23:E28" si="0">IF(D23="","",SUM(D23*$E$22))</f>
        <v/>
      </c>
      <c r="F23" s="156"/>
      <c r="G23" s="54" t="str">
        <f t="shared" ref="G23:G28" si="1">IF(F23="","",SUM(F23*$G$22))</f>
        <v/>
      </c>
      <c r="H23" s="156"/>
      <c r="I23" s="31" t="str">
        <f t="shared" ref="I23:I28" si="2">IF(H23="","",SUM(H23*$I$22))</f>
        <v/>
      </c>
    </row>
    <row r="24" spans="1:9" ht="14.45" x14ac:dyDescent="0.3">
      <c r="A24" s="12" t="s">
        <v>163</v>
      </c>
      <c r="B24" s="13"/>
      <c r="C24" s="51"/>
      <c r="D24" s="159"/>
      <c r="E24" s="55" t="str">
        <f t="shared" si="0"/>
        <v/>
      </c>
      <c r="F24" s="159"/>
      <c r="G24" s="55" t="str">
        <f t="shared" si="1"/>
        <v/>
      </c>
      <c r="H24" s="159"/>
      <c r="I24" s="32" t="str">
        <f t="shared" si="2"/>
        <v/>
      </c>
    </row>
    <row r="25" spans="1:9" ht="14.45" x14ac:dyDescent="0.3">
      <c r="A25" s="12" t="s">
        <v>164</v>
      </c>
      <c r="B25" s="13"/>
      <c r="C25" s="51"/>
      <c r="D25" s="159"/>
      <c r="E25" s="55" t="str">
        <f t="shared" si="0"/>
        <v/>
      </c>
      <c r="F25" s="159"/>
      <c r="G25" s="55" t="str">
        <f t="shared" si="1"/>
        <v/>
      </c>
      <c r="H25" s="159"/>
      <c r="I25" s="32" t="str">
        <f t="shared" si="2"/>
        <v/>
      </c>
    </row>
    <row r="26" spans="1:9" ht="14.45" x14ac:dyDescent="0.3">
      <c r="A26" s="12" t="s">
        <v>165</v>
      </c>
      <c r="B26" s="13"/>
      <c r="C26" s="51"/>
      <c r="D26" s="159"/>
      <c r="E26" s="55" t="str">
        <f t="shared" si="0"/>
        <v/>
      </c>
      <c r="F26" s="159"/>
      <c r="G26" s="55" t="str">
        <f t="shared" si="1"/>
        <v/>
      </c>
      <c r="H26" s="159"/>
      <c r="I26" s="32" t="str">
        <f t="shared" si="2"/>
        <v/>
      </c>
    </row>
    <row r="27" spans="1:9" ht="14.45" x14ac:dyDescent="0.3">
      <c r="A27" s="12" t="s">
        <v>166</v>
      </c>
      <c r="B27" s="13"/>
      <c r="C27" s="51"/>
      <c r="D27" s="159"/>
      <c r="E27" s="55" t="str">
        <f t="shared" si="0"/>
        <v/>
      </c>
      <c r="F27" s="159"/>
      <c r="G27" s="55" t="str">
        <f t="shared" si="1"/>
        <v/>
      </c>
      <c r="H27" s="159"/>
      <c r="I27" s="32" t="str">
        <f t="shared" si="2"/>
        <v/>
      </c>
    </row>
    <row r="28" spans="1:9" ht="14.45" x14ac:dyDescent="0.3">
      <c r="A28" s="12"/>
      <c r="B28" s="13"/>
      <c r="C28" s="51"/>
      <c r="D28" s="159"/>
      <c r="E28" s="55" t="str">
        <f t="shared" si="0"/>
        <v/>
      </c>
      <c r="F28" s="159"/>
      <c r="G28" s="55" t="str">
        <f t="shared" si="1"/>
        <v/>
      </c>
      <c r="H28" s="159"/>
      <c r="I28" s="32" t="str">
        <f t="shared" si="2"/>
        <v/>
      </c>
    </row>
    <row r="29" spans="1:9" thickBot="1" x14ac:dyDescent="0.35">
      <c r="A29" s="124" t="s">
        <v>167</v>
      </c>
      <c r="B29" s="125"/>
      <c r="C29" s="125"/>
      <c r="D29" s="125"/>
      <c r="E29" s="235">
        <f>SUM(E22:E28)</f>
        <v>22</v>
      </c>
      <c r="F29" s="125"/>
      <c r="G29" s="235">
        <f>SUM(G22:G28)</f>
        <v>0</v>
      </c>
      <c r="H29" s="125"/>
      <c r="I29" s="236">
        <f>SUM(I22:I28)</f>
        <v>0</v>
      </c>
    </row>
    <row r="30" spans="1:9" thickTop="1" x14ac:dyDescent="0.3">
      <c r="A30" s="16" t="s">
        <v>168</v>
      </c>
      <c r="B30" s="17"/>
      <c r="C30" s="53"/>
      <c r="D30" s="156"/>
      <c r="E30" s="54" t="str">
        <f>IF(D30="","",SUM(D30*$E$29))</f>
        <v/>
      </c>
      <c r="F30" s="156"/>
      <c r="G30" s="54" t="str">
        <f>IF(F30="","",SUM(F30*$G$29))</f>
        <v/>
      </c>
      <c r="H30" s="156"/>
      <c r="I30" s="31" t="str">
        <f>IF(H30="","",SUM(H30*$I$29))</f>
        <v/>
      </c>
    </row>
    <row r="31" spans="1:9" ht="14.45" x14ac:dyDescent="0.3">
      <c r="A31" s="12" t="s">
        <v>169</v>
      </c>
      <c r="B31" s="13"/>
      <c r="C31" s="51"/>
      <c r="D31" s="159"/>
      <c r="E31" s="55" t="str">
        <f>IF(D31="","",SUM(D31*$E$29))</f>
        <v/>
      </c>
      <c r="F31" s="159"/>
      <c r="G31" s="55" t="str">
        <f>IF(F31="","",SUM(F31*$G$29))</f>
        <v/>
      </c>
      <c r="H31" s="159"/>
      <c r="I31" s="32" t="str">
        <f>IF(H31="","",SUM(H31*$I$29))</f>
        <v/>
      </c>
    </row>
    <row r="32" spans="1:9" ht="14.45" x14ac:dyDescent="0.3">
      <c r="A32" s="310" t="s">
        <v>304</v>
      </c>
      <c r="B32" s="13"/>
      <c r="C32" s="51"/>
      <c r="D32" s="159"/>
      <c r="E32" s="55" t="str">
        <f>IF(D32="","",SUM(D32*$E$29))</f>
        <v/>
      </c>
      <c r="F32" s="159"/>
      <c r="G32" s="55"/>
      <c r="H32" s="159"/>
      <c r="I32" s="32"/>
    </row>
    <row r="33" spans="1:9" ht="14.45" x14ac:dyDescent="0.3">
      <c r="A33" s="12"/>
      <c r="B33" s="13"/>
      <c r="C33" s="51"/>
      <c r="D33" s="159"/>
      <c r="E33" s="55" t="str">
        <f>IF(D33="","",SUM(D33*$E$29))</f>
        <v/>
      </c>
      <c r="F33" s="159"/>
      <c r="G33" s="55" t="str">
        <f>IF(F33="","",SUM(F33*$G$29))</f>
        <v/>
      </c>
      <c r="H33" s="159"/>
      <c r="I33" s="32" t="str">
        <f>IF(H33="","",SUM(H33*$I$29))</f>
        <v/>
      </c>
    </row>
    <row r="34" spans="1:9" thickBot="1" x14ac:dyDescent="0.35">
      <c r="A34" s="124" t="s">
        <v>158</v>
      </c>
      <c r="B34" s="125"/>
      <c r="C34" s="125"/>
      <c r="D34" s="125"/>
      <c r="E34" s="235">
        <f>SUM(E29:E33)</f>
        <v>22</v>
      </c>
      <c r="F34" s="125"/>
      <c r="G34" s="235">
        <f>SUM(G29:G33)</f>
        <v>0</v>
      </c>
      <c r="H34" s="125"/>
      <c r="I34" s="236">
        <f>SUM(I29:I33)</f>
        <v>0</v>
      </c>
    </row>
    <row r="35" spans="1:9" thickTop="1" x14ac:dyDescent="0.3">
      <c r="A35" s="16" t="s">
        <v>170</v>
      </c>
      <c r="B35" s="17"/>
      <c r="C35" s="53"/>
      <c r="D35" s="157"/>
      <c r="E35" s="57" t="str">
        <f>IF(D35="","",SUM(D35*$E$34))</f>
        <v/>
      </c>
      <c r="F35" s="157"/>
      <c r="G35" s="57" t="str">
        <f>IF(F35="","",SUM(F35*$G$34))</f>
        <v/>
      </c>
      <c r="H35" s="157"/>
      <c r="I35" s="31" t="str">
        <f>IF(H35="","",SUM(H35*$I$34))</f>
        <v/>
      </c>
    </row>
    <row r="36" spans="1:9" ht="14.45" x14ac:dyDescent="0.3">
      <c r="A36" s="12"/>
      <c r="B36" s="13"/>
      <c r="C36" s="51"/>
      <c r="D36" s="158"/>
      <c r="E36" s="56" t="str">
        <f>IF(D36="","",SUM(D36*$E$34))</f>
        <v/>
      </c>
      <c r="F36" s="158"/>
      <c r="G36" s="56" t="str">
        <f>IF(F36="","",SUM(F36*$G$34))</f>
        <v/>
      </c>
      <c r="H36" s="158"/>
      <c r="I36" s="32" t="str">
        <f>IF(H36="","",SUM(H36*$I$34))</f>
        <v/>
      </c>
    </row>
    <row r="37" spans="1:9" s="50" customFormat="1" thickBot="1" x14ac:dyDescent="0.35">
      <c r="A37" s="124" t="s">
        <v>171</v>
      </c>
      <c r="B37" s="125"/>
      <c r="C37" s="125"/>
      <c r="D37" s="163"/>
      <c r="E37" s="239">
        <f>SUM(E34:E36)</f>
        <v>22</v>
      </c>
      <c r="F37" s="164"/>
      <c r="G37" s="239">
        <f>SUM(G34:G36)</f>
        <v>0</v>
      </c>
      <c r="H37" s="164"/>
      <c r="I37" s="240">
        <f>SUM(I34:I36)</f>
        <v>0</v>
      </c>
    </row>
    <row r="38" spans="1:9" thickTop="1" x14ac:dyDescent="0.3">
      <c r="A38" s="15"/>
      <c r="B38" s="15"/>
      <c r="C38" s="15"/>
      <c r="D38" s="15"/>
      <c r="E38" s="15"/>
      <c r="F38" s="15"/>
      <c r="G38" s="15"/>
      <c r="H38" s="15"/>
      <c r="I38" s="15"/>
    </row>
    <row r="39" spans="1:9" ht="14.45" x14ac:dyDescent="0.3">
      <c r="A39" s="15"/>
      <c r="B39" s="15"/>
      <c r="C39" s="15"/>
      <c r="D39" s="15"/>
      <c r="E39" s="15"/>
      <c r="F39" s="15"/>
      <c r="G39" s="15"/>
      <c r="H39" s="15"/>
      <c r="I39" s="15"/>
    </row>
    <row r="40" spans="1:9" ht="14.45" x14ac:dyDescent="0.3">
      <c r="A40" s="109"/>
      <c r="B40" s="110"/>
      <c r="C40" s="110" t="s">
        <v>184</v>
      </c>
      <c r="D40" s="110"/>
      <c r="E40" s="110"/>
      <c r="F40" s="110"/>
      <c r="G40" s="110"/>
      <c r="H40" s="110"/>
      <c r="I40" s="86"/>
    </row>
    <row r="41" spans="1:9" ht="14.45" x14ac:dyDescent="0.3">
      <c r="A41" s="19"/>
      <c r="B41" s="24" t="s">
        <v>173</v>
      </c>
      <c r="C41" s="24" t="s">
        <v>174</v>
      </c>
      <c r="D41" s="24" t="s">
        <v>175</v>
      </c>
      <c r="E41" s="24" t="s">
        <v>176</v>
      </c>
      <c r="F41" s="24" t="s">
        <v>177</v>
      </c>
      <c r="G41" s="24" t="s">
        <v>178</v>
      </c>
      <c r="H41" s="24" t="s">
        <v>179</v>
      </c>
      <c r="I41" s="25" t="s">
        <v>180</v>
      </c>
    </row>
    <row r="42" spans="1:9" ht="14.45" x14ac:dyDescent="0.3">
      <c r="A42" s="26" t="s">
        <v>181</v>
      </c>
      <c r="B42" s="27">
        <f>SUM($G$22*1.5)+($G$37-$G$22)</f>
        <v>0</v>
      </c>
      <c r="C42" s="27">
        <f>SUM($G$22*1.3)+($G$37-$G$22)</f>
        <v>0</v>
      </c>
      <c r="D42" s="27">
        <f>SUM($G$22*1.3)+($G$37-$G$22)</f>
        <v>0</v>
      </c>
      <c r="E42" s="27">
        <f>SUM($G$22*1.3)+($G$37-$G$22)</f>
        <v>0</v>
      </c>
      <c r="F42" s="27">
        <f>SUM($G$22*1.3)+($G$37-$G$22)</f>
        <v>0</v>
      </c>
      <c r="G42" s="27">
        <f t="shared" ref="G42:H44" si="3">SUM($G$22*1.5)+($G$37-$G$22)</f>
        <v>0</v>
      </c>
      <c r="H42" s="27">
        <f t="shared" si="3"/>
        <v>0</v>
      </c>
      <c r="I42" s="28">
        <f>SUM($G$22*1.5)+($G$37-$G$22)</f>
        <v>0</v>
      </c>
    </row>
    <row r="43" spans="1:9" ht="14.45" x14ac:dyDescent="0.3">
      <c r="A43" s="19" t="s">
        <v>182</v>
      </c>
      <c r="B43" s="27">
        <f>SUM($G$22*1)+($G$37-$G$22)</f>
        <v>0</v>
      </c>
      <c r="C43" s="27">
        <f>SUM($G$22*1)+($G$37-$G$22)</f>
        <v>0</v>
      </c>
      <c r="D43" s="27">
        <f>SUM($G$22*1)+($G$37-$G$22)</f>
        <v>0</v>
      </c>
      <c r="E43" s="27">
        <f>SUM($G$22*1)+($G$37-$G$22)</f>
        <v>0</v>
      </c>
      <c r="F43" s="27">
        <f>SUM($G$22*1)+($G$37-$G$22)</f>
        <v>0</v>
      </c>
      <c r="G43" s="27">
        <f t="shared" si="3"/>
        <v>0</v>
      </c>
      <c r="H43" s="27">
        <f t="shared" si="3"/>
        <v>0</v>
      </c>
      <c r="I43" s="28">
        <f>SUM($G$22*1.5)+($G$37-$G$22)</f>
        <v>0</v>
      </c>
    </row>
    <row r="44" spans="1:9" ht="14.45" x14ac:dyDescent="0.3">
      <c r="A44" s="20" t="s">
        <v>183</v>
      </c>
      <c r="B44" s="29">
        <f>SUM($G$22*1.3)+($G$37-$G$22)</f>
        <v>0</v>
      </c>
      <c r="C44" s="29">
        <f>SUM($G$22*1.3)+($G$37-$G$22)</f>
        <v>0</v>
      </c>
      <c r="D44" s="29">
        <f>SUM($G$22*1.3)+($G$37-$G$22)</f>
        <v>0</v>
      </c>
      <c r="E44" s="29">
        <f>SUM($G$22*1.3)+($G$37-$G$22)</f>
        <v>0</v>
      </c>
      <c r="F44" s="29">
        <f>SUM($G$22*1.5)+($G$37-$G$22)</f>
        <v>0</v>
      </c>
      <c r="G44" s="29">
        <f t="shared" si="3"/>
        <v>0</v>
      </c>
      <c r="H44" s="29">
        <f t="shared" si="3"/>
        <v>0</v>
      </c>
      <c r="I44" s="30">
        <f>SUM($G$22*1.5)+($G$37-$G$22)</f>
        <v>0</v>
      </c>
    </row>
    <row r="45" spans="1:9" x14ac:dyDescent="0.2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25">
      <c r="A46" s="109"/>
      <c r="B46" s="110"/>
      <c r="C46" s="110" t="s">
        <v>185</v>
      </c>
      <c r="D46" s="110"/>
      <c r="E46" s="110"/>
      <c r="F46" s="110"/>
      <c r="G46" s="110"/>
      <c r="H46" s="110"/>
      <c r="I46" s="86"/>
    </row>
    <row r="47" spans="1:9" x14ac:dyDescent="0.25">
      <c r="A47" s="19"/>
      <c r="B47" s="24" t="s">
        <v>173</v>
      </c>
      <c r="C47" s="24" t="s">
        <v>174</v>
      </c>
      <c r="D47" s="24" t="s">
        <v>175</v>
      </c>
      <c r="E47" s="24" t="s">
        <v>176</v>
      </c>
      <c r="F47" s="24" t="s">
        <v>177</v>
      </c>
      <c r="G47" s="24" t="s">
        <v>178</v>
      </c>
      <c r="H47" s="24" t="s">
        <v>179</v>
      </c>
      <c r="I47" s="25" t="s">
        <v>180</v>
      </c>
    </row>
    <row r="48" spans="1:9" x14ac:dyDescent="0.25">
      <c r="A48" s="26" t="s">
        <v>181</v>
      </c>
      <c r="B48" s="27">
        <f>SUM($I$22*1.5)+($I$37-$I$22)</f>
        <v>0</v>
      </c>
      <c r="C48" s="27">
        <f>SUM($I$22*1.3)+($I$37-$I$22)</f>
        <v>0</v>
      </c>
      <c r="D48" s="27">
        <f>SUM($I$22*1.3)+($I$37-$I$22)</f>
        <v>0</v>
      </c>
      <c r="E48" s="27">
        <f>SUM($I$22*1.3)+($I$37-$I$22)</f>
        <v>0</v>
      </c>
      <c r="F48" s="27">
        <f>SUM($I$22*1.3)+($I$37-$I$22)</f>
        <v>0</v>
      </c>
      <c r="G48" s="27">
        <f t="shared" ref="G48:H50" si="4">SUM($I$22*1.5)+($I$37-$I$22)</f>
        <v>0</v>
      </c>
      <c r="H48" s="27">
        <f t="shared" si="4"/>
        <v>0</v>
      </c>
      <c r="I48" s="28">
        <f>SUM($I$22*1.5)+($I$37-$I$22)</f>
        <v>0</v>
      </c>
    </row>
    <row r="49" spans="1:9" x14ac:dyDescent="0.25">
      <c r="A49" s="19" t="s">
        <v>182</v>
      </c>
      <c r="B49" s="27">
        <f>SUM($I$22*1)+($I$37-$I$22)</f>
        <v>0</v>
      </c>
      <c r="C49" s="27">
        <f>SUM($I$22*1)+($I$37-$I$22)</f>
        <v>0</v>
      </c>
      <c r="D49" s="27">
        <f>SUM($I$22*1)+($I$37-$I$22)</f>
        <v>0</v>
      </c>
      <c r="E49" s="27">
        <f>SUM($I$22*1)+($I$37-$I$22)</f>
        <v>0</v>
      </c>
      <c r="F49" s="27">
        <f>SUM($I$22*1)+($I$37-$I$22)</f>
        <v>0</v>
      </c>
      <c r="G49" s="27">
        <f t="shared" si="4"/>
        <v>0</v>
      </c>
      <c r="H49" s="27">
        <f t="shared" si="4"/>
        <v>0</v>
      </c>
      <c r="I49" s="28">
        <f>SUM($I$22*1.5)+($I$37-$I$22)</f>
        <v>0</v>
      </c>
    </row>
    <row r="50" spans="1:9" x14ac:dyDescent="0.25">
      <c r="A50" s="20" t="s">
        <v>183</v>
      </c>
      <c r="B50" s="29">
        <f>SUM($I$22*1.3)+($I$37-$I$22)</f>
        <v>0</v>
      </c>
      <c r="C50" s="29">
        <f>SUM($I$22*1.3)+($I$37-$I$22)</f>
        <v>0</v>
      </c>
      <c r="D50" s="29">
        <f>SUM($I$22*1.3)+($I$37-$I$22)</f>
        <v>0</v>
      </c>
      <c r="E50" s="29">
        <f>SUM($I$22*1.3)+($I$37-$I$22)</f>
        <v>0</v>
      </c>
      <c r="F50" s="29">
        <f>SUM($I$22*1.5)+($I$37-$I$22)</f>
        <v>0</v>
      </c>
      <c r="G50" s="29">
        <f t="shared" si="4"/>
        <v>0</v>
      </c>
      <c r="H50" s="29">
        <f t="shared" si="4"/>
        <v>0</v>
      </c>
      <c r="I50" s="30">
        <f>SUM($I$22*1.5)+($I$37-$I$22)</f>
        <v>0</v>
      </c>
    </row>
    <row r="51" spans="1:9" x14ac:dyDescent="0.25"/>
    <row r="52" spans="1:9" x14ac:dyDescent="0.25"/>
  </sheetData>
  <pageMargins left="0.70866141732283472" right="0.70866141732283472" top="0.94488188976377963" bottom="0.74803149606299213" header="0.31496062992125984" footer="0.31496062992125984"/>
  <pageSetup paperSize="9" scale="90" orientation="portrait" r:id="rId1"/>
  <headerFooter>
    <oddHeader>&amp;L&amp;G</oddHead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tabColor rgb="FFF07512"/>
  </sheetPr>
  <dimension ref="A1:O130"/>
  <sheetViews>
    <sheetView showGridLines="0" showZeros="0" view="pageBreakPreview" topLeftCell="A13" zoomScaleNormal="100" zoomScaleSheetLayoutView="100" workbookViewId="0">
      <selection activeCell="M39" sqref="M39"/>
    </sheetView>
  </sheetViews>
  <sheetFormatPr defaultColWidth="0" defaultRowHeight="15" zeroHeight="1" x14ac:dyDescent="0.25"/>
  <cols>
    <col min="1" max="3" width="9.140625" customWidth="1"/>
    <col min="4" max="5" width="15.7109375" customWidth="1"/>
    <col min="6" max="6" width="17.140625" customWidth="1"/>
    <col min="7" max="7" width="15.7109375" customWidth="1"/>
    <col min="8" max="8" width="16.85546875" bestFit="1" customWidth="1"/>
    <col min="9" max="9" width="15.7109375" customWidth="1"/>
    <col min="10" max="11" width="2.85546875" customWidth="1"/>
    <col min="12" max="12" width="12.140625" customWidth="1"/>
    <col min="13" max="13" width="15.7109375" customWidth="1"/>
    <col min="14" max="14" width="16.42578125" customWidth="1"/>
    <col min="15" max="15" width="2.140625" customWidth="1"/>
    <col min="16" max="16384" width="9.140625" hidden="1"/>
  </cols>
  <sheetData>
    <row r="1" spans="1:13" ht="14.45" x14ac:dyDescent="0.3"/>
    <row r="2" spans="1:13" ht="23.45" x14ac:dyDescent="0.45">
      <c r="D2" s="42" t="str">
        <f>CONCATENATE("Uitvoeringsbepaling"," ",H5,", onderdeel van ",verzamelblad!A2," ",verzamelblad!A3)</f>
        <v>Uitvoeringsbepaling 1, onderdeel van bestek 2016-S2800</v>
      </c>
      <c r="E2" s="13"/>
      <c r="F2" s="13"/>
      <c r="G2" s="13"/>
      <c r="H2" s="22"/>
    </row>
    <row r="3" spans="1:13" ht="14.45" x14ac:dyDescent="0.3">
      <c r="A3" s="17"/>
      <c r="B3" s="17"/>
      <c r="C3" s="17"/>
      <c r="D3" s="13"/>
      <c r="E3" s="13"/>
      <c r="F3" s="17"/>
      <c r="G3" s="17"/>
      <c r="H3" s="17"/>
      <c r="I3" s="15"/>
      <c r="J3" s="15"/>
      <c r="K3" s="15"/>
    </row>
    <row r="4" spans="1:13" ht="15" customHeight="1" x14ac:dyDescent="0.3">
      <c r="A4" s="109" t="s">
        <v>72</v>
      </c>
      <c r="B4" s="94" t="str">
        <f>VLOOKUP(H5,verzamelblad!A5:E54,3)</f>
        <v>RSG Ter Apel</v>
      </c>
      <c r="C4" s="94"/>
      <c r="D4" s="94"/>
      <c r="E4" s="95"/>
      <c r="F4" s="81"/>
      <c r="G4" s="205"/>
      <c r="H4" s="99"/>
      <c r="I4" s="15"/>
      <c r="J4" s="15"/>
      <c r="K4" s="15"/>
    </row>
    <row r="5" spans="1:13" ht="14.45" x14ac:dyDescent="0.3">
      <c r="A5" s="106" t="s">
        <v>71</v>
      </c>
      <c r="B5" s="94" t="str">
        <f>VLOOKUP(H5,verzamelblad!A5:E54,4)</f>
        <v>Oudeweg 41</v>
      </c>
      <c r="C5" s="94"/>
      <c r="D5" s="94"/>
      <c r="E5" s="96"/>
      <c r="F5" s="81"/>
      <c r="G5" s="206" t="s">
        <v>76</v>
      </c>
      <c r="H5" s="100">
        <f>verzamelblad!A5</f>
        <v>1</v>
      </c>
      <c r="I5" s="15"/>
      <c r="J5" s="15"/>
      <c r="K5" s="15"/>
    </row>
    <row r="6" spans="1:13" ht="14.45" x14ac:dyDescent="0.3">
      <c r="A6" s="108" t="s">
        <v>73</v>
      </c>
      <c r="B6" s="97" t="str">
        <f>VLOOKUP(H5,verzamelblad!A5:E54,5)</f>
        <v>Ter Apel</v>
      </c>
      <c r="C6" s="97"/>
      <c r="D6" s="97"/>
      <c r="E6" s="98"/>
      <c r="F6" s="84"/>
      <c r="G6" s="207" t="s">
        <v>77</v>
      </c>
      <c r="H6" s="101" t="str">
        <f>CONCATENATE(H5,"a")</f>
        <v>1a</v>
      </c>
      <c r="I6" s="15"/>
      <c r="J6" s="15"/>
      <c r="K6" s="15"/>
    </row>
    <row r="7" spans="1:13" ht="14.45" x14ac:dyDescent="0.3">
      <c r="A7" s="23"/>
      <c r="B7" s="23"/>
      <c r="C7" s="23"/>
      <c r="D7" s="23"/>
      <c r="E7" s="23"/>
      <c r="F7" s="15"/>
      <c r="G7" s="43"/>
      <c r="H7" s="44"/>
      <c r="I7" s="15"/>
      <c r="J7" s="15"/>
      <c r="K7" s="15"/>
    </row>
    <row r="8" spans="1:13" ht="14.45" x14ac:dyDescent="0.3">
      <c r="A8" s="109" t="s">
        <v>74</v>
      </c>
      <c r="B8" s="110"/>
      <c r="C8" s="110"/>
      <c r="D8" s="110"/>
      <c r="E8" s="342">
        <v>0.70833333333333337</v>
      </c>
      <c r="F8" s="15"/>
      <c r="G8" s="15"/>
      <c r="H8" s="15"/>
      <c r="I8" s="15"/>
      <c r="J8" s="15"/>
      <c r="K8" s="15"/>
    </row>
    <row r="9" spans="1:13" ht="14.45" x14ac:dyDescent="0.3">
      <c r="A9" s="108" t="s">
        <v>75</v>
      </c>
      <c r="B9" s="84"/>
      <c r="C9" s="84"/>
      <c r="D9" s="84"/>
      <c r="E9" s="103">
        <f>VLOOKUP($H$5,verzamelblad!$A$5:$EP$54,6,0)</f>
        <v>200</v>
      </c>
      <c r="F9" s="15"/>
      <c r="G9" s="15"/>
      <c r="H9" s="15"/>
      <c r="I9" s="15"/>
      <c r="J9" s="15"/>
      <c r="K9" s="15"/>
    </row>
    <row r="10" spans="1:13" ht="18.75" customHeight="1" x14ac:dyDescent="0.25">
      <c r="F10" s="4" t="s">
        <v>81</v>
      </c>
      <c r="G10" s="4" t="s">
        <v>201</v>
      </c>
      <c r="H10" s="4" t="s">
        <v>216</v>
      </c>
      <c r="I10" s="4" t="s">
        <v>82</v>
      </c>
      <c r="J10" s="249"/>
      <c r="K10" s="249"/>
      <c r="L10" s="4" t="s">
        <v>83</v>
      </c>
      <c r="M10" s="4" t="s">
        <v>84</v>
      </c>
    </row>
    <row r="11" spans="1:13" ht="14.45" x14ac:dyDescent="0.3">
      <c r="A11" s="104" t="s">
        <v>99</v>
      </c>
      <c r="B11" s="105"/>
      <c r="C11" s="105"/>
      <c r="D11" s="117"/>
      <c r="E11" s="82"/>
      <c r="F11" s="127">
        <f>SUM(I11/12)</f>
        <v>0</v>
      </c>
      <c r="G11" s="128">
        <f>SUM(L11/12)</f>
        <v>0</v>
      </c>
      <c r="H11" s="135">
        <f>SUM(L11/E9)</f>
        <v>0</v>
      </c>
      <c r="I11" s="127">
        <f>SUM($I$14*M11)</f>
        <v>0</v>
      </c>
      <c r="J11" s="269" t="s">
        <v>308</v>
      </c>
      <c r="K11" s="127"/>
      <c r="L11" s="128">
        <f>SUM(L14*M11)</f>
        <v>0</v>
      </c>
      <c r="M11" s="73"/>
    </row>
    <row r="12" spans="1:13" ht="14.45" x14ac:dyDescent="0.3">
      <c r="A12" s="118" t="s">
        <v>100</v>
      </c>
      <c r="B12" s="119"/>
      <c r="C12" s="119"/>
      <c r="D12" s="120"/>
      <c r="E12" s="83"/>
      <c r="F12" s="129">
        <f>SUM(I12/3)</f>
        <v>0</v>
      </c>
      <c r="G12" s="130">
        <f>SUM(L12/3)</f>
        <v>0</v>
      </c>
      <c r="H12" s="45"/>
      <c r="I12" s="136">
        <f t="shared" ref="I12:I13" si="0">SUM($I$14*M12)</f>
        <v>0</v>
      </c>
      <c r="J12" s="270"/>
      <c r="K12" s="136"/>
      <c r="L12" s="137">
        <f>SUM(L14*M12)</f>
        <v>0</v>
      </c>
      <c r="M12" s="74"/>
    </row>
    <row r="13" spans="1:13" ht="14.45" x14ac:dyDescent="0.3">
      <c r="A13" s="121" t="s">
        <v>101</v>
      </c>
      <c r="B13" s="122"/>
      <c r="C13" s="122"/>
      <c r="D13" s="123"/>
      <c r="E13" s="85"/>
      <c r="F13" s="131">
        <f>I13</f>
        <v>0</v>
      </c>
      <c r="G13" s="132">
        <f>L13</f>
        <v>0</v>
      </c>
      <c r="H13" s="46"/>
      <c r="I13" s="138">
        <f t="shared" si="0"/>
        <v>0</v>
      </c>
      <c r="J13" s="271" t="s">
        <v>308</v>
      </c>
      <c r="K13" s="138"/>
      <c r="L13" s="139">
        <f>SUM(L14*M13)</f>
        <v>0</v>
      </c>
      <c r="M13" s="75"/>
    </row>
    <row r="14" spans="1:13" thickBot="1" x14ac:dyDescent="0.35">
      <c r="A14" s="15" t="s">
        <v>78</v>
      </c>
      <c r="B14" s="15"/>
      <c r="C14" s="15"/>
      <c r="D14" s="15"/>
      <c r="E14" s="58"/>
      <c r="F14" s="133">
        <f>SUM(F11:F13)</f>
        <v>0</v>
      </c>
      <c r="G14" s="134">
        <f t="shared" ref="G14" si="1">SUM(G11:G13)</f>
        <v>0</v>
      </c>
      <c r="H14" s="59"/>
      <c r="I14" s="133">
        <f>E103</f>
        <v>0</v>
      </c>
      <c r="J14" s="259"/>
      <c r="K14" s="153"/>
      <c r="L14" s="134">
        <f>SUM(I14/offertetarief)</f>
        <v>0</v>
      </c>
      <c r="M14" s="210" t="str">
        <f>IF(SUM(M11:M13)=100%,"","Geen 100%")</f>
        <v>Geen 100%</v>
      </c>
    </row>
    <row r="15" spans="1:13" thickTop="1" x14ac:dyDescent="0.3">
      <c r="F15" s="4" t="s">
        <v>85</v>
      </c>
      <c r="G15" s="4" t="s">
        <v>86</v>
      </c>
    </row>
    <row r="16" spans="1:13" ht="14.45" x14ac:dyDescent="0.3">
      <c r="A16" s="114" t="s">
        <v>79</v>
      </c>
      <c r="B16" s="111"/>
      <c r="C16" s="111"/>
      <c r="D16" s="111"/>
      <c r="E16" s="116"/>
      <c r="F16" s="140">
        <f>SUM((L14*directtoezicht)/E9)</f>
        <v>0</v>
      </c>
      <c r="G16" s="141">
        <f>IF(L14="","",SUM(L14*directtoezicht))</f>
        <v>0</v>
      </c>
    </row>
    <row r="17" spans="1:14" ht="15.75" customHeight="1" x14ac:dyDescent="0.3">
      <c r="M17" t="s">
        <v>91</v>
      </c>
      <c r="N17" t="s">
        <v>93</v>
      </c>
    </row>
    <row r="18" spans="1:14" ht="15.75" customHeight="1" x14ac:dyDescent="0.3">
      <c r="A18" t="s">
        <v>220</v>
      </c>
      <c r="M18" t="s">
        <v>92</v>
      </c>
      <c r="N18" t="s">
        <v>94</v>
      </c>
    </row>
    <row r="19" spans="1:14" ht="14.45" x14ac:dyDescent="0.3">
      <c r="A19" s="114" t="s">
        <v>217</v>
      </c>
      <c r="B19" s="111"/>
      <c r="C19" s="115"/>
      <c r="D19" s="142">
        <f ca="1">D103</f>
        <v>1608895.2</v>
      </c>
      <c r="E19" s="111"/>
      <c r="F19" s="112" t="s">
        <v>218</v>
      </c>
      <c r="G19" s="143">
        <f ca="1">D103/E9</f>
        <v>8044.4759999999997</v>
      </c>
      <c r="H19" s="113" t="s">
        <v>219</v>
      </c>
      <c r="I19" s="144" t="e">
        <f ca="1">SUM(D19/L14)</f>
        <v>#DIV/0!</v>
      </c>
      <c r="J19" s="217"/>
      <c r="K19" s="217"/>
      <c r="M19" s="91" t="str">
        <f ca="1">INDIRECT("'" &amp; $H$6 &amp; "'!F539")</f>
        <v>A</v>
      </c>
      <c r="N19" s="70"/>
    </row>
    <row r="20" spans="1:14" ht="14.45" x14ac:dyDescent="0.3">
      <c r="M20" s="92" t="str">
        <f ca="1">INDIRECT("'" &amp; $H$6 &amp; "'!F540")</f>
        <v>A1</v>
      </c>
      <c r="N20" s="71"/>
    </row>
    <row r="21" spans="1:14" ht="14.45" x14ac:dyDescent="0.3">
      <c r="A21" t="s">
        <v>80</v>
      </c>
      <c r="B21" s="17"/>
      <c r="D21" s="4" t="s">
        <v>29</v>
      </c>
      <c r="E21" s="4" t="s">
        <v>30</v>
      </c>
      <c r="F21" s="4" t="s">
        <v>87</v>
      </c>
      <c r="G21" s="4" t="s">
        <v>88</v>
      </c>
      <c r="H21" s="4" t="s">
        <v>89</v>
      </c>
      <c r="I21" s="4" t="s">
        <v>90</v>
      </c>
      <c r="J21" s="4"/>
      <c r="K21" s="4"/>
      <c r="M21" s="92" t="str">
        <f ca="1">INDIRECT("'" &amp; $H$6 &amp; "'!F541")</f>
        <v>A2</v>
      </c>
      <c r="N21" s="71"/>
    </row>
    <row r="22" spans="1:14" ht="14.45" x14ac:dyDescent="0.3">
      <c r="A22" s="104" t="str">
        <f>VLOOKUP($H$5,verzamelblad!$A$5:$EP$54,32,0)</f>
        <v>dieptereiniging sanitair</v>
      </c>
      <c r="B22" s="105"/>
      <c r="C22" s="105"/>
      <c r="D22" s="87" t="str">
        <f>VLOOKUP($H$5,verzamelblad!$A$5:$EP$54,33,0)</f>
        <v>m2</v>
      </c>
      <c r="E22" s="319">
        <f>'1a'!K505+'1a'!J506</f>
        <v>256.2</v>
      </c>
      <c r="F22" s="64"/>
      <c r="G22" s="145">
        <f t="shared" ref="G22:G32" si="2">IF(E22="","",SUM(E22*F22))</f>
        <v>0</v>
      </c>
      <c r="H22" s="87">
        <f>VLOOKUP($H$5,verzamelblad!$A$5:$EP$54,35,0)</f>
        <v>2</v>
      </c>
      <c r="I22" s="148">
        <f>IF(H22="op afroep","",SUM(G22*H22))</f>
        <v>0</v>
      </c>
      <c r="J22" s="272" t="s">
        <v>308</v>
      </c>
      <c r="K22" s="148"/>
      <c r="M22" s="92" t="str">
        <f ca="1">INDIRECT("'" &amp; $H$6 &amp; "'!F542")</f>
        <v>B</v>
      </c>
      <c r="N22" s="71"/>
    </row>
    <row r="23" spans="1:14" ht="14.45" x14ac:dyDescent="0.3">
      <c r="A23" s="106" t="s">
        <v>505</v>
      </c>
      <c r="B23" s="107"/>
      <c r="C23" s="83"/>
      <c r="D23" s="88" t="s">
        <v>70</v>
      </c>
      <c r="E23" s="351">
        <f>E22</f>
        <v>256.2</v>
      </c>
      <c r="F23" s="65"/>
      <c r="G23" s="146">
        <f t="shared" si="2"/>
        <v>0</v>
      </c>
      <c r="H23" s="88">
        <v>200</v>
      </c>
      <c r="I23" s="149">
        <f t="shared" ref="I23:I32" si="3">IF(H23="op afroep","",SUM(G23*H23))</f>
        <v>0</v>
      </c>
      <c r="J23" s="273"/>
      <c r="K23" s="149"/>
      <c r="M23" s="92" t="str">
        <f ca="1">INDIRECT("'" &amp; $H$6 &amp; "'!F543")</f>
        <v>B1</v>
      </c>
      <c r="N23" s="71"/>
    </row>
    <row r="24" spans="1:14" ht="14.45" x14ac:dyDescent="0.3">
      <c r="A24" s="106"/>
      <c r="B24" s="107"/>
      <c r="C24" s="83"/>
      <c r="D24" s="89"/>
      <c r="E24" s="88">
        <v>0</v>
      </c>
      <c r="F24" s="65"/>
      <c r="G24" s="146">
        <f t="shared" si="2"/>
        <v>0</v>
      </c>
      <c r="H24" s="88">
        <f>VLOOKUP($H$5,verzamelblad!$A$5:$EP$54,43,0)</f>
        <v>0</v>
      </c>
      <c r="I24" s="149">
        <f t="shared" si="3"/>
        <v>0</v>
      </c>
      <c r="J24" s="273"/>
      <c r="K24" s="149"/>
      <c r="M24" s="92" t="str">
        <f ca="1">INDIRECT("'" &amp; $H$6 &amp; "'!F544")</f>
        <v>C</v>
      </c>
      <c r="N24" s="71"/>
    </row>
    <row r="25" spans="1:14" ht="14.45" x14ac:dyDescent="0.3">
      <c r="A25" s="106">
        <f>VLOOKUP($H$5,verzamelblad!$A$5:$EP$54,44,0)</f>
        <v>0</v>
      </c>
      <c r="B25" s="107"/>
      <c r="C25" s="83"/>
      <c r="D25" s="88">
        <f>VLOOKUP($H$5,verzamelblad!$A$5:$EP$54,45,0)</f>
        <v>0</v>
      </c>
      <c r="E25" s="88">
        <v>0</v>
      </c>
      <c r="F25" s="65"/>
      <c r="G25" s="146">
        <f t="shared" si="2"/>
        <v>0</v>
      </c>
      <c r="H25" s="88">
        <f>VLOOKUP($H$5,verzamelblad!$A$5:$EP$54,47,0)</f>
        <v>0</v>
      </c>
      <c r="I25" s="149">
        <f t="shared" si="3"/>
        <v>0</v>
      </c>
      <c r="J25" s="273"/>
      <c r="K25" s="149"/>
      <c r="M25" s="92" t="str">
        <f ca="1">INDIRECT("'" &amp; $H$6 &amp; "'!F545")</f>
        <v>C1</v>
      </c>
      <c r="N25" s="71"/>
    </row>
    <row r="26" spans="1:14" ht="14.45" x14ac:dyDescent="0.3">
      <c r="A26" s="106">
        <f>VLOOKUP($H$5,verzamelblad!$A$5:$EP$54,48,0)</f>
        <v>0</v>
      </c>
      <c r="B26" s="107"/>
      <c r="C26" s="83"/>
      <c r="D26" s="88">
        <f>VLOOKUP($H$5,verzamelblad!$A$5:$EP$54,49,0)</f>
        <v>0</v>
      </c>
      <c r="E26" s="88">
        <v>0</v>
      </c>
      <c r="F26" s="65"/>
      <c r="G26" s="146">
        <f t="shared" si="2"/>
        <v>0</v>
      </c>
      <c r="H26" s="88">
        <f>VLOOKUP($H$5,verzamelblad!$A$5:$EP$54,51,0)</f>
        <v>0</v>
      </c>
      <c r="I26" s="149">
        <f t="shared" si="3"/>
        <v>0</v>
      </c>
      <c r="J26" s="273"/>
      <c r="K26" s="149"/>
      <c r="M26" s="307" t="s">
        <v>97</v>
      </c>
      <c r="N26" s="71"/>
    </row>
    <row r="27" spans="1:14" ht="14.45" x14ac:dyDescent="0.3">
      <c r="A27" s="106">
        <f>VLOOKUP($H$5,verzamelblad!$A$5:$EP$54,52,0)</f>
        <v>0</v>
      </c>
      <c r="B27" s="107"/>
      <c r="C27" s="83"/>
      <c r="D27" s="88">
        <f>VLOOKUP($H$5,verzamelblad!$A$5:$EP$54,53,0)</f>
        <v>0</v>
      </c>
      <c r="E27" s="88">
        <v>0</v>
      </c>
      <c r="F27" s="65"/>
      <c r="G27" s="146">
        <f t="shared" si="2"/>
        <v>0</v>
      </c>
      <c r="H27" s="88">
        <f>VLOOKUP($H$5,verzamelblad!$A$5:$EP$54,55,0)</f>
        <v>0</v>
      </c>
      <c r="I27" s="149">
        <f t="shared" si="3"/>
        <v>0</v>
      </c>
      <c r="J27" s="273"/>
      <c r="K27" s="149"/>
      <c r="M27" s="307" t="s">
        <v>483</v>
      </c>
      <c r="N27" s="71"/>
    </row>
    <row r="28" spans="1:14" ht="14.45" x14ac:dyDescent="0.3">
      <c r="A28" s="106">
        <f>VLOOKUP($H$5,verzamelblad!$A$5:$EP$54,56,0)</f>
        <v>0</v>
      </c>
      <c r="B28" s="107"/>
      <c r="C28" s="83"/>
      <c r="D28" s="88">
        <f>VLOOKUP($H$5,verzamelblad!$A$5:$EP$54,57,0)</f>
        <v>0</v>
      </c>
      <c r="E28" s="88">
        <v>0</v>
      </c>
      <c r="F28" s="65"/>
      <c r="G28" s="146">
        <f t="shared" si="2"/>
        <v>0</v>
      </c>
      <c r="H28" s="88">
        <f>VLOOKUP($H$5,verzamelblad!$A$5:$EP$54,59,0)</f>
        <v>0</v>
      </c>
      <c r="I28" s="149">
        <f t="shared" si="3"/>
        <v>0</v>
      </c>
      <c r="J28" s="273"/>
      <c r="K28" s="149"/>
      <c r="M28" s="307" t="s">
        <v>122</v>
      </c>
      <c r="N28" s="71"/>
    </row>
    <row r="29" spans="1:14" ht="14.45" x14ac:dyDescent="0.3">
      <c r="A29" s="106">
        <f>VLOOKUP($H$5,verzamelblad!$A$5:$EP$54,60,0)</f>
        <v>0</v>
      </c>
      <c r="B29" s="107"/>
      <c r="C29" s="83"/>
      <c r="D29" s="88">
        <f>VLOOKUP($H$5,verzamelblad!$A$5:$EP$54,61,0)</f>
        <v>0</v>
      </c>
      <c r="E29" s="88">
        <v>0</v>
      </c>
      <c r="F29" s="65"/>
      <c r="G29" s="146">
        <f t="shared" si="2"/>
        <v>0</v>
      </c>
      <c r="H29" s="88">
        <f>VLOOKUP($H$5,verzamelblad!$A$5:$EP$54,63,0)</f>
        <v>0</v>
      </c>
      <c r="I29" s="149">
        <f t="shared" si="3"/>
        <v>0</v>
      </c>
      <c r="J29" s="273"/>
      <c r="K29" s="149"/>
      <c r="M29" s="307" t="s">
        <v>124</v>
      </c>
      <c r="N29" s="71"/>
    </row>
    <row r="30" spans="1:14" ht="14.45" x14ac:dyDescent="0.3">
      <c r="A30" s="106">
        <f>VLOOKUP($H$5,verzamelblad!$A$5:$EP$54,64,0)</f>
        <v>0</v>
      </c>
      <c r="B30" s="107"/>
      <c r="C30" s="83"/>
      <c r="D30" s="88">
        <f>VLOOKUP($H$5,verzamelblad!$A$5:$EP$54,65,0)</f>
        <v>0</v>
      </c>
      <c r="E30" s="88">
        <v>0</v>
      </c>
      <c r="F30" s="65"/>
      <c r="G30" s="146">
        <f t="shared" si="2"/>
        <v>0</v>
      </c>
      <c r="H30" s="88">
        <f>VLOOKUP($H$5,verzamelblad!$A$5:$EP$54,67,0)</f>
        <v>0</v>
      </c>
      <c r="I30" s="149">
        <f t="shared" si="3"/>
        <v>0</v>
      </c>
      <c r="J30" s="273"/>
      <c r="K30" s="149"/>
      <c r="M30" s="307" t="s">
        <v>484</v>
      </c>
      <c r="N30" s="71"/>
    </row>
    <row r="31" spans="1:14" ht="14.45" x14ac:dyDescent="0.3">
      <c r="A31" s="106">
        <f>VLOOKUP($H$5,verzamelblad!$A$5:$EP$54,68,0)</f>
        <v>0</v>
      </c>
      <c r="B31" s="107"/>
      <c r="C31" s="83"/>
      <c r="D31" s="88">
        <f>VLOOKUP($H$5,verzamelblad!$A$5:$EP$54,69,0)</f>
        <v>0</v>
      </c>
      <c r="E31" s="88">
        <v>0</v>
      </c>
      <c r="F31" s="65"/>
      <c r="G31" s="146">
        <f t="shared" si="2"/>
        <v>0</v>
      </c>
      <c r="H31" s="88">
        <f>VLOOKUP($H$5,verzamelblad!$A$5:$EP$54,71,0)</f>
        <v>0</v>
      </c>
      <c r="I31" s="149">
        <f t="shared" si="3"/>
        <v>0</v>
      </c>
      <c r="J31" s="273"/>
      <c r="K31" s="149"/>
      <c r="M31" s="307" t="s">
        <v>125</v>
      </c>
      <c r="N31" s="71"/>
    </row>
    <row r="32" spans="1:14" ht="14.45" x14ac:dyDescent="0.3">
      <c r="A32" s="108">
        <f>VLOOKUP($H$5,verzamelblad!$A$5:$EP$54,72,0)</f>
        <v>0</v>
      </c>
      <c r="B32" s="84"/>
      <c r="C32" s="85"/>
      <c r="D32" s="90">
        <f>VLOOKUP($H$5,verzamelblad!$A$5:$EP$54,73,0)</f>
        <v>0</v>
      </c>
      <c r="E32" s="90">
        <v>0</v>
      </c>
      <c r="F32" s="66"/>
      <c r="G32" s="147">
        <f t="shared" si="2"/>
        <v>0</v>
      </c>
      <c r="H32" s="90">
        <f>VLOOKUP($H$5,verzamelblad!$A$5:$EP$54,75,0)</f>
        <v>0</v>
      </c>
      <c r="I32" s="150">
        <f t="shared" si="3"/>
        <v>0</v>
      </c>
      <c r="J32" s="274"/>
      <c r="K32" s="150"/>
      <c r="M32" s="307"/>
      <c r="N32" s="71"/>
    </row>
    <row r="33" spans="1:14" thickBot="1" x14ac:dyDescent="0.35">
      <c r="A33" s="15" t="s">
        <v>98</v>
      </c>
      <c r="B33" s="15"/>
      <c r="C33" s="15"/>
      <c r="D33" s="15"/>
      <c r="E33" s="15"/>
      <c r="F33" s="15"/>
      <c r="G33" s="15"/>
      <c r="H33" s="15"/>
      <c r="I33" s="151">
        <f>SUM(I22:I32)</f>
        <v>0</v>
      </c>
      <c r="J33" s="211"/>
      <c r="K33" s="211"/>
      <c r="M33" s="307">
        <f>'1a'!F553</f>
        <v>0</v>
      </c>
      <c r="N33" s="72"/>
    </row>
    <row r="34" spans="1:14" thickTop="1" x14ac:dyDescent="0.3"/>
    <row r="35" spans="1:14" ht="14.45" x14ac:dyDescent="0.3">
      <c r="A35" t="s">
        <v>102</v>
      </c>
      <c r="E35" s="4" t="s">
        <v>70</v>
      </c>
      <c r="F35" s="4" t="s">
        <v>202</v>
      </c>
      <c r="G35" s="4" t="s">
        <v>88</v>
      </c>
      <c r="H35" s="4" t="s">
        <v>89</v>
      </c>
      <c r="I35" s="4" t="s">
        <v>90</v>
      </c>
      <c r="J35" s="4"/>
      <c r="K35" s="4"/>
    </row>
    <row r="36" spans="1:14" ht="14.45" x14ac:dyDescent="0.3">
      <c r="A36" s="109" t="str">
        <f>VLOOKUP($H$5,verzamelblad!$A$5:$EP$54,16,0)</f>
        <v>Polymeren verkeersruimten</v>
      </c>
      <c r="B36" s="110"/>
      <c r="C36" s="110"/>
      <c r="D36" s="82"/>
      <c r="E36" s="128">
        <f>'1a'!G503</f>
        <v>985.59999999999991</v>
      </c>
      <c r="F36" s="64"/>
      <c r="G36" s="145">
        <f t="shared" ref="G36:G43" si="4">IF(E36="","",SUM(E36*F36))</f>
        <v>0</v>
      </c>
      <c r="H36" s="87">
        <f>VLOOKUP($H$5,verzamelblad!$A$5:$EP$54,17,0)</f>
        <v>1</v>
      </c>
      <c r="I36" s="148">
        <f>IF(H36="op afroep","",SUM(G36*H36))</f>
        <v>0</v>
      </c>
      <c r="J36" s="272" t="s">
        <v>308</v>
      </c>
      <c r="K36" s="148"/>
    </row>
    <row r="37" spans="1:14" ht="14.45" x14ac:dyDescent="0.3">
      <c r="A37" s="106" t="str">
        <f>VLOOKUP($H$5,verzamelblad!$A$5:$EP$54,18,0)</f>
        <v xml:space="preserve">Polymeren lokalen </v>
      </c>
      <c r="B37" s="107"/>
      <c r="C37" s="107"/>
      <c r="D37" s="83"/>
      <c r="E37" s="137">
        <f>'1a'!G500</f>
        <v>2379.4</v>
      </c>
      <c r="F37" s="65"/>
      <c r="G37" s="146">
        <f t="shared" si="4"/>
        <v>0</v>
      </c>
      <c r="H37" s="88">
        <f>VLOOKUP($H$5,verzamelblad!$A$5:$EP$54,19,0)</f>
        <v>0.5</v>
      </c>
      <c r="I37" s="149">
        <f t="shared" ref="I37:I43" si="5">IF(H37="op afroep","",SUM(G37*H37))</f>
        <v>0</v>
      </c>
      <c r="J37" s="273"/>
      <c r="K37" s="149"/>
    </row>
    <row r="38" spans="1:14" ht="14.45" x14ac:dyDescent="0.3">
      <c r="A38" s="106" t="str">
        <f>VLOOKUP($H$5,verzamelblad!$A$5:$EP$54,20,0)</f>
        <v>Polymeren Aula</v>
      </c>
      <c r="B38" s="107"/>
      <c r="C38" s="107"/>
      <c r="D38" s="83"/>
      <c r="E38" s="137">
        <f>SUM('1a'!G21:G22)</f>
        <v>606</v>
      </c>
      <c r="F38" s="65"/>
      <c r="G38" s="146">
        <f t="shared" si="4"/>
        <v>0</v>
      </c>
      <c r="H38" s="88">
        <f>verzamelblad!U5</f>
        <v>1</v>
      </c>
      <c r="I38" s="149">
        <f t="shared" si="5"/>
        <v>0</v>
      </c>
      <c r="J38" s="273"/>
      <c r="K38" s="149"/>
      <c r="M38" s="15"/>
    </row>
    <row r="39" spans="1:14" ht="14.45" x14ac:dyDescent="0.3">
      <c r="A39" s="106" t="str">
        <f>VLOOKUP($H$5,verzamelblad!$A$5:$EP$54,22,0)</f>
        <v>Tapijtreinigen</v>
      </c>
      <c r="B39" s="107"/>
      <c r="C39" s="107"/>
      <c r="D39" s="83"/>
      <c r="E39" s="137">
        <f>'1a'!F515-'1a'!F503</f>
        <v>1045.5999999999999</v>
      </c>
      <c r="F39" s="65"/>
      <c r="G39" s="146">
        <f t="shared" si="4"/>
        <v>0</v>
      </c>
      <c r="H39" s="88" t="str">
        <f>verzamelblad!W5</f>
        <v>Op afroep</v>
      </c>
      <c r="I39" s="149" t="str">
        <f t="shared" si="5"/>
        <v/>
      </c>
      <c r="J39" s="273"/>
      <c r="K39" s="149"/>
    </row>
    <row r="40" spans="1:14" ht="14.45" x14ac:dyDescent="0.3">
      <c r="A40" s="106" t="str">
        <f>VLOOKUP($H$5,verzamelblad!$A$5:$EP$54,24,0)</f>
        <v>Reinigen inloopzones</v>
      </c>
      <c r="B40" s="107"/>
      <c r="C40" s="107"/>
      <c r="D40" s="83"/>
      <c r="E40" s="137">
        <f>'1a'!F503</f>
        <v>151.60000000000002</v>
      </c>
      <c r="F40" s="65"/>
      <c r="G40" s="146">
        <f t="shared" si="4"/>
        <v>0</v>
      </c>
      <c r="H40" s="88" t="str">
        <f>VLOOKUP($H$5,verzamelblad!$A$5:$EP$54,23,0)</f>
        <v>Op afroep</v>
      </c>
      <c r="I40" s="149" t="str">
        <f t="shared" si="5"/>
        <v/>
      </c>
      <c r="J40" s="273"/>
      <c r="K40" s="149"/>
    </row>
    <row r="41" spans="1:14" ht="14.45" x14ac:dyDescent="0.3">
      <c r="A41" s="106"/>
      <c r="B41" s="107"/>
      <c r="C41" s="107"/>
      <c r="D41" s="83"/>
      <c r="E41" s="146">
        <v>0</v>
      </c>
      <c r="F41" s="65"/>
      <c r="G41" s="146">
        <f t="shared" si="4"/>
        <v>0</v>
      </c>
      <c r="H41" s="88"/>
      <c r="I41" s="149">
        <f t="shared" si="5"/>
        <v>0</v>
      </c>
      <c r="J41" s="273"/>
      <c r="K41" s="149"/>
    </row>
    <row r="42" spans="1:14" ht="14.45" x14ac:dyDescent="0.3">
      <c r="A42" s="106">
        <f>VLOOKUP($H$5,verzamelblad!$A$5:$EP$54,28,0)</f>
        <v>0</v>
      </c>
      <c r="B42" s="107"/>
      <c r="C42" s="107"/>
      <c r="D42" s="83"/>
      <c r="E42" s="146">
        <v>0</v>
      </c>
      <c r="F42" s="65"/>
      <c r="G42" s="146">
        <f t="shared" si="4"/>
        <v>0</v>
      </c>
      <c r="H42" s="88">
        <f>VLOOKUP($H$5,verzamelblad!$A$5:$EP$54,29,0)</f>
        <v>0</v>
      </c>
      <c r="I42" s="149">
        <f t="shared" si="5"/>
        <v>0</v>
      </c>
      <c r="J42" s="273"/>
      <c r="K42" s="149"/>
    </row>
    <row r="43" spans="1:14" ht="14.45" x14ac:dyDescent="0.3">
      <c r="A43" s="108">
        <f>VLOOKUP($H$5,verzamelblad!$A$5:$EP$54,30,0)</f>
        <v>0</v>
      </c>
      <c r="B43" s="84"/>
      <c r="C43" s="84"/>
      <c r="D43" s="85"/>
      <c r="E43" s="147">
        <v>0</v>
      </c>
      <c r="F43" s="66"/>
      <c r="G43" s="147">
        <f t="shared" si="4"/>
        <v>0</v>
      </c>
      <c r="H43" s="90">
        <f>VLOOKUP($H$5,verzamelblad!$A$5:$EP$54,31,0)</f>
        <v>0</v>
      </c>
      <c r="I43" s="150">
        <f t="shared" si="5"/>
        <v>0</v>
      </c>
      <c r="J43" s="274"/>
      <c r="K43" s="150"/>
    </row>
    <row r="44" spans="1:14" thickBot="1" x14ac:dyDescent="0.35">
      <c r="A44" s="60" t="s">
        <v>98</v>
      </c>
      <c r="B44" s="58"/>
      <c r="C44" s="58"/>
      <c r="D44" s="58"/>
      <c r="E44" s="58"/>
      <c r="F44" s="58"/>
      <c r="G44" s="58"/>
      <c r="H44" s="58"/>
      <c r="I44" s="152">
        <f>SUM(I36:I43)</f>
        <v>0</v>
      </c>
      <c r="J44" s="211"/>
      <c r="K44" s="211"/>
    </row>
    <row r="45" spans="1:14" thickTop="1" x14ac:dyDescent="0.3"/>
    <row r="46" spans="1:14" ht="14.45" x14ac:dyDescent="0.3">
      <c r="A46" t="s">
        <v>480</v>
      </c>
      <c r="E46" s="4" t="s">
        <v>70</v>
      </c>
      <c r="F46" s="4" t="s">
        <v>202</v>
      </c>
      <c r="G46" s="4" t="s">
        <v>88</v>
      </c>
      <c r="H46" s="4" t="s">
        <v>89</v>
      </c>
      <c r="I46" s="4" t="s">
        <v>90</v>
      </c>
      <c r="J46" s="4"/>
      <c r="K46" s="4"/>
    </row>
    <row r="47" spans="1:14" ht="14.45" x14ac:dyDescent="0.3">
      <c r="A47" s="109" t="str">
        <f>VLOOKUP($H$5,verzamelblad!$A$5:$EP$54,76,0)</f>
        <v>gevelglas buitenzijde enkelvoudig gemeten</v>
      </c>
      <c r="B47" s="110"/>
      <c r="C47" s="110"/>
      <c r="D47" s="82"/>
      <c r="E47" s="128">
        <f>'1a'!O180</f>
        <v>1368.4999999999989</v>
      </c>
      <c r="F47" s="64"/>
      <c r="G47" s="145">
        <f t="shared" ref="G47:G56" si="6">IF(E47="","",SUM(E47*F47))</f>
        <v>0</v>
      </c>
      <c r="H47" s="87">
        <f>VLOOKUP($H$5,verzamelblad!$A$5:$EP$54,77,0)</f>
        <v>2</v>
      </c>
      <c r="I47" s="148">
        <f t="shared" ref="I47:I56" si="7">IF(H47="op afroep","",SUM(G47*H47))</f>
        <v>0</v>
      </c>
      <c r="J47" s="272"/>
      <c r="K47" s="148"/>
    </row>
    <row r="48" spans="1:14" ht="14.45" x14ac:dyDescent="0.3">
      <c r="A48" s="106" t="str">
        <f>VLOOKUP($H$5,verzamelblad!$A$5:$EP$54,78,0)</f>
        <v>gevelglas binnenzijde enkelvoudig gemeten</v>
      </c>
      <c r="B48" s="107"/>
      <c r="C48" s="107"/>
      <c r="D48" s="83"/>
      <c r="E48" s="137">
        <f>E47</f>
        <v>1368.4999999999989</v>
      </c>
      <c r="F48" s="65"/>
      <c r="G48" s="146">
        <f t="shared" si="6"/>
        <v>0</v>
      </c>
      <c r="H48" s="88">
        <f>VLOOKUP($H$5,verzamelblad!$A$5:$EP$54,79,0)</f>
        <v>2</v>
      </c>
      <c r="I48" s="149">
        <f t="shared" si="7"/>
        <v>0</v>
      </c>
      <c r="J48" s="273"/>
      <c r="K48" s="149"/>
    </row>
    <row r="49" spans="1:14" ht="14.45" x14ac:dyDescent="0.3">
      <c r="A49" s="106" t="str">
        <f>VLOOKUP($H$5,verzamelblad!$A$5:$EP$54,80,0)</f>
        <v>separatieglas dubbelvoudig gemeten</v>
      </c>
      <c r="B49" s="107"/>
      <c r="C49" s="107"/>
      <c r="D49" s="83"/>
      <c r="E49" s="137">
        <f>'1a'!P180*2</f>
        <v>719.8000000000003</v>
      </c>
      <c r="F49" s="65"/>
      <c r="G49" s="146">
        <f t="shared" si="6"/>
        <v>0</v>
      </c>
      <c r="H49" s="88">
        <f>VLOOKUP($H$5,verzamelblad!$A$5:$EP$54,81,0)</f>
        <v>2</v>
      </c>
      <c r="I49" s="149">
        <f t="shared" si="7"/>
        <v>0</v>
      </c>
      <c r="J49" s="273"/>
      <c r="K49" s="149"/>
    </row>
    <row r="50" spans="1:14" ht="14.45" x14ac:dyDescent="0.3">
      <c r="A50" s="106" t="str">
        <f>VLOOKUP($H$5,verzamelblad!$A$5:$EP$54,82,0)</f>
        <v>koepelglas enkelvoudig gemeten</v>
      </c>
      <c r="B50" s="107"/>
      <c r="C50" s="107"/>
      <c r="D50" s="83"/>
      <c r="E50" s="146"/>
      <c r="F50" s="65"/>
      <c r="G50" s="146" t="str">
        <f t="shared" si="6"/>
        <v/>
      </c>
      <c r="H50" s="88" t="str">
        <f>VLOOKUP($H$5,verzamelblad!$A$5:$EP$54,83,0)</f>
        <v>op afroep</v>
      </c>
      <c r="I50" s="149" t="str">
        <f t="shared" si="7"/>
        <v/>
      </c>
      <c r="J50" s="273"/>
      <c r="K50" s="149"/>
    </row>
    <row r="51" spans="1:14" ht="14.45" x14ac:dyDescent="0.3">
      <c r="A51" s="106">
        <f>VLOOKUP($H$5,verzamelblad!$A$5:$EP$54,84,0)</f>
        <v>0</v>
      </c>
      <c r="B51" s="107"/>
      <c r="C51" s="107"/>
      <c r="D51" s="83"/>
      <c r="E51" s="146">
        <v>0</v>
      </c>
      <c r="F51" s="65"/>
      <c r="G51" s="146">
        <f t="shared" si="6"/>
        <v>0</v>
      </c>
      <c r="H51" s="88">
        <f>VLOOKUP($H$5,verzamelblad!$A$5:$EP$54,85,0)</f>
        <v>0</v>
      </c>
      <c r="I51" s="149">
        <f t="shared" si="7"/>
        <v>0</v>
      </c>
      <c r="J51" s="273"/>
      <c r="K51" s="149"/>
    </row>
    <row r="52" spans="1:14" ht="14.45" x14ac:dyDescent="0.3">
      <c r="A52" s="106">
        <f>VLOOKUP($H$5,verzamelblad!$A$5:$EP$54,86,0)</f>
        <v>0</v>
      </c>
      <c r="B52" s="107"/>
      <c r="C52" s="107"/>
      <c r="D52" s="83"/>
      <c r="E52" s="146">
        <v>0</v>
      </c>
      <c r="F52" s="65"/>
      <c r="G52" s="146">
        <f t="shared" si="6"/>
        <v>0</v>
      </c>
      <c r="H52" s="88">
        <f>VLOOKUP($H$5,verzamelblad!$A$5:$EP$54,87,0)</f>
        <v>0</v>
      </c>
      <c r="I52" s="149">
        <f t="shared" si="7"/>
        <v>0</v>
      </c>
      <c r="J52" s="273"/>
      <c r="K52" s="149"/>
    </row>
    <row r="53" spans="1:14" ht="14.45" x14ac:dyDescent="0.3">
      <c r="A53" s="106">
        <f>VLOOKUP($H$5,verzamelblad!$A$5:$EP$54,88,0)</f>
        <v>0</v>
      </c>
      <c r="B53" s="107"/>
      <c r="C53" s="107"/>
      <c r="D53" s="83"/>
      <c r="E53" s="146">
        <v>0</v>
      </c>
      <c r="F53" s="65"/>
      <c r="G53" s="146">
        <f t="shared" si="6"/>
        <v>0</v>
      </c>
      <c r="H53" s="88">
        <f>VLOOKUP($H$5,verzamelblad!$A$5:$EP$54,89,0)</f>
        <v>0</v>
      </c>
      <c r="I53" s="149">
        <f t="shared" si="7"/>
        <v>0</v>
      </c>
      <c r="J53" s="273"/>
      <c r="K53" s="149"/>
    </row>
    <row r="54" spans="1:14" ht="14.45" x14ac:dyDescent="0.3">
      <c r="A54" s="106">
        <f>VLOOKUP($H$5,verzamelblad!$A$5:$EP$54,90,0)</f>
        <v>0</v>
      </c>
      <c r="B54" s="107"/>
      <c r="C54" s="107"/>
      <c r="D54" s="83"/>
      <c r="E54" s="146">
        <v>0</v>
      </c>
      <c r="F54" s="65"/>
      <c r="G54" s="146">
        <f t="shared" si="6"/>
        <v>0</v>
      </c>
      <c r="H54" s="88">
        <f>VLOOKUP($H$5,verzamelblad!$A$5:$EP$54,91,0)</f>
        <v>0</v>
      </c>
      <c r="I54" s="149">
        <f t="shared" si="7"/>
        <v>0</v>
      </c>
      <c r="J54" s="273"/>
      <c r="K54" s="149"/>
    </row>
    <row r="55" spans="1:14" ht="14.45" x14ac:dyDescent="0.3">
      <c r="A55" s="106">
        <f>VLOOKUP($H$5,verzamelblad!$A$5:$EP$54,92,0)</f>
        <v>0</v>
      </c>
      <c r="B55" s="107"/>
      <c r="C55" s="107"/>
      <c r="D55" s="83"/>
      <c r="E55" s="146">
        <v>0</v>
      </c>
      <c r="F55" s="65"/>
      <c r="G55" s="146">
        <f t="shared" si="6"/>
        <v>0</v>
      </c>
      <c r="H55" s="88">
        <f>VLOOKUP($H$5,verzamelblad!$A$5:$EP$54,93,0)</f>
        <v>0</v>
      </c>
      <c r="I55" s="149">
        <f t="shared" si="7"/>
        <v>0</v>
      </c>
      <c r="J55" s="273"/>
      <c r="K55" s="149"/>
    </row>
    <row r="56" spans="1:14" ht="14.45" x14ac:dyDescent="0.3">
      <c r="A56" s="108">
        <f>VLOOKUP($H$5,verzamelblad!$A$5:$EP$54,94,0)</f>
        <v>0</v>
      </c>
      <c r="B56" s="84"/>
      <c r="C56" s="84"/>
      <c r="D56" s="85"/>
      <c r="E56" s="147">
        <v>0</v>
      </c>
      <c r="F56" s="66"/>
      <c r="G56" s="147">
        <f t="shared" si="6"/>
        <v>0</v>
      </c>
      <c r="H56" s="90">
        <f>VLOOKUP($H$5,verzamelblad!$A$5:$EP$54,95,0)</f>
        <v>0</v>
      </c>
      <c r="I56" s="150">
        <f t="shared" si="7"/>
        <v>0</v>
      </c>
      <c r="J56" s="274"/>
      <c r="K56" s="150"/>
    </row>
    <row r="57" spans="1:14" thickBot="1" x14ac:dyDescent="0.35">
      <c r="A57" s="58" t="s">
        <v>98</v>
      </c>
      <c r="B57" s="58"/>
      <c r="C57" s="58"/>
      <c r="D57" s="58"/>
      <c r="E57" s="58"/>
      <c r="F57" s="58"/>
      <c r="G57" s="58"/>
      <c r="H57" s="58"/>
      <c r="I57" s="152">
        <f>SUM(I47:I56)</f>
        <v>0</v>
      </c>
      <c r="J57" s="211"/>
      <c r="K57" s="211"/>
    </row>
    <row r="58" spans="1:14" ht="15.75" thickTop="1" x14ac:dyDescent="0.25">
      <c r="E58" s="4"/>
      <c r="F58" s="4"/>
      <c r="G58" s="4"/>
      <c r="H58" s="4"/>
      <c r="I58" s="4"/>
      <c r="J58" s="4"/>
      <c r="K58" s="4"/>
    </row>
    <row r="59" spans="1:14" x14ac:dyDescent="0.25">
      <c r="A59" t="s">
        <v>187</v>
      </c>
      <c r="E59" s="4" t="s">
        <v>210</v>
      </c>
      <c r="F59" s="4" t="s">
        <v>211</v>
      </c>
      <c r="G59" s="4" t="s">
        <v>30</v>
      </c>
      <c r="H59" s="4" t="s">
        <v>212</v>
      </c>
      <c r="I59" s="4" t="s">
        <v>90</v>
      </c>
      <c r="J59" s="4"/>
      <c r="K59" s="4"/>
      <c r="M59" s="15"/>
      <c r="N59" s="15"/>
    </row>
    <row r="60" spans="1:14" x14ac:dyDescent="0.25">
      <c r="A60" s="109"/>
      <c r="B60" s="110"/>
      <c r="C60" s="110"/>
      <c r="D60" s="82"/>
      <c r="E60" s="64"/>
      <c r="F60" s="64"/>
      <c r="G60" s="87"/>
      <c r="H60" s="64"/>
      <c r="I60" s="67"/>
      <c r="J60" s="275"/>
      <c r="K60" s="264"/>
      <c r="M60" s="15" t="s">
        <v>273</v>
      </c>
      <c r="N60" s="15"/>
    </row>
    <row r="61" spans="1:14" x14ac:dyDescent="0.25">
      <c r="A61" s="106"/>
      <c r="B61" s="107"/>
      <c r="C61" s="107"/>
      <c r="D61" s="83"/>
      <c r="E61" s="65"/>
      <c r="F61" s="65"/>
      <c r="G61" s="88"/>
      <c r="H61" s="65"/>
      <c r="I61" s="68"/>
      <c r="J61" s="276"/>
      <c r="K61" s="265"/>
      <c r="M61" s="109" t="s">
        <v>213</v>
      </c>
      <c r="N61" s="154"/>
    </row>
    <row r="62" spans="1:14" x14ac:dyDescent="0.25">
      <c r="A62" s="106"/>
      <c r="B62" s="107"/>
      <c r="C62" s="107"/>
      <c r="D62" s="83"/>
      <c r="E62" s="65"/>
      <c r="F62" s="65"/>
      <c r="G62" s="88"/>
      <c r="H62" s="65"/>
      <c r="I62" s="68"/>
      <c r="J62" s="276"/>
      <c r="K62" s="265"/>
      <c r="M62" s="108" t="s">
        <v>214</v>
      </c>
      <c r="N62" s="155"/>
    </row>
    <row r="63" spans="1:14" x14ac:dyDescent="0.25">
      <c r="A63" s="106"/>
      <c r="B63" s="107"/>
      <c r="C63" s="107"/>
      <c r="D63" s="83"/>
      <c r="E63" s="65"/>
      <c r="F63" s="65"/>
      <c r="G63" s="88"/>
      <c r="H63" s="65"/>
      <c r="I63" s="68"/>
      <c r="J63" s="276"/>
      <c r="K63" s="265"/>
    </row>
    <row r="64" spans="1:14" x14ac:dyDescent="0.25">
      <c r="A64" s="106"/>
      <c r="B64" s="107"/>
      <c r="C64" s="107"/>
      <c r="D64" s="83"/>
      <c r="E64" s="65"/>
      <c r="F64" s="65"/>
      <c r="G64" s="88"/>
      <c r="H64" s="65"/>
      <c r="I64" s="68"/>
      <c r="J64" s="276"/>
      <c r="K64" s="265"/>
    </row>
    <row r="65" spans="1:14" x14ac:dyDescent="0.25">
      <c r="A65" s="106"/>
      <c r="B65" s="107"/>
      <c r="C65" s="107"/>
      <c r="D65" s="83"/>
      <c r="E65" s="65"/>
      <c r="F65" s="65"/>
      <c r="G65" s="88"/>
      <c r="H65" s="65"/>
      <c r="I65" s="68"/>
      <c r="J65" s="276"/>
      <c r="K65" s="265"/>
    </row>
    <row r="66" spans="1:14" x14ac:dyDescent="0.25">
      <c r="A66" s="106"/>
      <c r="B66" s="107"/>
      <c r="C66" s="107"/>
      <c r="D66" s="83"/>
      <c r="E66" s="65"/>
      <c r="F66" s="65"/>
      <c r="G66" s="88"/>
      <c r="H66" s="65"/>
      <c r="I66" s="68"/>
      <c r="J66" s="276"/>
      <c r="K66" s="265"/>
    </row>
    <row r="67" spans="1:14" x14ac:dyDescent="0.25">
      <c r="A67" s="106"/>
      <c r="B67" s="107"/>
      <c r="C67" s="107"/>
      <c r="D67" s="83"/>
      <c r="E67" s="65"/>
      <c r="F67" s="65"/>
      <c r="G67" s="88"/>
      <c r="H67" s="65"/>
      <c r="I67" s="68"/>
      <c r="J67" s="276"/>
      <c r="K67" s="265"/>
    </row>
    <row r="68" spans="1:14" x14ac:dyDescent="0.25">
      <c r="A68" s="106"/>
      <c r="B68" s="107"/>
      <c r="C68" s="107"/>
      <c r="D68" s="83"/>
      <c r="E68" s="65"/>
      <c r="F68" s="65"/>
      <c r="G68" s="88"/>
      <c r="H68" s="65"/>
      <c r="I68" s="68"/>
      <c r="J68" s="276"/>
      <c r="K68" s="265"/>
    </row>
    <row r="69" spans="1:14" x14ac:dyDescent="0.25">
      <c r="A69" s="106"/>
      <c r="B69" s="107"/>
      <c r="C69" s="107"/>
      <c r="D69" s="83"/>
      <c r="E69" s="65"/>
      <c r="F69" s="65"/>
      <c r="G69" s="88"/>
      <c r="H69" s="65"/>
      <c r="I69" s="68"/>
      <c r="J69" s="276"/>
      <c r="K69" s="265"/>
    </row>
    <row r="70" spans="1:14" x14ac:dyDescent="0.25">
      <c r="A70" s="106"/>
      <c r="B70" s="107"/>
      <c r="C70" s="107"/>
      <c r="D70" s="83"/>
      <c r="E70" s="65"/>
      <c r="F70" s="65"/>
      <c r="G70" s="88"/>
      <c r="H70" s="65"/>
      <c r="I70" s="68"/>
      <c r="J70" s="276"/>
      <c r="K70" s="265"/>
    </row>
    <row r="71" spans="1:14" x14ac:dyDescent="0.25">
      <c r="A71" s="106"/>
      <c r="B71" s="107"/>
      <c r="C71" s="107"/>
      <c r="D71" s="83"/>
      <c r="E71" s="65"/>
      <c r="F71" s="65"/>
      <c r="G71" s="88"/>
      <c r="H71" s="65"/>
      <c r="I71" s="68"/>
      <c r="J71" s="276"/>
      <c r="K71" s="265"/>
    </row>
    <row r="72" spans="1:14" x14ac:dyDescent="0.25">
      <c r="A72" s="106"/>
      <c r="B72" s="107"/>
      <c r="C72" s="107"/>
      <c r="D72" s="83"/>
      <c r="E72" s="65"/>
      <c r="F72" s="65"/>
      <c r="G72" s="88"/>
      <c r="H72" s="65"/>
      <c r="I72" s="68"/>
      <c r="J72" s="276"/>
      <c r="K72" s="265"/>
    </row>
    <row r="73" spans="1:14" x14ac:dyDescent="0.25">
      <c r="A73" s="108"/>
      <c r="B73" s="84"/>
      <c r="C73" s="84"/>
      <c r="D73" s="85"/>
      <c r="E73" s="66"/>
      <c r="F73" s="66"/>
      <c r="G73" s="90"/>
      <c r="H73" s="66"/>
      <c r="I73" s="69"/>
      <c r="J73" s="277"/>
      <c r="K73" s="266"/>
    </row>
    <row r="74" spans="1:14" ht="15.75" thickBot="1" x14ac:dyDescent="0.3">
      <c r="A74" s="58" t="s">
        <v>98</v>
      </c>
      <c r="B74" s="58"/>
      <c r="C74" s="58"/>
      <c r="D74" s="58"/>
      <c r="E74" s="58"/>
      <c r="F74" s="58"/>
      <c r="G74" s="58"/>
      <c r="H74" s="58"/>
      <c r="I74" s="152">
        <f>SUM(I60:I73)</f>
        <v>0</v>
      </c>
      <c r="J74" s="211"/>
      <c r="K74" s="211"/>
    </row>
    <row r="75" spans="1:14" ht="15.75" thickTop="1" x14ac:dyDescent="0.25"/>
    <row r="76" spans="1:14" x14ac:dyDescent="0.25">
      <c r="A76" s="255" t="s">
        <v>104</v>
      </c>
      <c r="B76" s="256"/>
      <c r="C76" s="256"/>
      <c r="D76" s="256"/>
      <c r="E76" s="256"/>
      <c r="F76" s="256"/>
      <c r="G76" s="256"/>
      <c r="H76" s="256"/>
      <c r="I76" s="257">
        <f>SUM(I14+I33+I44+I57+I74)</f>
        <v>0</v>
      </c>
      <c r="J76" s="214"/>
      <c r="K76" s="214"/>
    </row>
    <row r="77" spans="1:14" x14ac:dyDescent="0.25">
      <c r="A77" s="23"/>
      <c r="B77" s="23"/>
      <c r="C77" s="23"/>
      <c r="D77" s="23"/>
      <c r="E77" s="23"/>
      <c r="F77" s="23"/>
      <c r="G77" s="23"/>
      <c r="H77" s="23"/>
      <c r="I77" s="214"/>
      <c r="J77" s="214"/>
      <c r="K77" s="214"/>
      <c r="L77" s="36"/>
      <c r="M77" s="36"/>
      <c r="N77" s="36"/>
    </row>
    <row r="78" spans="1:14" x14ac:dyDescent="0.25">
      <c r="A78" s="23"/>
      <c r="B78" s="23"/>
      <c r="C78" s="23"/>
      <c r="D78" s="23"/>
      <c r="E78" s="23"/>
      <c r="F78" s="23"/>
      <c r="G78" s="23"/>
      <c r="H78" s="23"/>
      <c r="I78" s="214"/>
      <c r="J78" s="214"/>
      <c r="K78" s="214"/>
      <c r="L78" s="36"/>
      <c r="M78" s="36"/>
      <c r="N78" s="36"/>
    </row>
    <row r="79" spans="1:14" x14ac:dyDescent="0.25">
      <c r="A79" s="261" t="s">
        <v>311</v>
      </c>
      <c r="B79" s="37"/>
      <c r="C79" s="37"/>
      <c r="D79" s="37">
        <v>4</v>
      </c>
      <c r="E79" s="37"/>
      <c r="F79" s="37" t="s">
        <v>312</v>
      </c>
      <c r="G79" s="268">
        <f>SUM(G78/D79)</f>
        <v>0</v>
      </c>
      <c r="H79" s="23"/>
      <c r="I79" s="214"/>
      <c r="J79" s="262" t="s">
        <v>308</v>
      </c>
      <c r="K79" s="252" t="s">
        <v>309</v>
      </c>
      <c r="L79" s="36"/>
      <c r="M79" s="36"/>
      <c r="N79" s="36"/>
    </row>
    <row r="80" spans="1:14" x14ac:dyDescent="0.25">
      <c r="A80" s="23"/>
      <c r="B80" s="23"/>
      <c r="C80" s="23"/>
      <c r="D80" s="23"/>
      <c r="E80" s="23"/>
      <c r="F80" s="23"/>
      <c r="G80" s="284"/>
      <c r="K80" s="267" t="s">
        <v>308</v>
      </c>
      <c r="L80" s="254" t="s">
        <v>310</v>
      </c>
    </row>
    <row r="81" spans="1:12" x14ac:dyDescent="0.25">
      <c r="K81" s="36"/>
      <c r="L81" s="254"/>
    </row>
    <row r="82" spans="1:12" x14ac:dyDescent="0.25">
      <c r="K82" s="36"/>
      <c r="L82" s="254"/>
    </row>
    <row r="83" spans="1:12" x14ac:dyDescent="0.25">
      <c r="A83" t="s">
        <v>215</v>
      </c>
      <c r="E83" t="s">
        <v>81</v>
      </c>
      <c r="F83" s="4" t="s">
        <v>30</v>
      </c>
      <c r="I83" t="s">
        <v>90</v>
      </c>
    </row>
    <row r="84" spans="1:12" ht="15.75" thickBot="1" x14ac:dyDescent="0.3">
      <c r="A84" s="125" t="str">
        <f>verzamelblad!D3</f>
        <v>VSR</v>
      </c>
      <c r="B84" s="125"/>
      <c r="C84" s="125"/>
      <c r="D84" s="125"/>
      <c r="E84" s="153">
        <f>VLOOKUP($H$5,verzamelblad!$A$5:$EP$54,100,0)</f>
        <v>666.5440000000001</v>
      </c>
      <c r="F84" s="126">
        <f>VLOOKUP($H$5,verzamelblad!$A$5:$EP$54,101,0)</f>
        <v>3</v>
      </c>
      <c r="G84" s="125"/>
      <c r="H84" s="125"/>
      <c r="I84" s="153">
        <f>SUM(E84*F84)</f>
        <v>1999.6320000000003</v>
      </c>
      <c r="J84" s="214"/>
      <c r="K84" s="214"/>
    </row>
    <row r="85" spans="1:12" ht="15.75" thickTop="1" x14ac:dyDescent="0.25"/>
    <row r="86" spans="1:12" ht="14.45" hidden="1" x14ac:dyDescent="0.3"/>
    <row r="87" spans="1:12" ht="14.45" hidden="1" x14ac:dyDescent="0.3">
      <c r="A87" t="s">
        <v>105</v>
      </c>
      <c r="D87" t="s">
        <v>197</v>
      </c>
      <c r="E87" t="s">
        <v>198</v>
      </c>
    </row>
    <row r="88" spans="1:12" ht="14.45" hidden="1" x14ac:dyDescent="0.3">
      <c r="A88" t="str">
        <f t="shared" ref="A88:A102" ca="1" si="8">IF(M19=0,"",M19)</f>
        <v>A</v>
      </c>
      <c r="D88">
        <f t="shared" ref="D88:D102" ca="1" si="9">IF(A88="",0,VLOOKUP(A88,INDIRECT("'"&amp;$H$6&amp;"'!C500:M515"),11,0))</f>
        <v>565800</v>
      </c>
      <c r="E88" t="str">
        <f>IF(N19="","",SUM(D88/N19)*uurtariefopbouw!$E$37)</f>
        <v/>
      </c>
    </row>
    <row r="89" spans="1:12" ht="14.45" hidden="1" x14ac:dyDescent="0.3">
      <c r="A89" t="str">
        <f t="shared" ca="1" si="8"/>
        <v>A1</v>
      </c>
      <c r="D89">
        <f t="shared" ca="1" si="9"/>
        <v>143100</v>
      </c>
      <c r="E89" t="str">
        <f>IF(N20="","",SUM(D89/N20)*uurtariefopbouw!$E$37)</f>
        <v/>
      </c>
    </row>
    <row r="90" spans="1:12" ht="14.45" hidden="1" x14ac:dyDescent="0.3">
      <c r="A90" t="str">
        <f t="shared" ca="1" si="8"/>
        <v>A2</v>
      </c>
      <c r="D90">
        <f t="shared" ca="1" si="9"/>
        <v>74496</v>
      </c>
      <c r="E90" t="str">
        <f>IF(N21="","",SUM(D90/N21)*uurtariefopbouw!$E$37)</f>
        <v/>
      </c>
    </row>
    <row r="91" spans="1:12" ht="14.45" hidden="1" x14ac:dyDescent="0.3">
      <c r="A91" t="str">
        <f t="shared" ca="1" si="8"/>
        <v>B</v>
      </c>
      <c r="D91">
        <f t="shared" ca="1" si="9"/>
        <v>428100</v>
      </c>
      <c r="E91" t="str">
        <f>IF(N22="","",SUM(D91/N22)*uurtariefopbouw!$E$37)</f>
        <v/>
      </c>
    </row>
    <row r="92" spans="1:12" ht="14.45" hidden="1" x14ac:dyDescent="0.3">
      <c r="A92" t="str">
        <f t="shared" ca="1" si="8"/>
        <v>B1</v>
      </c>
      <c r="D92">
        <f t="shared" ca="1" si="9"/>
        <v>31.2</v>
      </c>
      <c r="E92" t="str">
        <f>IF(N23="","",SUM(D92/N23)*uurtariefopbouw!$E$37)</f>
        <v/>
      </c>
    </row>
    <row r="93" spans="1:12" ht="14.45" hidden="1" x14ac:dyDescent="0.3">
      <c r="A93" t="str">
        <f t="shared" ca="1" si="8"/>
        <v>C</v>
      </c>
      <c r="D93">
        <f t="shared" ca="1" si="9"/>
        <v>44320</v>
      </c>
      <c r="E93" t="str">
        <f>IF(N24="","",SUM(D93/N24)*uurtariefopbouw!$E$37)</f>
        <v/>
      </c>
    </row>
    <row r="94" spans="1:12" ht="14.45" hidden="1" x14ac:dyDescent="0.3">
      <c r="A94" t="str">
        <f t="shared" ca="1" si="8"/>
        <v>C1</v>
      </c>
      <c r="D94">
        <f t="shared" ca="1" si="9"/>
        <v>8120</v>
      </c>
      <c r="E94" t="str">
        <f>IF(N25="","",SUM(D94/N25)*uurtariefopbouw!$E$37)</f>
        <v/>
      </c>
    </row>
    <row r="95" spans="1:12" ht="14.45" hidden="1" x14ac:dyDescent="0.3">
      <c r="A95" t="str">
        <f t="shared" si="8"/>
        <v>D</v>
      </c>
      <c r="D95">
        <f t="shared" ca="1" si="9"/>
        <v>69960</v>
      </c>
      <c r="E95" t="str">
        <f>IF(N26="","",SUM(D95/N26)*uurtariefopbouw!$E$37)</f>
        <v/>
      </c>
    </row>
    <row r="96" spans="1:12" ht="14.45" hidden="1" x14ac:dyDescent="0.3">
      <c r="A96" t="str">
        <f t="shared" si="8"/>
        <v>D1</v>
      </c>
      <c r="D96">
        <f t="shared" ca="1" si="9"/>
        <v>128</v>
      </c>
      <c r="E96" t="str">
        <f>IF(N27="","",SUM(D96/N27)*uurtariefopbouw!$E$37)</f>
        <v/>
      </c>
    </row>
    <row r="97" spans="1:5" ht="14.45" hidden="1" x14ac:dyDescent="0.3">
      <c r="A97" t="str">
        <f t="shared" si="8"/>
        <v>E</v>
      </c>
      <c r="D97">
        <f t="shared" ca="1" si="9"/>
        <v>24700</v>
      </c>
      <c r="E97" t="str">
        <f>IF(N28="","",SUM(D97/N28)*uurtariefopbouw!$E$37)</f>
        <v/>
      </c>
    </row>
    <row r="98" spans="1:5" ht="14.45" hidden="1" x14ac:dyDescent="0.3">
      <c r="A98" t="str">
        <f t="shared" si="8"/>
        <v>F</v>
      </c>
      <c r="D98">
        <f t="shared" ca="1" si="9"/>
        <v>137140</v>
      </c>
      <c r="E98" t="str">
        <f>IF(N29="","",SUM(D98/N29)*uurtariefopbouw!$E$37)</f>
        <v/>
      </c>
    </row>
    <row r="99" spans="1:5" ht="14.45" hidden="1" x14ac:dyDescent="0.3">
      <c r="A99" t="str">
        <f t="shared" si="8"/>
        <v>F1</v>
      </c>
      <c r="D99">
        <f t="shared" ca="1" si="9"/>
        <v>0</v>
      </c>
      <c r="E99" t="str">
        <f>IF(N30="","",SUM(D99/N30)*uurtariefopbouw!$E$37)</f>
        <v/>
      </c>
    </row>
    <row r="100" spans="1:5" ht="14.45" hidden="1" x14ac:dyDescent="0.3">
      <c r="A100" t="str">
        <f t="shared" si="8"/>
        <v>G</v>
      </c>
      <c r="D100">
        <f t="shared" ca="1" si="9"/>
        <v>113000</v>
      </c>
      <c r="E100" t="str">
        <f>IF(N31="","",SUM(D100/N31)*uurtariefopbouw!$E$37)</f>
        <v/>
      </c>
    </row>
    <row r="101" spans="1:5" ht="14.45" hidden="1" x14ac:dyDescent="0.3">
      <c r="A101" t="str">
        <f t="shared" si="8"/>
        <v/>
      </c>
      <c r="D101">
        <f t="shared" ca="1" si="9"/>
        <v>0</v>
      </c>
      <c r="E101" t="str">
        <f>IF(N32="","",SUM(D101/N32)*uurtariefopbouw!$E$37)</f>
        <v/>
      </c>
    </row>
    <row r="102" spans="1:5" ht="14.45" hidden="1" x14ac:dyDescent="0.3">
      <c r="A102" t="str">
        <f t="shared" si="8"/>
        <v/>
      </c>
      <c r="D102">
        <f t="shared" ca="1" si="9"/>
        <v>0</v>
      </c>
      <c r="E102" t="str">
        <f>IF(N33="","",SUM(D102/N33)*uurtariefopbouw!$E$37)</f>
        <v/>
      </c>
    </row>
    <row r="103" spans="1:5" hidden="1" thickBot="1" x14ac:dyDescent="0.35">
      <c r="A103" s="5" t="s">
        <v>200</v>
      </c>
      <c r="B103" s="5"/>
      <c r="C103" s="5"/>
      <c r="D103" s="5">
        <f ca="1">SUM(D88:D102)</f>
        <v>1608895.2</v>
      </c>
      <c r="E103" s="5">
        <f>SUM(E88:E102)</f>
        <v>0</v>
      </c>
    </row>
    <row r="104" spans="1:5" x14ac:dyDescent="0.25"/>
    <row r="105" spans="1:5" x14ac:dyDescent="0.25"/>
    <row r="106" spans="1:5" x14ac:dyDescent="0.25"/>
    <row r="107" spans="1:5" x14ac:dyDescent="0.25"/>
    <row r="108" spans="1:5" x14ac:dyDescent="0.25"/>
    <row r="109" spans="1:5" x14ac:dyDescent="0.25"/>
    <row r="110" spans="1:5" x14ac:dyDescent="0.25"/>
    <row r="111" spans="1:5" x14ac:dyDescent="0.25"/>
    <row r="112" spans="1:5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</sheetData>
  <conditionalFormatting sqref="M14">
    <cfRule type="cellIs" dxfId="10" priority="4" operator="equal">
      <formula>"Geen 100%"</formula>
    </cfRule>
  </conditionalFormatting>
  <conditionalFormatting sqref="G12">
    <cfRule type="containsText" dxfId="9" priority="2" operator="containsText" text="te laag">
      <formula>NOT(ISERROR(SEARCH("te laag",G12)))</formula>
    </cfRule>
  </conditionalFormatting>
  <conditionalFormatting sqref="G13">
    <cfRule type="containsText" dxfId="8" priority="1" operator="containsText" text="te laag">
      <formula>NOT(ISERROR(SEARCH("te laag",G13)))</formula>
    </cfRule>
  </conditionalFormatting>
  <pageMargins left="0.7" right="0.7" top="0.75" bottom="0.75" header="0.3" footer="0.3"/>
  <pageSetup paperSize="9" scale="47" orientation="portrait" r:id="rId1"/>
  <headerFooter>
    <oddHeader>&amp;L&amp;G</oddHeader>
    <oddFooter>&amp;L* Alle bedragen zijn excl. btw&amp;R® Alpha Adviesbureau</oddFooter>
  </headerFooter>
  <colBreaks count="1" manualBreakCount="1">
    <brk id="15" max="81" man="1"/>
  </colBreak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ADB6B4D7-C34E-4691-9912-6FFAEFED2784}">
            <xm:f>NOT(ISERROR(SEARCH("te laag",G11)))</xm:f>
            <xm:f>"te laag"</xm:f>
            <x14:dxf>
              <fill>
                <patternFill>
                  <bgColor rgb="FFFF0000"/>
                </patternFill>
              </fill>
            </x14:dxf>
          </x14:cfRule>
          <xm:sqref>G11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5">
    <tabColor rgb="FF9F9289"/>
  </sheetPr>
  <dimension ref="A1:R554"/>
  <sheetViews>
    <sheetView tabSelected="1" zoomScaleNormal="100" workbookViewId="0">
      <pane ySplit="3" topLeftCell="A145" activePane="bottomLeft" state="frozen"/>
      <selection activeCell="CI22" sqref="CI22"/>
      <selection pane="bottomLeft" activeCell="E148" sqref="E148"/>
    </sheetView>
  </sheetViews>
  <sheetFormatPr defaultRowHeight="15" x14ac:dyDescent="0.25"/>
  <cols>
    <col min="1" max="1" width="5.85546875" style="6" bestFit="1" customWidth="1"/>
    <col min="2" max="2" width="3.42578125" style="6" customWidth="1"/>
    <col min="3" max="3" width="20.85546875" style="4" customWidth="1"/>
    <col min="4" max="4" width="3" style="4" customWidth="1"/>
    <col min="5" max="5" width="3.7109375" style="286" customWidth="1"/>
    <col min="6" max="6" width="9.42578125" style="8" customWidth="1"/>
    <col min="7" max="7" width="10.5703125" style="311" customWidth="1"/>
    <col min="8" max="10" width="8.7109375" style="8" customWidth="1"/>
    <col min="11" max="11" width="10.7109375" style="8" customWidth="1"/>
    <col min="12" max="12" width="5.7109375" style="6" customWidth="1"/>
    <col min="13" max="13" width="11.7109375" bestFit="1" customWidth="1"/>
    <col min="16" max="16" width="8.85546875" style="8"/>
  </cols>
  <sheetData>
    <row r="1" spans="1:16" ht="14.45" x14ac:dyDescent="0.3">
      <c r="A1" s="49">
        <v>1</v>
      </c>
      <c r="B1" s="47" t="s">
        <v>72</v>
      </c>
      <c r="C1" s="48"/>
      <c r="D1" s="61" t="str">
        <f>VLOOKUP(A1,verzamelblad!A5:E54,3)</f>
        <v>RSG Ter Apel</v>
      </c>
      <c r="E1" s="61"/>
      <c r="F1" s="298"/>
      <c r="G1" s="322"/>
      <c r="H1" s="298"/>
      <c r="I1" s="298"/>
      <c r="J1" s="298"/>
      <c r="K1" s="62"/>
    </row>
    <row r="2" spans="1:16" ht="14.45" x14ac:dyDescent="0.3">
      <c r="B2" s="47" t="s">
        <v>106</v>
      </c>
      <c r="C2" s="35"/>
      <c r="D2" s="61" t="str">
        <f>VLOOKUP(A1,verzamelblad!A5:E54,4)</f>
        <v>Oudeweg 41</v>
      </c>
      <c r="E2" s="61"/>
      <c r="F2" s="298"/>
      <c r="G2" s="322"/>
      <c r="H2" s="298"/>
      <c r="I2" s="298" t="str">
        <f>VLOOKUP(A1,verzamelblad!A5:E54,5)</f>
        <v>Ter Apel</v>
      </c>
      <c r="J2" s="298"/>
      <c r="K2" s="62"/>
    </row>
    <row r="3" spans="1:16" ht="14.45" x14ac:dyDescent="0.3">
      <c r="A3" s="7" t="s">
        <v>107</v>
      </c>
      <c r="B3" s="7" t="s">
        <v>107</v>
      </c>
      <c r="C3" s="4" t="s">
        <v>108</v>
      </c>
      <c r="D3" s="4" t="s">
        <v>109</v>
      </c>
      <c r="E3" s="286" t="s">
        <v>110</v>
      </c>
      <c r="F3" s="9" t="s">
        <v>111</v>
      </c>
      <c r="G3" s="311" t="s">
        <v>112</v>
      </c>
      <c r="H3" s="9" t="s">
        <v>113</v>
      </c>
      <c r="I3" s="9" t="s">
        <v>114</v>
      </c>
      <c r="J3" s="9" t="s">
        <v>115</v>
      </c>
      <c r="K3" s="9" t="s">
        <v>70</v>
      </c>
      <c r="L3" s="7" t="s">
        <v>116</v>
      </c>
      <c r="M3" s="4" t="s">
        <v>117</v>
      </c>
      <c r="O3" s="4" t="s">
        <v>467</v>
      </c>
      <c r="P3" s="9" t="s">
        <v>468</v>
      </c>
    </row>
    <row r="4" spans="1:16" ht="14.45" x14ac:dyDescent="0.3">
      <c r="A4" t="s">
        <v>316</v>
      </c>
      <c r="B4"/>
      <c r="C4" s="4" t="s">
        <v>317</v>
      </c>
      <c r="D4"/>
      <c r="E4" s="334" t="s">
        <v>96</v>
      </c>
      <c r="F4" s="8">
        <v>2.4</v>
      </c>
      <c r="J4" s="8">
        <v>5.6</v>
      </c>
      <c r="K4" s="8">
        <f t="shared" ref="K4:K64" si="0">SUM(F4:J4)</f>
        <v>8</v>
      </c>
      <c r="L4" s="6">
        <f t="shared" ref="L4:L35" si="1">IF(E4="",0,IF(E4="H",0,VLOOKUP(E4,$F$539:$G$554,2)))</f>
        <v>200</v>
      </c>
      <c r="M4">
        <f t="shared" ref="M4:M64" si="2">SUM(K4*L4)</f>
        <v>1600</v>
      </c>
      <c r="O4" s="8">
        <v>2.2000000000000002</v>
      </c>
      <c r="P4" s="8">
        <v>2.2000000000000002</v>
      </c>
    </row>
    <row r="5" spans="1:16" ht="14.45" x14ac:dyDescent="0.3">
      <c r="A5" t="s">
        <v>318</v>
      </c>
      <c r="B5"/>
      <c r="C5" s="4" t="s">
        <v>319</v>
      </c>
      <c r="D5"/>
      <c r="E5" s="334" t="s">
        <v>96</v>
      </c>
      <c r="J5" s="8">
        <v>111</v>
      </c>
      <c r="K5" s="8">
        <f t="shared" si="0"/>
        <v>111</v>
      </c>
      <c r="L5" s="6">
        <f t="shared" si="1"/>
        <v>200</v>
      </c>
      <c r="M5">
        <f t="shared" si="2"/>
        <v>22200</v>
      </c>
      <c r="O5" s="8"/>
      <c r="P5" s="8">
        <v>3</v>
      </c>
    </row>
    <row r="6" spans="1:16" ht="14.45" x14ac:dyDescent="0.3">
      <c r="A6" t="s">
        <v>320</v>
      </c>
      <c r="B6"/>
      <c r="C6" s="4" t="s">
        <v>321</v>
      </c>
      <c r="D6"/>
      <c r="E6" s="334" t="s">
        <v>481</v>
      </c>
      <c r="F6" s="8">
        <v>19.5</v>
      </c>
      <c r="K6" s="8">
        <f t="shared" si="0"/>
        <v>19.5</v>
      </c>
      <c r="L6" s="6">
        <v>120</v>
      </c>
      <c r="M6">
        <f t="shared" si="2"/>
        <v>2340</v>
      </c>
      <c r="O6" s="8">
        <v>3</v>
      </c>
      <c r="P6" s="8">
        <v>1.1000000000000001</v>
      </c>
    </row>
    <row r="7" spans="1:16" ht="14.45" x14ac:dyDescent="0.3">
      <c r="A7" t="s">
        <v>322</v>
      </c>
      <c r="B7"/>
      <c r="C7" s="4" t="s">
        <v>323</v>
      </c>
      <c r="D7"/>
      <c r="E7" s="334" t="s">
        <v>96</v>
      </c>
      <c r="G7" s="311">
        <v>16.899999999999999</v>
      </c>
      <c r="K7" s="8">
        <f t="shared" si="0"/>
        <v>16.899999999999999</v>
      </c>
      <c r="L7" s="6">
        <f t="shared" si="1"/>
        <v>200</v>
      </c>
      <c r="M7">
        <f t="shared" si="2"/>
        <v>3379.9999999999995</v>
      </c>
      <c r="O7" s="8">
        <v>1.5</v>
      </c>
      <c r="P7" s="8">
        <v>1.1000000000000001</v>
      </c>
    </row>
    <row r="8" spans="1:16" ht="14.45" x14ac:dyDescent="0.3">
      <c r="A8" t="s">
        <v>324</v>
      </c>
      <c r="B8"/>
      <c r="C8" s="4" t="s">
        <v>325</v>
      </c>
      <c r="D8"/>
      <c r="E8" s="334" t="s">
        <v>96</v>
      </c>
      <c r="G8" s="311">
        <v>1.5</v>
      </c>
      <c r="K8" s="8">
        <f>SUM(F8:J8)</f>
        <v>1.5</v>
      </c>
      <c r="L8" s="6">
        <f t="shared" si="1"/>
        <v>200</v>
      </c>
      <c r="M8">
        <f t="shared" si="2"/>
        <v>300</v>
      </c>
      <c r="O8" s="8"/>
    </row>
    <row r="9" spans="1:16" ht="14.45" x14ac:dyDescent="0.3">
      <c r="A9" t="s">
        <v>326</v>
      </c>
      <c r="B9"/>
      <c r="C9" s="4" t="s">
        <v>327</v>
      </c>
      <c r="D9"/>
      <c r="E9" s="334" t="s">
        <v>96</v>
      </c>
      <c r="J9" s="8">
        <v>81.7</v>
      </c>
      <c r="K9" s="8">
        <f t="shared" si="0"/>
        <v>81.7</v>
      </c>
      <c r="L9" s="6">
        <f t="shared" si="1"/>
        <v>200</v>
      </c>
      <c r="M9">
        <f t="shared" si="2"/>
        <v>16340</v>
      </c>
      <c r="O9" s="8">
        <v>7.5</v>
      </c>
      <c r="P9" s="8">
        <v>4</v>
      </c>
    </row>
    <row r="10" spans="1:16" ht="14.45" x14ac:dyDescent="0.3">
      <c r="A10" t="s">
        <v>328</v>
      </c>
      <c r="B10"/>
      <c r="C10" s="4" t="s">
        <v>329</v>
      </c>
      <c r="D10"/>
      <c r="E10" s="334" t="s">
        <v>481</v>
      </c>
      <c r="F10" s="8">
        <v>17.600000000000001</v>
      </c>
      <c r="K10" s="8">
        <f t="shared" si="0"/>
        <v>17.600000000000001</v>
      </c>
      <c r="L10" s="6">
        <v>120</v>
      </c>
      <c r="M10">
        <f t="shared" si="2"/>
        <v>2112</v>
      </c>
      <c r="O10" s="8">
        <v>3.6</v>
      </c>
      <c r="P10" s="8">
        <v>1.8</v>
      </c>
    </row>
    <row r="11" spans="1:16" ht="14.45" x14ac:dyDescent="0.3">
      <c r="A11" s="286">
        <v>5</v>
      </c>
      <c r="B11"/>
      <c r="C11" s="4" t="s">
        <v>330</v>
      </c>
      <c r="D11"/>
      <c r="E11" s="334" t="s">
        <v>95</v>
      </c>
      <c r="G11" s="311">
        <v>46.3</v>
      </c>
      <c r="K11" s="8">
        <f t="shared" si="0"/>
        <v>46.3</v>
      </c>
      <c r="L11" s="6">
        <f t="shared" si="1"/>
        <v>200</v>
      </c>
      <c r="M11">
        <f t="shared" si="2"/>
        <v>9260</v>
      </c>
      <c r="O11" s="8">
        <v>5</v>
      </c>
      <c r="P11" s="8">
        <v>1.8</v>
      </c>
    </row>
    <row r="12" spans="1:16" ht="14.45" x14ac:dyDescent="0.3">
      <c r="A12" s="286">
        <v>4</v>
      </c>
      <c r="B12"/>
      <c r="C12" s="4" t="s">
        <v>330</v>
      </c>
      <c r="D12"/>
      <c r="E12" s="334" t="s">
        <v>95</v>
      </c>
      <c r="G12" s="311">
        <v>43.3</v>
      </c>
      <c r="K12" s="8">
        <f t="shared" si="0"/>
        <v>43.3</v>
      </c>
      <c r="L12" s="6">
        <f t="shared" si="1"/>
        <v>200</v>
      </c>
      <c r="M12">
        <f t="shared" si="2"/>
        <v>8660</v>
      </c>
      <c r="O12" s="8">
        <v>5</v>
      </c>
      <c r="P12" s="8">
        <v>1.8</v>
      </c>
    </row>
    <row r="13" spans="1:16" ht="14.45" x14ac:dyDescent="0.3">
      <c r="A13" s="286">
        <v>3</v>
      </c>
      <c r="B13"/>
      <c r="C13" s="4" t="s">
        <v>330</v>
      </c>
      <c r="D13"/>
      <c r="E13" s="334" t="s">
        <v>95</v>
      </c>
      <c r="G13" s="311">
        <v>46.3</v>
      </c>
      <c r="K13" s="8">
        <f t="shared" si="0"/>
        <v>46.3</v>
      </c>
      <c r="L13" s="6">
        <f t="shared" si="1"/>
        <v>200</v>
      </c>
      <c r="M13">
        <f t="shared" si="2"/>
        <v>9260</v>
      </c>
      <c r="O13" s="8">
        <v>5</v>
      </c>
      <c r="P13" s="8">
        <v>1.8</v>
      </c>
    </row>
    <row r="14" spans="1:16" ht="14.45" x14ac:dyDescent="0.3">
      <c r="A14" s="286">
        <v>2</v>
      </c>
      <c r="B14"/>
      <c r="C14" s="4" t="s">
        <v>330</v>
      </c>
      <c r="D14"/>
      <c r="E14" s="334" t="s">
        <v>95</v>
      </c>
      <c r="G14" s="311">
        <v>76</v>
      </c>
      <c r="K14" s="8">
        <f t="shared" si="0"/>
        <v>76</v>
      </c>
      <c r="L14" s="6">
        <f t="shared" si="1"/>
        <v>200</v>
      </c>
      <c r="M14">
        <f t="shared" si="2"/>
        <v>15200</v>
      </c>
      <c r="O14" s="8">
        <v>6</v>
      </c>
      <c r="P14" s="8">
        <v>1.8</v>
      </c>
    </row>
    <row r="15" spans="1:16" ht="14.45" x14ac:dyDescent="0.3">
      <c r="A15" s="286">
        <v>1</v>
      </c>
      <c r="B15"/>
      <c r="C15" s="4" t="s">
        <v>331</v>
      </c>
      <c r="D15"/>
      <c r="E15" s="334" t="s">
        <v>122</v>
      </c>
      <c r="G15" s="311">
        <v>70.3</v>
      </c>
      <c r="K15" s="8">
        <f t="shared" si="0"/>
        <v>70.3</v>
      </c>
      <c r="L15" s="6">
        <f t="shared" si="1"/>
        <v>200</v>
      </c>
      <c r="M15">
        <f t="shared" si="2"/>
        <v>14060</v>
      </c>
      <c r="O15" s="8">
        <v>8.5</v>
      </c>
      <c r="P15" s="8">
        <v>1.8</v>
      </c>
    </row>
    <row r="16" spans="1:16" ht="14.45" x14ac:dyDescent="0.3">
      <c r="A16" t="s">
        <v>332</v>
      </c>
      <c r="B16"/>
      <c r="C16" s="4" t="s">
        <v>333</v>
      </c>
      <c r="D16"/>
      <c r="E16" s="334" t="s">
        <v>122</v>
      </c>
      <c r="J16" s="8">
        <v>21.7</v>
      </c>
      <c r="K16" s="8">
        <f t="shared" si="0"/>
        <v>21.7</v>
      </c>
      <c r="L16" s="6">
        <f t="shared" si="1"/>
        <v>200</v>
      </c>
      <c r="M16">
        <f t="shared" si="2"/>
        <v>4340</v>
      </c>
      <c r="O16" s="8">
        <v>10.6</v>
      </c>
    </row>
    <row r="17" spans="1:16" ht="14.45" x14ac:dyDescent="0.3">
      <c r="A17" t="s">
        <v>334</v>
      </c>
      <c r="B17"/>
      <c r="C17" s="4" t="s">
        <v>335</v>
      </c>
      <c r="D17"/>
      <c r="E17" s="334" t="s">
        <v>96</v>
      </c>
      <c r="I17" s="8">
        <v>10</v>
      </c>
      <c r="J17" s="8">
        <v>7.5</v>
      </c>
      <c r="K17" s="8">
        <f t="shared" si="0"/>
        <v>17.5</v>
      </c>
      <c r="L17" s="6">
        <f t="shared" si="1"/>
        <v>200</v>
      </c>
      <c r="M17">
        <f t="shared" si="2"/>
        <v>3500</v>
      </c>
      <c r="O17" s="8">
        <v>1.4</v>
      </c>
    </row>
    <row r="18" spans="1:16" ht="14.45" x14ac:dyDescent="0.3">
      <c r="A18" s="286">
        <v>10</v>
      </c>
      <c r="B18"/>
      <c r="C18" s="4" t="s">
        <v>336</v>
      </c>
      <c r="D18"/>
      <c r="E18" s="334" t="s">
        <v>123</v>
      </c>
      <c r="J18" s="8">
        <v>7.4</v>
      </c>
      <c r="K18" s="8">
        <f t="shared" si="0"/>
        <v>7.4</v>
      </c>
      <c r="L18" s="6">
        <f t="shared" si="1"/>
        <v>200</v>
      </c>
      <c r="M18">
        <f t="shared" si="2"/>
        <v>1480</v>
      </c>
      <c r="O18" s="8">
        <v>4.5</v>
      </c>
      <c r="P18" s="8">
        <v>1.8</v>
      </c>
    </row>
    <row r="19" spans="1:16" ht="14.45" x14ac:dyDescent="0.3">
      <c r="A19" s="286">
        <v>11</v>
      </c>
      <c r="B19"/>
      <c r="C19" s="4" t="s">
        <v>337</v>
      </c>
      <c r="D19"/>
      <c r="E19" s="334" t="s">
        <v>123</v>
      </c>
      <c r="J19" s="8">
        <v>8.1999999999999993</v>
      </c>
      <c r="K19" s="8">
        <f t="shared" si="0"/>
        <v>8.1999999999999993</v>
      </c>
      <c r="L19" s="6">
        <f t="shared" si="1"/>
        <v>200</v>
      </c>
      <c r="M19">
        <f t="shared" si="2"/>
        <v>1639.9999999999998</v>
      </c>
      <c r="O19" s="8">
        <v>5.3</v>
      </c>
      <c r="P19" s="8">
        <v>1.8</v>
      </c>
    </row>
    <row r="20" spans="1:16" ht="14.45" x14ac:dyDescent="0.3">
      <c r="A20" s="286">
        <v>12</v>
      </c>
      <c r="B20"/>
      <c r="C20" s="4" t="s">
        <v>327</v>
      </c>
      <c r="D20"/>
      <c r="E20" s="334" t="s">
        <v>96</v>
      </c>
      <c r="J20" s="8">
        <v>25.9</v>
      </c>
      <c r="K20" s="8">
        <f t="shared" si="0"/>
        <v>25.9</v>
      </c>
      <c r="L20" s="6">
        <f t="shared" si="1"/>
        <v>200</v>
      </c>
      <c r="M20">
        <f t="shared" si="2"/>
        <v>5180</v>
      </c>
      <c r="O20" s="8">
        <v>2.5</v>
      </c>
      <c r="P20" s="8">
        <v>3.5</v>
      </c>
    </row>
    <row r="21" spans="1:16" ht="14.45" x14ac:dyDescent="0.3">
      <c r="A21" s="287">
        <v>13</v>
      </c>
      <c r="B21"/>
      <c r="C21" s="4" t="s">
        <v>338</v>
      </c>
      <c r="D21"/>
      <c r="E21" s="334" t="s">
        <v>478</v>
      </c>
      <c r="G21" s="311">
        <v>402</v>
      </c>
      <c r="K21" s="8">
        <f t="shared" si="0"/>
        <v>402</v>
      </c>
      <c r="L21" s="6">
        <f t="shared" si="1"/>
        <v>200</v>
      </c>
      <c r="M21">
        <f t="shared" si="2"/>
        <v>80400</v>
      </c>
      <c r="O21" s="8">
        <v>88.1</v>
      </c>
      <c r="P21" s="8">
        <v>1.8</v>
      </c>
    </row>
    <row r="22" spans="1:16" ht="14.45" x14ac:dyDescent="0.3">
      <c r="A22" s="287">
        <v>14</v>
      </c>
      <c r="B22"/>
      <c r="C22" s="4" t="s">
        <v>339</v>
      </c>
      <c r="D22"/>
      <c r="E22" s="334" t="s">
        <v>478</v>
      </c>
      <c r="G22" s="311">
        <v>204</v>
      </c>
      <c r="K22" s="8">
        <f t="shared" si="0"/>
        <v>204</v>
      </c>
      <c r="L22" s="6">
        <f t="shared" si="1"/>
        <v>200</v>
      </c>
      <c r="M22">
        <f t="shared" si="2"/>
        <v>40800</v>
      </c>
      <c r="O22" s="8">
        <v>84</v>
      </c>
    </row>
    <row r="23" spans="1:16" ht="14.45" x14ac:dyDescent="0.3">
      <c r="A23" s="287" t="s">
        <v>340</v>
      </c>
      <c r="B23"/>
      <c r="C23" s="4" t="s">
        <v>341</v>
      </c>
      <c r="D23"/>
      <c r="E23" s="334" t="s">
        <v>487</v>
      </c>
      <c r="H23" s="8">
        <v>27.2</v>
      </c>
      <c r="K23" s="8">
        <f t="shared" si="0"/>
        <v>27.2</v>
      </c>
      <c r="L23" s="6">
        <f t="shared" si="1"/>
        <v>0</v>
      </c>
      <c r="M23">
        <f t="shared" si="2"/>
        <v>0</v>
      </c>
      <c r="O23" s="8"/>
    </row>
    <row r="24" spans="1:16" ht="14.45" x14ac:dyDescent="0.3">
      <c r="A24" s="287">
        <v>15</v>
      </c>
      <c r="B24"/>
      <c r="C24" s="4" t="s">
        <v>342</v>
      </c>
      <c r="D24"/>
      <c r="E24" s="334" t="s">
        <v>96</v>
      </c>
      <c r="F24" s="8">
        <v>9.3000000000000007</v>
      </c>
      <c r="G24" s="311">
        <v>21</v>
      </c>
      <c r="H24" s="8">
        <v>9</v>
      </c>
      <c r="K24" s="8">
        <f t="shared" si="0"/>
        <v>39.299999999999997</v>
      </c>
      <c r="L24" s="6">
        <f t="shared" si="1"/>
        <v>200</v>
      </c>
      <c r="M24">
        <f t="shared" si="2"/>
        <v>7859.9999999999991</v>
      </c>
      <c r="O24" s="8"/>
    </row>
    <row r="25" spans="1:16" ht="14.45" x14ac:dyDescent="0.3">
      <c r="A25" s="287">
        <v>16</v>
      </c>
      <c r="B25"/>
      <c r="C25" s="4" t="s">
        <v>337</v>
      </c>
      <c r="D25"/>
      <c r="E25" s="334" t="s">
        <v>123</v>
      </c>
      <c r="J25" s="8">
        <v>18.3</v>
      </c>
      <c r="K25" s="8">
        <f t="shared" si="0"/>
        <v>18.3</v>
      </c>
      <c r="L25" s="6">
        <f t="shared" si="1"/>
        <v>200</v>
      </c>
      <c r="M25">
        <f t="shared" si="2"/>
        <v>3660</v>
      </c>
      <c r="O25" s="8"/>
    </row>
    <row r="26" spans="1:16" ht="14.45" x14ac:dyDescent="0.3">
      <c r="A26" s="287">
        <v>17</v>
      </c>
      <c r="B26"/>
      <c r="C26" s="4" t="s">
        <v>343</v>
      </c>
      <c r="D26"/>
      <c r="E26" s="334" t="s">
        <v>123</v>
      </c>
      <c r="J26" s="8">
        <v>22.1</v>
      </c>
      <c r="K26" s="8">
        <f t="shared" si="0"/>
        <v>22.1</v>
      </c>
      <c r="L26" s="6">
        <f t="shared" si="1"/>
        <v>200</v>
      </c>
      <c r="M26">
        <f t="shared" si="2"/>
        <v>4420</v>
      </c>
      <c r="O26" s="8">
        <v>2.2000000000000002</v>
      </c>
    </row>
    <row r="27" spans="1:16" ht="14.45" x14ac:dyDescent="0.3">
      <c r="A27" t="s">
        <v>344</v>
      </c>
      <c r="B27"/>
      <c r="C27" s="4" t="s">
        <v>327</v>
      </c>
      <c r="D27"/>
      <c r="E27" s="334" t="s">
        <v>96</v>
      </c>
      <c r="G27" s="311">
        <v>80.599999999999994</v>
      </c>
      <c r="K27" s="8">
        <f t="shared" si="0"/>
        <v>80.599999999999994</v>
      </c>
      <c r="L27" s="6">
        <f t="shared" si="1"/>
        <v>200</v>
      </c>
      <c r="M27">
        <f t="shared" si="2"/>
        <v>16119.999999999998</v>
      </c>
      <c r="O27" s="8"/>
      <c r="P27" s="8">
        <v>7.8</v>
      </c>
    </row>
    <row r="28" spans="1:16" ht="14.45" x14ac:dyDescent="0.3">
      <c r="A28" s="287">
        <v>18</v>
      </c>
      <c r="B28"/>
      <c r="C28" s="4" t="s">
        <v>330</v>
      </c>
      <c r="D28"/>
      <c r="E28" s="334" t="s">
        <v>95</v>
      </c>
      <c r="G28" s="311">
        <v>50.1</v>
      </c>
      <c r="K28" s="8">
        <f t="shared" si="0"/>
        <v>50.1</v>
      </c>
      <c r="L28" s="6">
        <f t="shared" si="1"/>
        <v>200</v>
      </c>
      <c r="M28">
        <f t="shared" si="2"/>
        <v>10020</v>
      </c>
      <c r="O28" s="8">
        <v>9</v>
      </c>
      <c r="P28" s="8">
        <v>0.8</v>
      </c>
    </row>
    <row r="29" spans="1:16" ht="14.45" x14ac:dyDescent="0.3">
      <c r="A29" s="287">
        <v>19</v>
      </c>
      <c r="B29"/>
      <c r="C29" s="4" t="s">
        <v>330</v>
      </c>
      <c r="D29"/>
      <c r="E29" s="334" t="s">
        <v>95</v>
      </c>
      <c r="G29" s="311">
        <v>50.1</v>
      </c>
      <c r="K29" s="8">
        <f t="shared" si="0"/>
        <v>50.1</v>
      </c>
      <c r="L29" s="6">
        <f t="shared" si="1"/>
        <v>200</v>
      </c>
      <c r="M29">
        <f t="shared" si="2"/>
        <v>10020</v>
      </c>
      <c r="O29" s="8">
        <v>9</v>
      </c>
      <c r="P29" s="8">
        <v>0.8</v>
      </c>
    </row>
    <row r="30" spans="1:16" ht="14.45" x14ac:dyDescent="0.3">
      <c r="A30" s="287">
        <v>20</v>
      </c>
      <c r="B30"/>
      <c r="C30" s="4" t="s">
        <v>330</v>
      </c>
      <c r="D30"/>
      <c r="E30" s="334" t="s">
        <v>95</v>
      </c>
      <c r="G30" s="311">
        <v>50.1</v>
      </c>
      <c r="K30" s="8">
        <f t="shared" si="0"/>
        <v>50.1</v>
      </c>
      <c r="L30" s="6">
        <f t="shared" si="1"/>
        <v>200</v>
      </c>
      <c r="M30">
        <f t="shared" si="2"/>
        <v>10020</v>
      </c>
      <c r="O30" s="8">
        <v>9</v>
      </c>
      <c r="P30" s="8">
        <v>0.8</v>
      </c>
    </row>
    <row r="31" spans="1:16" ht="14.45" x14ac:dyDescent="0.3">
      <c r="A31" t="s">
        <v>345</v>
      </c>
      <c r="B31"/>
      <c r="C31" s="4" t="s">
        <v>321</v>
      </c>
      <c r="D31"/>
      <c r="E31" s="334" t="s">
        <v>481</v>
      </c>
      <c r="F31" s="8">
        <v>17.8</v>
      </c>
      <c r="K31" s="8">
        <f t="shared" si="0"/>
        <v>17.8</v>
      </c>
      <c r="L31" s="6">
        <v>120</v>
      </c>
      <c r="M31">
        <f t="shared" si="2"/>
        <v>2136</v>
      </c>
      <c r="O31" s="8">
        <v>6.5</v>
      </c>
    </row>
    <row r="32" spans="1:16" ht="14.45" x14ac:dyDescent="0.3">
      <c r="A32" s="287">
        <v>22</v>
      </c>
      <c r="B32"/>
      <c r="C32" s="4" t="s">
        <v>330</v>
      </c>
      <c r="D32"/>
      <c r="E32" s="334" t="s">
        <v>95</v>
      </c>
      <c r="G32" s="311">
        <v>55.3</v>
      </c>
      <c r="K32" s="8">
        <f t="shared" si="0"/>
        <v>55.3</v>
      </c>
      <c r="L32" s="6">
        <f t="shared" si="1"/>
        <v>200</v>
      </c>
      <c r="M32">
        <f t="shared" si="2"/>
        <v>11060</v>
      </c>
      <c r="O32" s="8">
        <v>15.3</v>
      </c>
      <c r="P32" s="8">
        <v>0.8</v>
      </c>
    </row>
    <row r="33" spans="1:16" ht="14.45" x14ac:dyDescent="0.3">
      <c r="A33" t="s">
        <v>346</v>
      </c>
      <c r="B33"/>
      <c r="C33" s="4" t="s">
        <v>321</v>
      </c>
      <c r="D33"/>
      <c r="E33" s="334" t="s">
        <v>481</v>
      </c>
      <c r="F33" s="8">
        <v>17.8</v>
      </c>
      <c r="K33" s="8">
        <f t="shared" si="0"/>
        <v>17.8</v>
      </c>
      <c r="L33" s="6">
        <v>120</v>
      </c>
      <c r="M33">
        <f t="shared" si="2"/>
        <v>2136</v>
      </c>
      <c r="O33" s="8">
        <v>4.5</v>
      </c>
      <c r="P33" s="8">
        <v>6.5</v>
      </c>
    </row>
    <row r="34" spans="1:16" ht="14.45" x14ac:dyDescent="0.3">
      <c r="A34" t="s">
        <v>347</v>
      </c>
      <c r="B34"/>
      <c r="C34" s="4" t="s">
        <v>327</v>
      </c>
      <c r="D34"/>
      <c r="E34" s="334" t="s">
        <v>96</v>
      </c>
      <c r="G34" s="311">
        <v>15.1</v>
      </c>
      <c r="K34" s="8">
        <f t="shared" si="0"/>
        <v>15.1</v>
      </c>
      <c r="L34" s="6">
        <f t="shared" si="1"/>
        <v>200</v>
      </c>
      <c r="M34">
        <f t="shared" si="2"/>
        <v>3020</v>
      </c>
      <c r="O34" s="8">
        <v>22.4</v>
      </c>
      <c r="P34" s="8">
        <v>7.8</v>
      </c>
    </row>
    <row r="35" spans="1:16" ht="14.45" x14ac:dyDescent="0.3">
      <c r="A35" s="287">
        <v>23</v>
      </c>
      <c r="B35"/>
      <c r="C35" s="4" t="s">
        <v>330</v>
      </c>
      <c r="D35"/>
      <c r="E35" s="334" t="s">
        <v>95</v>
      </c>
      <c r="G35" s="311">
        <v>50.1</v>
      </c>
      <c r="K35" s="8">
        <f t="shared" si="0"/>
        <v>50.1</v>
      </c>
      <c r="L35" s="6">
        <f t="shared" si="1"/>
        <v>200</v>
      </c>
      <c r="M35">
        <f t="shared" si="2"/>
        <v>10020</v>
      </c>
      <c r="O35" s="8">
        <v>9</v>
      </c>
      <c r="P35" s="8">
        <v>0.8</v>
      </c>
    </row>
    <row r="36" spans="1:16" ht="14.45" x14ac:dyDescent="0.3">
      <c r="A36" s="286">
        <v>24</v>
      </c>
      <c r="B36"/>
      <c r="C36" s="4" t="s">
        <v>330</v>
      </c>
      <c r="D36"/>
      <c r="E36" s="334" t="s">
        <v>95</v>
      </c>
      <c r="G36" s="311">
        <v>50.1</v>
      </c>
      <c r="K36" s="8">
        <f t="shared" si="0"/>
        <v>50.1</v>
      </c>
      <c r="L36" s="6">
        <f t="shared" ref="L36:L67" si="3">IF(E36="",0,IF(E36="H",0,VLOOKUP(E36,$F$539:$G$554,2)))</f>
        <v>200</v>
      </c>
      <c r="M36">
        <f t="shared" si="2"/>
        <v>10020</v>
      </c>
      <c r="O36" s="8">
        <v>9</v>
      </c>
      <c r="P36" s="8">
        <v>0.8</v>
      </c>
    </row>
    <row r="37" spans="1:16" ht="14.45" x14ac:dyDescent="0.3">
      <c r="A37" t="s">
        <v>348</v>
      </c>
      <c r="B37"/>
      <c r="C37" s="4" t="s">
        <v>327</v>
      </c>
      <c r="D37"/>
      <c r="E37" s="334" t="s">
        <v>96</v>
      </c>
      <c r="G37" s="311">
        <v>60</v>
      </c>
      <c r="K37" s="8">
        <f t="shared" si="0"/>
        <v>60</v>
      </c>
      <c r="L37" s="6">
        <f t="shared" si="3"/>
        <v>200</v>
      </c>
      <c r="M37">
        <f t="shared" si="2"/>
        <v>12000</v>
      </c>
      <c r="O37" s="8"/>
    </row>
    <row r="38" spans="1:16" ht="14.45" x14ac:dyDescent="0.3">
      <c r="A38" s="286">
        <v>25</v>
      </c>
      <c r="B38"/>
      <c r="C38" s="4" t="s">
        <v>330</v>
      </c>
      <c r="D38"/>
      <c r="E38" s="334" t="s">
        <v>95</v>
      </c>
      <c r="G38" s="311">
        <v>50.1</v>
      </c>
      <c r="K38" s="8">
        <f t="shared" si="0"/>
        <v>50.1</v>
      </c>
      <c r="L38" s="6">
        <f t="shared" si="3"/>
        <v>200</v>
      </c>
      <c r="M38">
        <f t="shared" si="2"/>
        <v>10020</v>
      </c>
      <c r="O38" s="8"/>
      <c r="P38" s="8">
        <v>0.8</v>
      </c>
    </row>
    <row r="39" spans="1:16" ht="14.45" x14ac:dyDescent="0.3">
      <c r="A39" t="s">
        <v>349</v>
      </c>
      <c r="B39"/>
      <c r="C39" s="4" t="s">
        <v>327</v>
      </c>
      <c r="D39"/>
      <c r="E39" s="334" t="s">
        <v>96</v>
      </c>
      <c r="G39" s="311">
        <v>8</v>
      </c>
      <c r="K39" s="8">
        <f t="shared" si="0"/>
        <v>8</v>
      </c>
      <c r="L39" s="6">
        <f t="shared" si="3"/>
        <v>200</v>
      </c>
      <c r="M39">
        <f t="shared" si="2"/>
        <v>1600</v>
      </c>
      <c r="O39" s="8"/>
    </row>
    <row r="40" spans="1:16" ht="14.45" x14ac:dyDescent="0.3">
      <c r="A40" t="s">
        <v>350</v>
      </c>
      <c r="B40"/>
      <c r="C40" s="4" t="s">
        <v>321</v>
      </c>
      <c r="D40"/>
      <c r="E40" s="334" t="s">
        <v>481</v>
      </c>
      <c r="F40" s="8">
        <v>11.2</v>
      </c>
      <c r="K40" s="8">
        <f t="shared" si="0"/>
        <v>11.2</v>
      </c>
      <c r="L40" s="6">
        <v>120</v>
      </c>
      <c r="M40">
        <f t="shared" si="2"/>
        <v>1344</v>
      </c>
      <c r="O40" s="8">
        <v>1.1000000000000001</v>
      </c>
    </row>
    <row r="41" spans="1:16" ht="14.45" x14ac:dyDescent="0.3">
      <c r="A41" t="s">
        <v>351</v>
      </c>
      <c r="B41"/>
      <c r="C41" s="4" t="s">
        <v>327</v>
      </c>
      <c r="D41"/>
      <c r="E41" s="334" t="s">
        <v>96</v>
      </c>
      <c r="G41" s="311">
        <v>162.5</v>
      </c>
      <c r="K41" s="8">
        <f t="shared" si="0"/>
        <v>162.5</v>
      </c>
      <c r="L41" s="6">
        <f t="shared" si="3"/>
        <v>200</v>
      </c>
      <c r="M41">
        <f t="shared" si="2"/>
        <v>32500</v>
      </c>
      <c r="O41" s="8">
        <v>55.9</v>
      </c>
      <c r="P41" s="8">
        <v>8.3000000000000007</v>
      </c>
    </row>
    <row r="42" spans="1:16" ht="14.45" x14ac:dyDescent="0.3">
      <c r="A42" t="s">
        <v>352</v>
      </c>
      <c r="B42"/>
      <c r="C42" s="4" t="s">
        <v>337</v>
      </c>
      <c r="D42"/>
      <c r="E42" s="334" t="s">
        <v>123</v>
      </c>
      <c r="J42" s="8">
        <v>9.5</v>
      </c>
      <c r="K42" s="8">
        <f t="shared" si="0"/>
        <v>9.5</v>
      </c>
      <c r="L42" s="6">
        <f t="shared" si="3"/>
        <v>200</v>
      </c>
      <c r="M42">
        <f t="shared" si="2"/>
        <v>1900</v>
      </c>
      <c r="O42" s="8"/>
    </row>
    <row r="43" spans="1:16" ht="14.45" x14ac:dyDescent="0.3">
      <c r="A43" t="s">
        <v>353</v>
      </c>
      <c r="B43"/>
      <c r="C43" s="4" t="s">
        <v>354</v>
      </c>
      <c r="D43"/>
      <c r="E43" s="334" t="s">
        <v>123</v>
      </c>
      <c r="J43" s="8">
        <v>1.8</v>
      </c>
      <c r="K43" s="8">
        <f t="shared" si="0"/>
        <v>1.8</v>
      </c>
      <c r="L43" s="6">
        <f t="shared" si="3"/>
        <v>200</v>
      </c>
      <c r="M43">
        <f t="shared" si="2"/>
        <v>360</v>
      </c>
      <c r="O43" s="8"/>
    </row>
    <row r="44" spans="1:16" s="293" customFormat="1" ht="14.45" x14ac:dyDescent="0.3">
      <c r="A44" s="293" t="s">
        <v>355</v>
      </c>
      <c r="C44" s="294" t="s">
        <v>336</v>
      </c>
      <c r="E44" s="335" t="s">
        <v>123</v>
      </c>
      <c r="F44" s="295"/>
      <c r="G44" s="323"/>
      <c r="H44" s="295"/>
      <c r="I44" s="295"/>
      <c r="J44" s="295">
        <v>10.199999999999999</v>
      </c>
      <c r="K44" s="295">
        <f t="shared" si="0"/>
        <v>10.199999999999999</v>
      </c>
      <c r="L44" s="296">
        <f t="shared" si="3"/>
        <v>200</v>
      </c>
      <c r="M44" s="293">
        <f t="shared" si="2"/>
        <v>2039.9999999999998</v>
      </c>
      <c r="O44" s="295"/>
      <c r="P44" s="295"/>
    </row>
    <row r="45" spans="1:16" ht="14.45" x14ac:dyDescent="0.3">
      <c r="A45" t="s">
        <v>356</v>
      </c>
      <c r="B45"/>
      <c r="C45" s="4" t="s">
        <v>327</v>
      </c>
      <c r="D45"/>
      <c r="E45" s="334" t="s">
        <v>96</v>
      </c>
      <c r="G45" s="311">
        <v>80.900000000000006</v>
      </c>
      <c r="K45" s="8">
        <f t="shared" si="0"/>
        <v>80.900000000000006</v>
      </c>
      <c r="L45" s="6">
        <f t="shared" si="3"/>
        <v>200</v>
      </c>
      <c r="M45">
        <f t="shared" si="2"/>
        <v>16180.000000000002</v>
      </c>
      <c r="O45" s="8">
        <v>5.9</v>
      </c>
      <c r="P45" s="8">
        <v>2.4</v>
      </c>
    </row>
    <row r="46" spans="1:16" ht="14.45" x14ac:dyDescent="0.3">
      <c r="A46" s="287" t="s">
        <v>357</v>
      </c>
      <c r="B46"/>
      <c r="C46" s="4" t="s">
        <v>321</v>
      </c>
      <c r="D46"/>
      <c r="E46" s="334" t="s">
        <v>481</v>
      </c>
      <c r="F46" s="8">
        <v>26.8</v>
      </c>
      <c r="K46" s="8">
        <f t="shared" si="0"/>
        <v>26.8</v>
      </c>
      <c r="L46" s="6">
        <v>120</v>
      </c>
      <c r="M46">
        <f t="shared" si="2"/>
        <v>3216</v>
      </c>
      <c r="O46" s="8">
        <v>3.6</v>
      </c>
      <c r="P46" s="8">
        <v>1.6</v>
      </c>
    </row>
    <row r="47" spans="1:16" ht="14.45" x14ac:dyDescent="0.3">
      <c r="A47" s="286">
        <v>35</v>
      </c>
      <c r="B47"/>
      <c r="C47" s="4" t="s">
        <v>330</v>
      </c>
      <c r="D47"/>
      <c r="E47" s="334" t="s">
        <v>95</v>
      </c>
      <c r="G47" s="311">
        <v>50.1</v>
      </c>
      <c r="K47" s="8">
        <f t="shared" si="0"/>
        <v>50.1</v>
      </c>
      <c r="L47" s="6">
        <f t="shared" si="3"/>
        <v>200</v>
      </c>
      <c r="M47">
        <f t="shared" si="2"/>
        <v>10020</v>
      </c>
      <c r="O47" s="8">
        <v>10.7</v>
      </c>
      <c r="P47" s="8">
        <v>1.6</v>
      </c>
    </row>
    <row r="48" spans="1:16" ht="14.45" x14ac:dyDescent="0.3">
      <c r="A48" s="287">
        <v>36</v>
      </c>
      <c r="B48"/>
      <c r="C48" s="4" t="s">
        <v>330</v>
      </c>
      <c r="D48"/>
      <c r="E48" s="334" t="s">
        <v>95</v>
      </c>
      <c r="G48" s="311">
        <v>50.1</v>
      </c>
      <c r="K48" s="8">
        <f t="shared" si="0"/>
        <v>50.1</v>
      </c>
      <c r="L48" s="6">
        <f t="shared" si="3"/>
        <v>200</v>
      </c>
      <c r="M48">
        <f t="shared" si="2"/>
        <v>10020</v>
      </c>
      <c r="O48" s="8">
        <v>10.7</v>
      </c>
      <c r="P48" s="8">
        <v>1.6</v>
      </c>
    </row>
    <row r="49" spans="1:16" ht="14.45" x14ac:dyDescent="0.3">
      <c r="A49" s="287" t="s">
        <v>358</v>
      </c>
      <c r="B49"/>
      <c r="C49" s="4" t="s">
        <v>359</v>
      </c>
      <c r="D49"/>
      <c r="E49" s="334" t="s">
        <v>479</v>
      </c>
      <c r="G49" s="311">
        <v>7.8</v>
      </c>
      <c r="K49" s="8">
        <f>G49</f>
        <v>7.8</v>
      </c>
      <c r="L49" s="6">
        <f t="shared" si="3"/>
        <v>4</v>
      </c>
      <c r="M49">
        <f t="shared" si="2"/>
        <v>31.2</v>
      </c>
      <c r="O49" s="8"/>
      <c r="P49" s="8">
        <v>1.6</v>
      </c>
    </row>
    <row r="50" spans="1:16" ht="14.45" x14ac:dyDescent="0.3">
      <c r="A50" t="s">
        <v>360</v>
      </c>
      <c r="B50"/>
      <c r="C50" s="4" t="s">
        <v>317</v>
      </c>
      <c r="D50"/>
      <c r="E50" s="334" t="s">
        <v>96</v>
      </c>
      <c r="F50" s="8">
        <v>3.6</v>
      </c>
      <c r="K50" s="8">
        <f t="shared" si="0"/>
        <v>3.6</v>
      </c>
      <c r="L50" s="6">
        <f t="shared" si="3"/>
        <v>200</v>
      </c>
      <c r="M50">
        <f t="shared" si="2"/>
        <v>720</v>
      </c>
      <c r="O50" s="8">
        <v>2.4</v>
      </c>
      <c r="P50" s="8">
        <v>2.4</v>
      </c>
    </row>
    <row r="51" spans="1:16" s="293" customFormat="1" ht="14.45" x14ac:dyDescent="0.3">
      <c r="A51" s="297">
        <v>37</v>
      </c>
      <c r="C51" s="294" t="s">
        <v>361</v>
      </c>
      <c r="E51" s="335" t="s">
        <v>95</v>
      </c>
      <c r="F51" s="295"/>
      <c r="G51" s="323">
        <v>75.3</v>
      </c>
      <c r="H51" s="295"/>
      <c r="I51" s="295"/>
      <c r="J51" s="295"/>
      <c r="K51" s="295">
        <f t="shared" si="0"/>
        <v>75.3</v>
      </c>
      <c r="L51" s="296">
        <f t="shared" si="3"/>
        <v>200</v>
      </c>
      <c r="M51" s="293">
        <f t="shared" si="2"/>
        <v>15060</v>
      </c>
      <c r="O51" s="295">
        <v>15</v>
      </c>
      <c r="P51" s="295">
        <v>1.6</v>
      </c>
    </row>
    <row r="52" spans="1:16" ht="14.45" x14ac:dyDescent="0.3">
      <c r="A52" s="286">
        <v>38</v>
      </c>
      <c r="B52"/>
      <c r="C52" s="4" t="s">
        <v>362</v>
      </c>
      <c r="D52"/>
      <c r="E52" s="334" t="s">
        <v>96</v>
      </c>
      <c r="G52" s="311">
        <v>7.5</v>
      </c>
      <c r="K52" s="8">
        <f t="shared" si="0"/>
        <v>7.5</v>
      </c>
      <c r="L52" s="6">
        <f t="shared" si="3"/>
        <v>200</v>
      </c>
      <c r="M52">
        <f t="shared" si="2"/>
        <v>1500</v>
      </c>
      <c r="O52" s="8"/>
    </row>
    <row r="53" spans="1:16" ht="14.45" x14ac:dyDescent="0.3">
      <c r="A53" s="287" t="s">
        <v>363</v>
      </c>
      <c r="B53" s="288"/>
      <c r="C53" s="4" t="s">
        <v>321</v>
      </c>
      <c r="D53"/>
      <c r="E53" s="334" t="s">
        <v>481</v>
      </c>
      <c r="F53" s="8">
        <v>8</v>
      </c>
      <c r="K53" s="8">
        <f t="shared" si="0"/>
        <v>8</v>
      </c>
      <c r="L53" s="6">
        <f t="shared" si="3"/>
        <v>120</v>
      </c>
      <c r="M53">
        <f t="shared" si="2"/>
        <v>960</v>
      </c>
      <c r="O53" s="8"/>
      <c r="P53" s="8">
        <v>0.8</v>
      </c>
    </row>
    <row r="54" spans="1:16" ht="14.45" x14ac:dyDescent="0.3">
      <c r="A54" s="287" t="s">
        <v>364</v>
      </c>
      <c r="B54"/>
      <c r="C54" s="4" t="s">
        <v>321</v>
      </c>
      <c r="D54"/>
      <c r="E54" s="334" t="s">
        <v>481</v>
      </c>
      <c r="F54" s="8">
        <v>10.3</v>
      </c>
      <c r="K54" s="8">
        <f t="shared" si="0"/>
        <v>10.3</v>
      </c>
      <c r="L54" s="6">
        <f t="shared" si="3"/>
        <v>120</v>
      </c>
      <c r="M54">
        <f t="shared" si="2"/>
        <v>1236</v>
      </c>
      <c r="O54" s="8">
        <v>3.6</v>
      </c>
      <c r="P54" s="8">
        <v>0.8</v>
      </c>
    </row>
    <row r="55" spans="1:16" ht="14.45" x14ac:dyDescent="0.3">
      <c r="A55" s="36" t="s">
        <v>365</v>
      </c>
      <c r="B55" s="36"/>
      <c r="C55" s="289" t="s">
        <v>321</v>
      </c>
      <c r="D55" s="36"/>
      <c r="E55" s="334" t="s">
        <v>481</v>
      </c>
      <c r="F55" s="299">
        <v>31.5</v>
      </c>
      <c r="G55" s="324"/>
      <c r="H55" s="299"/>
      <c r="I55" s="299"/>
      <c r="J55" s="299"/>
      <c r="K55" s="8">
        <f t="shared" si="0"/>
        <v>31.5</v>
      </c>
      <c r="L55" s="6">
        <f t="shared" si="3"/>
        <v>120</v>
      </c>
      <c r="M55">
        <f t="shared" si="2"/>
        <v>3780</v>
      </c>
      <c r="N55" s="36"/>
      <c r="O55" s="299">
        <v>3.6</v>
      </c>
      <c r="P55" s="8">
        <v>0.8</v>
      </c>
    </row>
    <row r="56" spans="1:16" ht="14.45" x14ac:dyDescent="0.3">
      <c r="A56" s="36" t="s">
        <v>366</v>
      </c>
      <c r="B56" s="36"/>
      <c r="C56" s="289" t="s">
        <v>321</v>
      </c>
      <c r="D56" s="36"/>
      <c r="E56" s="334" t="s">
        <v>481</v>
      </c>
      <c r="F56" s="299"/>
      <c r="G56" s="324">
        <v>9.5</v>
      </c>
      <c r="H56" s="299"/>
      <c r="I56" s="299"/>
      <c r="J56" s="299"/>
      <c r="K56" s="8">
        <f t="shared" si="0"/>
        <v>9.5</v>
      </c>
      <c r="L56" s="6">
        <f t="shared" si="3"/>
        <v>120</v>
      </c>
      <c r="M56">
        <f t="shared" si="2"/>
        <v>1140</v>
      </c>
      <c r="N56" s="36"/>
      <c r="O56" s="299"/>
    </row>
    <row r="57" spans="1:16" ht="14.45" x14ac:dyDescent="0.3">
      <c r="A57" s="287">
        <v>39</v>
      </c>
      <c r="B57"/>
      <c r="C57" s="4" t="s">
        <v>330</v>
      </c>
      <c r="D57"/>
      <c r="E57" s="334" t="s">
        <v>95</v>
      </c>
      <c r="G57" s="311">
        <v>69.400000000000006</v>
      </c>
      <c r="K57" s="8">
        <f t="shared" si="0"/>
        <v>69.400000000000006</v>
      </c>
      <c r="L57" s="6">
        <f t="shared" si="3"/>
        <v>200</v>
      </c>
      <c r="M57">
        <f t="shared" si="2"/>
        <v>13880.000000000002</v>
      </c>
      <c r="O57" s="8">
        <v>10.7</v>
      </c>
      <c r="P57" s="8">
        <v>1.6</v>
      </c>
    </row>
    <row r="58" spans="1:16" ht="14.45" x14ac:dyDescent="0.3">
      <c r="A58" s="290">
        <v>40</v>
      </c>
      <c r="B58" s="36"/>
      <c r="C58" s="289" t="s">
        <v>367</v>
      </c>
      <c r="D58" s="36"/>
      <c r="E58" s="336" t="s">
        <v>124</v>
      </c>
      <c r="F58" s="299"/>
      <c r="G58" s="324"/>
      <c r="H58" s="299"/>
      <c r="I58" s="299"/>
      <c r="J58" s="299">
        <v>145.80000000000001</v>
      </c>
      <c r="K58" s="8">
        <f t="shared" si="0"/>
        <v>145.80000000000001</v>
      </c>
      <c r="L58" s="6">
        <f t="shared" si="3"/>
        <v>200</v>
      </c>
      <c r="M58">
        <f t="shared" si="2"/>
        <v>29160.000000000004</v>
      </c>
      <c r="N58" s="36"/>
      <c r="O58" s="299">
        <v>49.5</v>
      </c>
      <c r="P58" s="8">
        <v>33.799999999999997</v>
      </c>
    </row>
    <row r="59" spans="1:16" ht="14.45" x14ac:dyDescent="0.3">
      <c r="A59" s="290" t="s">
        <v>368</v>
      </c>
      <c r="B59" s="36"/>
      <c r="C59" s="289" t="s">
        <v>327</v>
      </c>
      <c r="D59" s="36"/>
      <c r="E59" s="336" t="s">
        <v>96</v>
      </c>
      <c r="F59" s="299"/>
      <c r="G59" s="324">
        <v>63.3</v>
      </c>
      <c r="H59" s="299"/>
      <c r="I59" s="299"/>
      <c r="J59" s="299"/>
      <c r="K59" s="8">
        <f t="shared" si="0"/>
        <v>63.3</v>
      </c>
      <c r="L59" s="6">
        <f t="shared" si="3"/>
        <v>200</v>
      </c>
      <c r="M59">
        <f t="shared" si="2"/>
        <v>12660</v>
      </c>
      <c r="N59" s="36"/>
      <c r="O59" s="299"/>
      <c r="P59" s="8">
        <v>36.5</v>
      </c>
    </row>
    <row r="60" spans="1:16" ht="14.45" x14ac:dyDescent="0.3">
      <c r="A60" s="290" t="s">
        <v>369</v>
      </c>
      <c r="B60" s="36"/>
      <c r="C60" s="289" t="s">
        <v>370</v>
      </c>
      <c r="D60" s="36"/>
      <c r="E60" s="336" t="s">
        <v>123</v>
      </c>
      <c r="F60" s="299"/>
      <c r="G60" s="324"/>
      <c r="H60" s="299"/>
      <c r="I60" s="299"/>
      <c r="J60" s="299">
        <v>13.5</v>
      </c>
      <c r="K60" s="8">
        <f t="shared" si="0"/>
        <v>13.5</v>
      </c>
      <c r="L60" s="6">
        <f t="shared" si="3"/>
        <v>200</v>
      </c>
      <c r="M60">
        <f t="shared" si="2"/>
        <v>2700</v>
      </c>
      <c r="N60" s="36"/>
      <c r="O60" s="299">
        <v>3.6</v>
      </c>
    </row>
    <row r="61" spans="1:16" ht="14.45" x14ac:dyDescent="0.3">
      <c r="A61" s="290" t="s">
        <v>371</v>
      </c>
      <c r="B61" s="36"/>
      <c r="C61" s="213" t="s">
        <v>321</v>
      </c>
      <c r="D61" s="213"/>
      <c r="E61" s="337" t="s">
        <v>481</v>
      </c>
      <c r="F61" s="300"/>
      <c r="G61" s="325"/>
      <c r="H61" s="300">
        <v>17.2</v>
      </c>
      <c r="I61" s="300"/>
      <c r="J61" s="300"/>
      <c r="K61" s="8">
        <f t="shared" si="0"/>
        <v>17.2</v>
      </c>
      <c r="L61" s="6">
        <v>120</v>
      </c>
      <c r="M61">
        <f t="shared" si="2"/>
        <v>2064</v>
      </c>
      <c r="N61" s="36"/>
      <c r="O61" s="299">
        <v>7.1</v>
      </c>
      <c r="P61" s="8">
        <v>6.8</v>
      </c>
    </row>
    <row r="62" spans="1:16" ht="14.45" x14ac:dyDescent="0.3">
      <c r="A62" s="291">
        <v>41</v>
      </c>
      <c r="B62" s="36"/>
      <c r="C62" s="289" t="s">
        <v>372</v>
      </c>
      <c r="D62" s="36"/>
      <c r="E62" s="336" t="s">
        <v>124</v>
      </c>
      <c r="F62" s="299"/>
      <c r="G62" s="324"/>
      <c r="H62" s="299">
        <v>400</v>
      </c>
      <c r="I62" s="299"/>
      <c r="J62" s="299"/>
      <c r="K62" s="8">
        <f t="shared" si="0"/>
        <v>400</v>
      </c>
      <c r="L62" s="6">
        <f t="shared" si="3"/>
        <v>200</v>
      </c>
      <c r="M62">
        <f t="shared" si="2"/>
        <v>80000</v>
      </c>
      <c r="N62" s="36"/>
      <c r="O62" s="299">
        <v>35.5</v>
      </c>
    </row>
    <row r="63" spans="1:16" ht="14.45" x14ac:dyDescent="0.3">
      <c r="A63" s="291">
        <v>43</v>
      </c>
      <c r="B63" s="36"/>
      <c r="C63" s="289" t="s">
        <v>373</v>
      </c>
      <c r="D63" s="36"/>
      <c r="E63" s="336" t="s">
        <v>124</v>
      </c>
      <c r="F63" s="299"/>
      <c r="G63" s="324"/>
      <c r="H63" s="299">
        <v>37.9</v>
      </c>
      <c r="I63" s="299"/>
      <c r="J63" s="299"/>
      <c r="K63" s="8">
        <f t="shared" si="0"/>
        <v>37.9</v>
      </c>
      <c r="L63" s="6">
        <f t="shared" si="3"/>
        <v>200</v>
      </c>
      <c r="M63">
        <f t="shared" si="2"/>
        <v>7580</v>
      </c>
      <c r="N63" s="36"/>
      <c r="O63" s="299">
        <v>7.1</v>
      </c>
      <c r="P63" s="8">
        <v>20.5</v>
      </c>
    </row>
    <row r="64" spans="1:16" ht="14.45" x14ac:dyDescent="0.3">
      <c r="A64" s="291">
        <v>42</v>
      </c>
      <c r="B64" s="36"/>
      <c r="C64" s="289" t="s">
        <v>317</v>
      </c>
      <c r="D64" s="36"/>
      <c r="E64" s="336" t="s">
        <v>96</v>
      </c>
      <c r="F64" s="299"/>
      <c r="G64" s="324"/>
      <c r="H64" s="299">
        <v>4</v>
      </c>
      <c r="I64" s="299"/>
      <c r="J64" s="299"/>
      <c r="K64" s="8">
        <f t="shared" si="0"/>
        <v>4</v>
      </c>
      <c r="L64" s="6">
        <f t="shared" si="3"/>
        <v>200</v>
      </c>
      <c r="M64">
        <f t="shared" si="2"/>
        <v>800</v>
      </c>
      <c r="N64" s="36"/>
      <c r="O64" s="299">
        <v>1.6</v>
      </c>
    </row>
    <row r="65" spans="1:16" ht="14.45" x14ac:dyDescent="0.3">
      <c r="A65" s="291">
        <v>44</v>
      </c>
      <c r="B65" s="36"/>
      <c r="C65" s="289" t="s">
        <v>372</v>
      </c>
      <c r="D65" s="36"/>
      <c r="E65" s="336" t="s">
        <v>124</v>
      </c>
      <c r="F65" s="299"/>
      <c r="G65" s="324"/>
      <c r="H65" s="299">
        <v>102</v>
      </c>
      <c r="I65" s="299"/>
      <c r="J65" s="299"/>
      <c r="K65" s="8">
        <f t="shared" ref="K65:K126" si="4">SUM(F65:J65)</f>
        <v>102</v>
      </c>
      <c r="L65" s="6">
        <f t="shared" si="3"/>
        <v>200</v>
      </c>
      <c r="M65">
        <f t="shared" ref="M65:M126" si="5">SUM(K65*L65)</f>
        <v>20400</v>
      </c>
      <c r="N65" s="36"/>
      <c r="O65" s="299">
        <v>21.3</v>
      </c>
    </row>
    <row r="66" spans="1:16" ht="14.45" x14ac:dyDescent="0.3">
      <c r="A66" s="36" t="s">
        <v>374</v>
      </c>
      <c r="B66" s="36"/>
      <c r="C66" s="289" t="s">
        <v>321</v>
      </c>
      <c r="D66" s="36"/>
      <c r="E66" s="334" t="s">
        <v>481</v>
      </c>
      <c r="F66" s="299">
        <v>29.3</v>
      </c>
      <c r="G66" s="324"/>
      <c r="H66" s="299"/>
      <c r="I66" s="299"/>
      <c r="J66" s="299"/>
      <c r="K66" s="8">
        <f t="shared" si="4"/>
        <v>29.3</v>
      </c>
      <c r="L66" s="6">
        <f t="shared" si="3"/>
        <v>120</v>
      </c>
      <c r="M66">
        <f t="shared" si="5"/>
        <v>3516</v>
      </c>
      <c r="N66" s="36"/>
      <c r="O66" s="299">
        <v>3.6</v>
      </c>
      <c r="P66" s="8">
        <v>0.8</v>
      </c>
    </row>
    <row r="67" spans="1:16" ht="14.45" x14ac:dyDescent="0.3">
      <c r="A67" s="291">
        <v>45</v>
      </c>
      <c r="B67" s="36"/>
      <c r="C67" s="289" t="s">
        <v>375</v>
      </c>
      <c r="D67" s="36"/>
      <c r="E67" s="336" t="s">
        <v>95</v>
      </c>
      <c r="F67" s="299">
        <v>185</v>
      </c>
      <c r="G67" s="324"/>
      <c r="H67" s="299"/>
      <c r="I67" s="299"/>
      <c r="J67" s="299"/>
      <c r="K67" s="8">
        <f t="shared" si="4"/>
        <v>185</v>
      </c>
      <c r="L67" s="6">
        <f t="shared" si="3"/>
        <v>200</v>
      </c>
      <c r="M67">
        <f t="shared" si="5"/>
        <v>37000</v>
      </c>
      <c r="N67" s="36"/>
      <c r="O67" s="299">
        <v>35.6</v>
      </c>
      <c r="P67" s="8">
        <v>13.2</v>
      </c>
    </row>
    <row r="68" spans="1:16" ht="14.45" x14ac:dyDescent="0.3">
      <c r="A68" s="36" t="s">
        <v>376</v>
      </c>
      <c r="B68" s="36"/>
      <c r="C68" s="289" t="s">
        <v>377</v>
      </c>
      <c r="D68" s="36"/>
      <c r="E68" s="334" t="s">
        <v>481</v>
      </c>
      <c r="F68" s="299">
        <v>19</v>
      </c>
      <c r="G68" s="324"/>
      <c r="H68" s="299"/>
      <c r="I68" s="299"/>
      <c r="J68" s="299"/>
      <c r="K68" s="8">
        <f t="shared" si="4"/>
        <v>19</v>
      </c>
      <c r="L68" s="6">
        <f t="shared" ref="L68:L99" si="6">IF(E68="",0,IF(E68="H",0,VLOOKUP(E68,$F$539:$G$554,2)))</f>
        <v>120</v>
      </c>
      <c r="M68">
        <f t="shared" si="5"/>
        <v>2280</v>
      </c>
      <c r="N68" s="36"/>
      <c r="O68" s="299">
        <v>7.3</v>
      </c>
      <c r="P68" s="8">
        <v>1.6</v>
      </c>
    </row>
    <row r="69" spans="1:16" ht="14.45" x14ac:dyDescent="0.3">
      <c r="A69" s="291" t="s">
        <v>378</v>
      </c>
      <c r="B69" s="36"/>
      <c r="C69" s="289" t="s">
        <v>321</v>
      </c>
      <c r="D69" s="36"/>
      <c r="E69" s="334" t="s">
        <v>481</v>
      </c>
      <c r="F69" s="299">
        <v>11</v>
      </c>
      <c r="G69" s="324"/>
      <c r="H69" s="299"/>
      <c r="I69" s="299"/>
      <c r="J69" s="299"/>
      <c r="K69" s="8">
        <f t="shared" si="4"/>
        <v>11</v>
      </c>
      <c r="L69" s="6">
        <f t="shared" si="6"/>
        <v>120</v>
      </c>
      <c r="M69">
        <f t="shared" si="5"/>
        <v>1320</v>
      </c>
      <c r="N69" s="36"/>
      <c r="O69" s="299">
        <v>7.3</v>
      </c>
      <c r="P69" s="8">
        <v>1.6</v>
      </c>
    </row>
    <row r="70" spans="1:16" ht="14.45" x14ac:dyDescent="0.3">
      <c r="A70" s="36" t="s">
        <v>379</v>
      </c>
      <c r="B70" s="36"/>
      <c r="C70" s="289" t="s">
        <v>321</v>
      </c>
      <c r="D70" s="36"/>
      <c r="E70" s="334" t="s">
        <v>481</v>
      </c>
      <c r="F70" s="299">
        <v>12.3</v>
      </c>
      <c r="G70" s="324"/>
      <c r="H70" s="299"/>
      <c r="I70" s="299"/>
      <c r="J70" s="299"/>
      <c r="K70" s="8">
        <f t="shared" si="4"/>
        <v>12.3</v>
      </c>
      <c r="L70" s="6">
        <f t="shared" si="6"/>
        <v>120</v>
      </c>
      <c r="M70">
        <f t="shared" si="5"/>
        <v>1476</v>
      </c>
      <c r="N70" s="36"/>
      <c r="O70" s="299">
        <v>7.3</v>
      </c>
      <c r="P70" s="8">
        <v>1.6</v>
      </c>
    </row>
    <row r="71" spans="1:16" ht="14.45" x14ac:dyDescent="0.3">
      <c r="A71" s="291" t="s">
        <v>380</v>
      </c>
      <c r="B71" s="36"/>
      <c r="C71" s="289" t="s">
        <v>336</v>
      </c>
      <c r="D71" s="36"/>
      <c r="E71" s="336" t="s">
        <v>123</v>
      </c>
      <c r="F71" s="299"/>
      <c r="G71" s="324"/>
      <c r="H71" s="299"/>
      <c r="I71" s="299"/>
      <c r="J71" s="299">
        <v>9.3000000000000007</v>
      </c>
      <c r="K71" s="8">
        <f t="shared" si="4"/>
        <v>9.3000000000000007</v>
      </c>
      <c r="L71" s="6">
        <f t="shared" si="6"/>
        <v>200</v>
      </c>
      <c r="M71">
        <f t="shared" si="5"/>
        <v>1860.0000000000002</v>
      </c>
      <c r="N71" s="36"/>
      <c r="O71" s="299"/>
    </row>
    <row r="72" spans="1:16" ht="14.45" x14ac:dyDescent="0.3">
      <c r="A72" s="36" t="s">
        <v>381</v>
      </c>
      <c r="B72" s="36"/>
      <c r="C72" s="289" t="s">
        <v>327</v>
      </c>
      <c r="D72" s="36"/>
      <c r="E72" s="336" t="s">
        <v>96</v>
      </c>
      <c r="F72" s="299"/>
      <c r="G72" s="324">
        <v>68</v>
      </c>
      <c r="H72" s="299"/>
      <c r="I72" s="299"/>
      <c r="J72" s="299"/>
      <c r="K72" s="8">
        <f t="shared" si="4"/>
        <v>68</v>
      </c>
      <c r="L72" s="6">
        <f t="shared" si="6"/>
        <v>200</v>
      </c>
      <c r="M72">
        <f t="shared" si="5"/>
        <v>13600</v>
      </c>
      <c r="N72" s="36"/>
      <c r="O72" s="299">
        <v>6.8</v>
      </c>
      <c r="P72" s="8">
        <v>8.5</v>
      </c>
    </row>
    <row r="73" spans="1:16" ht="14.45" x14ac:dyDescent="0.3">
      <c r="A73" s="291" t="s">
        <v>382</v>
      </c>
      <c r="B73" s="36"/>
      <c r="C73" s="289" t="s">
        <v>337</v>
      </c>
      <c r="D73" s="36"/>
      <c r="E73" s="336" t="s">
        <v>123</v>
      </c>
      <c r="F73" s="299"/>
      <c r="G73" s="324"/>
      <c r="H73" s="299"/>
      <c r="I73" s="299"/>
      <c r="J73" s="299">
        <v>9.1</v>
      </c>
      <c r="K73" s="8">
        <f t="shared" si="4"/>
        <v>9.1</v>
      </c>
      <c r="L73" s="6">
        <f t="shared" si="6"/>
        <v>200</v>
      </c>
      <c r="M73">
        <f t="shared" si="5"/>
        <v>1820</v>
      </c>
      <c r="N73" s="36"/>
      <c r="O73" s="299"/>
    </row>
    <row r="74" spans="1:16" ht="14.45" x14ac:dyDescent="0.3">
      <c r="A74" s="291">
        <v>26</v>
      </c>
      <c r="B74" s="36"/>
      <c r="C74" s="289" t="s">
        <v>330</v>
      </c>
      <c r="D74" s="36"/>
      <c r="E74" s="336" t="s">
        <v>95</v>
      </c>
      <c r="F74" s="299"/>
      <c r="G74" s="324">
        <v>50.1</v>
      </c>
      <c r="H74" s="299"/>
      <c r="I74" s="299"/>
      <c r="J74" s="299"/>
      <c r="K74" s="8">
        <f t="shared" si="4"/>
        <v>50.1</v>
      </c>
      <c r="L74" s="6">
        <f t="shared" si="6"/>
        <v>200</v>
      </c>
      <c r="M74">
        <f t="shared" si="5"/>
        <v>10020</v>
      </c>
      <c r="N74" s="36"/>
      <c r="O74" s="299">
        <v>9</v>
      </c>
      <c r="P74" s="8">
        <v>1.6</v>
      </c>
    </row>
    <row r="75" spans="1:16" ht="14.45" x14ac:dyDescent="0.3">
      <c r="A75" s="291" t="s">
        <v>383</v>
      </c>
      <c r="B75" s="36"/>
      <c r="C75" s="289" t="s">
        <v>327</v>
      </c>
      <c r="D75" s="36"/>
      <c r="E75" s="336" t="s">
        <v>96</v>
      </c>
      <c r="F75" s="299"/>
      <c r="G75" s="324">
        <v>79.7</v>
      </c>
      <c r="H75" s="299"/>
      <c r="I75" s="299"/>
      <c r="J75" s="299"/>
      <c r="K75" s="8">
        <f t="shared" si="4"/>
        <v>79.7</v>
      </c>
      <c r="L75" s="6">
        <f t="shared" si="6"/>
        <v>200</v>
      </c>
      <c r="M75">
        <f t="shared" si="5"/>
        <v>15940</v>
      </c>
      <c r="N75" s="36"/>
      <c r="O75" s="299"/>
      <c r="P75" s="8">
        <v>3</v>
      </c>
    </row>
    <row r="76" spans="1:16" ht="14.45" x14ac:dyDescent="0.3">
      <c r="A76" s="297">
        <v>27</v>
      </c>
      <c r="B76" s="293"/>
      <c r="C76" s="312" t="s">
        <v>330</v>
      </c>
      <c r="D76" s="293"/>
      <c r="E76" s="338" t="s">
        <v>95</v>
      </c>
      <c r="F76" s="295"/>
      <c r="G76" s="326">
        <v>50.1</v>
      </c>
      <c r="H76" s="295"/>
      <c r="I76" s="295"/>
      <c r="K76" s="8">
        <f t="shared" si="4"/>
        <v>50.1</v>
      </c>
      <c r="L76" s="6">
        <f t="shared" si="6"/>
        <v>200</v>
      </c>
      <c r="M76">
        <f t="shared" si="5"/>
        <v>10020</v>
      </c>
      <c r="O76" s="8">
        <v>9</v>
      </c>
      <c r="P76" s="8">
        <v>1.6</v>
      </c>
    </row>
    <row r="77" spans="1:16" ht="14.45" x14ac:dyDescent="0.3">
      <c r="A77" s="297">
        <v>28</v>
      </c>
      <c r="B77" s="293"/>
      <c r="C77" s="294" t="s">
        <v>330</v>
      </c>
      <c r="D77" s="294"/>
      <c r="E77" s="335" t="s">
        <v>95</v>
      </c>
      <c r="F77" s="313"/>
      <c r="G77" s="323">
        <v>50.1</v>
      </c>
      <c r="H77" s="313"/>
      <c r="I77" s="313"/>
      <c r="J77" s="301"/>
      <c r="K77" s="8">
        <f t="shared" si="4"/>
        <v>50.1</v>
      </c>
      <c r="L77" s="6">
        <f t="shared" si="6"/>
        <v>200</v>
      </c>
      <c r="M77">
        <f t="shared" si="5"/>
        <v>10020</v>
      </c>
      <c r="O77" s="8">
        <v>9</v>
      </c>
      <c r="P77" s="8">
        <v>1.6</v>
      </c>
    </row>
    <row r="78" spans="1:16" ht="14.45" x14ac:dyDescent="0.3">
      <c r="A78" s="297">
        <v>29</v>
      </c>
      <c r="B78" s="293"/>
      <c r="C78" s="294" t="s">
        <v>330</v>
      </c>
      <c r="D78" s="294"/>
      <c r="E78" s="335" t="s">
        <v>95</v>
      </c>
      <c r="F78" s="313"/>
      <c r="G78" s="323">
        <v>47</v>
      </c>
      <c r="H78" s="313"/>
      <c r="I78" s="313"/>
      <c r="J78" s="301"/>
      <c r="K78" s="8">
        <f t="shared" si="4"/>
        <v>47</v>
      </c>
      <c r="L78" s="6">
        <f t="shared" si="6"/>
        <v>200</v>
      </c>
      <c r="M78">
        <f t="shared" si="5"/>
        <v>9400</v>
      </c>
      <c r="O78" s="8">
        <v>6.8</v>
      </c>
      <c r="P78" s="8">
        <v>1.6</v>
      </c>
    </row>
    <row r="79" spans="1:16" ht="14.45" x14ac:dyDescent="0.3">
      <c r="A79" s="293" t="s">
        <v>384</v>
      </c>
      <c r="B79" s="293"/>
      <c r="C79" s="294" t="s">
        <v>327</v>
      </c>
      <c r="D79" s="294"/>
      <c r="E79" s="335" t="s">
        <v>96</v>
      </c>
      <c r="F79" s="313"/>
      <c r="G79" s="323">
        <v>58.5</v>
      </c>
      <c r="H79" s="313"/>
      <c r="I79" s="313"/>
      <c r="J79" s="301"/>
      <c r="K79" s="8">
        <f t="shared" si="4"/>
        <v>58.5</v>
      </c>
      <c r="L79" s="6">
        <f t="shared" si="6"/>
        <v>200</v>
      </c>
      <c r="M79">
        <f t="shared" si="5"/>
        <v>11700</v>
      </c>
      <c r="O79" s="8">
        <v>48.1</v>
      </c>
      <c r="P79" s="8">
        <v>4</v>
      </c>
    </row>
    <row r="80" spans="1:16" ht="14.45" x14ac:dyDescent="0.3">
      <c r="A80" s="293" t="s">
        <v>385</v>
      </c>
      <c r="B80" s="293"/>
      <c r="C80" s="294" t="s">
        <v>327</v>
      </c>
      <c r="D80" s="294"/>
      <c r="E80" s="335" t="s">
        <v>96</v>
      </c>
      <c r="F80" s="313"/>
      <c r="G80" s="323">
        <v>107</v>
      </c>
      <c r="H80" s="313"/>
      <c r="I80" s="313"/>
      <c r="J80" s="301"/>
      <c r="K80" s="8">
        <f t="shared" si="4"/>
        <v>107</v>
      </c>
      <c r="L80" s="6">
        <f t="shared" si="6"/>
        <v>200</v>
      </c>
      <c r="M80">
        <f t="shared" si="5"/>
        <v>21400</v>
      </c>
      <c r="O80" s="8">
        <v>70.3</v>
      </c>
      <c r="P80" s="8">
        <v>4</v>
      </c>
    </row>
    <row r="81" spans="1:16" ht="14.45" x14ac:dyDescent="0.3">
      <c r="A81" s="293" t="s">
        <v>386</v>
      </c>
      <c r="B81" s="293"/>
      <c r="C81" s="213" t="s">
        <v>387</v>
      </c>
      <c r="D81" s="293"/>
      <c r="E81" s="335" t="s">
        <v>125</v>
      </c>
      <c r="F81" s="295"/>
      <c r="G81" s="323"/>
      <c r="H81" s="295"/>
      <c r="I81" s="295"/>
      <c r="J81" s="8">
        <v>384</v>
      </c>
      <c r="K81" s="8">
        <f t="shared" si="4"/>
        <v>384</v>
      </c>
      <c r="L81" s="6">
        <f t="shared" si="6"/>
        <v>200</v>
      </c>
      <c r="M81">
        <f t="shared" si="5"/>
        <v>76800</v>
      </c>
      <c r="O81" s="8">
        <v>26.4</v>
      </c>
      <c r="P81" s="8">
        <v>1</v>
      </c>
    </row>
    <row r="82" spans="1:16" ht="14.45" x14ac:dyDescent="0.3">
      <c r="A82" s="293" t="s">
        <v>388</v>
      </c>
      <c r="B82" s="293"/>
      <c r="C82" s="213" t="s">
        <v>389</v>
      </c>
      <c r="D82" s="293"/>
      <c r="E82" s="337" t="s">
        <v>123</v>
      </c>
      <c r="F82" s="295"/>
      <c r="G82" s="323"/>
      <c r="H82" s="295"/>
      <c r="I82" s="295"/>
      <c r="J82" s="8">
        <v>9</v>
      </c>
      <c r="K82" s="8">
        <f t="shared" si="4"/>
        <v>9</v>
      </c>
      <c r="L82" s="6">
        <f t="shared" si="6"/>
        <v>200</v>
      </c>
      <c r="M82">
        <f t="shared" si="5"/>
        <v>1800</v>
      </c>
      <c r="O82" s="8"/>
      <c r="P82" s="8">
        <v>0.8</v>
      </c>
    </row>
    <row r="83" spans="1:16" ht="14.45" x14ac:dyDescent="0.3">
      <c r="A83" s="293" t="s">
        <v>390</v>
      </c>
      <c r="B83" s="293"/>
      <c r="C83" s="213" t="s">
        <v>391</v>
      </c>
      <c r="D83" s="293"/>
      <c r="E83" s="337" t="s">
        <v>123</v>
      </c>
      <c r="F83" s="295"/>
      <c r="G83" s="323"/>
      <c r="H83" s="295"/>
      <c r="I83" s="295"/>
      <c r="J83" s="8">
        <v>6</v>
      </c>
      <c r="K83" s="8">
        <f t="shared" si="4"/>
        <v>6</v>
      </c>
      <c r="L83" s="6">
        <f t="shared" si="6"/>
        <v>200</v>
      </c>
      <c r="M83">
        <f t="shared" si="5"/>
        <v>1200</v>
      </c>
      <c r="O83" s="8"/>
      <c r="P83" s="8">
        <v>0.8</v>
      </c>
    </row>
    <row r="84" spans="1:16" ht="14.45" x14ac:dyDescent="0.3">
      <c r="A84" s="293" t="s">
        <v>392</v>
      </c>
      <c r="B84" s="293"/>
      <c r="C84" s="213" t="s">
        <v>393</v>
      </c>
      <c r="D84" s="293"/>
      <c r="E84" s="337" t="s">
        <v>125</v>
      </c>
      <c r="F84" s="295"/>
      <c r="G84" s="323"/>
      <c r="H84" s="295"/>
      <c r="I84" s="295"/>
      <c r="J84" s="8">
        <v>97</v>
      </c>
      <c r="K84" s="8">
        <f t="shared" si="4"/>
        <v>97</v>
      </c>
      <c r="L84" s="6">
        <f t="shared" si="6"/>
        <v>200</v>
      </c>
      <c r="M84">
        <f t="shared" si="5"/>
        <v>19400</v>
      </c>
      <c r="O84" s="8">
        <v>17</v>
      </c>
      <c r="P84" s="8">
        <v>9</v>
      </c>
    </row>
    <row r="85" spans="1:16" ht="14.45" x14ac:dyDescent="0.3">
      <c r="A85" s="293" t="s">
        <v>394</v>
      </c>
      <c r="B85" s="293"/>
      <c r="C85" s="213" t="s">
        <v>393</v>
      </c>
      <c r="D85" s="293"/>
      <c r="E85" s="335" t="s">
        <v>125</v>
      </c>
      <c r="F85" s="295"/>
      <c r="G85" s="323"/>
      <c r="H85" s="295"/>
      <c r="I85" s="295"/>
      <c r="J85" s="8">
        <v>84</v>
      </c>
      <c r="K85" s="8">
        <f t="shared" si="4"/>
        <v>84</v>
      </c>
      <c r="L85" s="6">
        <f t="shared" si="6"/>
        <v>200</v>
      </c>
      <c r="M85">
        <f t="shared" si="5"/>
        <v>16800</v>
      </c>
      <c r="O85" s="8">
        <v>14</v>
      </c>
      <c r="P85" s="8">
        <v>7</v>
      </c>
    </row>
    <row r="86" spans="1:16" ht="14.45" x14ac:dyDescent="0.3">
      <c r="A86" s="293" t="s">
        <v>395</v>
      </c>
      <c r="B86" s="293"/>
      <c r="C86" s="213" t="s">
        <v>396</v>
      </c>
      <c r="D86" s="293"/>
      <c r="E86" s="339" t="s">
        <v>481</v>
      </c>
      <c r="F86" s="295"/>
      <c r="G86" s="323"/>
      <c r="H86" s="295"/>
      <c r="I86" s="295"/>
      <c r="J86" s="8">
        <v>30</v>
      </c>
      <c r="K86" s="8">
        <f t="shared" si="4"/>
        <v>30</v>
      </c>
      <c r="L86" s="6">
        <v>120</v>
      </c>
      <c r="M86">
        <f t="shared" si="5"/>
        <v>3600</v>
      </c>
      <c r="O86" s="8">
        <v>4</v>
      </c>
      <c r="P86" s="8">
        <v>14</v>
      </c>
    </row>
    <row r="87" spans="1:16" ht="14.45" x14ac:dyDescent="0.3">
      <c r="A87" s="293" t="s">
        <v>397</v>
      </c>
      <c r="B87" s="293"/>
      <c r="C87" s="213" t="s">
        <v>321</v>
      </c>
      <c r="D87" s="293"/>
      <c r="E87" s="334" t="s">
        <v>481</v>
      </c>
      <c r="F87" s="295">
        <v>18.899999999999999</v>
      </c>
      <c r="G87" s="323"/>
      <c r="H87" s="295"/>
      <c r="I87" s="295"/>
      <c r="K87" s="8">
        <f t="shared" si="4"/>
        <v>18.899999999999999</v>
      </c>
      <c r="L87" s="6">
        <f t="shared" si="6"/>
        <v>120</v>
      </c>
      <c r="M87">
        <f t="shared" si="5"/>
        <v>2268</v>
      </c>
      <c r="O87" s="8">
        <v>3.5</v>
      </c>
    </row>
    <row r="88" spans="1:16" ht="14.45" x14ac:dyDescent="0.3">
      <c r="A88" s="297">
        <v>52</v>
      </c>
      <c r="B88" s="293"/>
      <c r="C88" s="213" t="s">
        <v>330</v>
      </c>
      <c r="D88" s="293"/>
      <c r="E88" s="337" t="s">
        <v>95</v>
      </c>
      <c r="F88" s="295"/>
      <c r="G88" s="323">
        <v>61.3</v>
      </c>
      <c r="H88" s="295"/>
      <c r="I88" s="295"/>
      <c r="K88" s="8">
        <f t="shared" si="4"/>
        <v>61.3</v>
      </c>
      <c r="L88" s="6">
        <f t="shared" si="6"/>
        <v>200</v>
      </c>
      <c r="M88">
        <f t="shared" si="5"/>
        <v>12260</v>
      </c>
      <c r="O88" s="8">
        <v>14.6</v>
      </c>
      <c r="P88" s="8">
        <v>0.8</v>
      </c>
    </row>
    <row r="89" spans="1:16" ht="14.45" x14ac:dyDescent="0.3">
      <c r="A89" s="297">
        <v>51</v>
      </c>
      <c r="B89" s="293"/>
      <c r="C89" s="213" t="s">
        <v>330</v>
      </c>
      <c r="D89" s="293"/>
      <c r="E89" s="337" t="s">
        <v>95</v>
      </c>
      <c r="F89" s="295"/>
      <c r="G89" s="323">
        <v>53</v>
      </c>
      <c r="H89" s="295"/>
      <c r="I89" s="295"/>
      <c r="K89" s="8">
        <f t="shared" si="4"/>
        <v>53</v>
      </c>
      <c r="L89" s="6">
        <f t="shared" si="6"/>
        <v>200</v>
      </c>
      <c r="M89">
        <f t="shared" si="5"/>
        <v>10600</v>
      </c>
      <c r="O89" s="8">
        <v>7.3</v>
      </c>
      <c r="P89" s="8">
        <v>0.8</v>
      </c>
    </row>
    <row r="90" spans="1:16" ht="14.45" x14ac:dyDescent="0.3">
      <c r="A90" s="297">
        <v>50</v>
      </c>
      <c r="B90" s="293"/>
      <c r="C90" s="213" t="s">
        <v>398</v>
      </c>
      <c r="D90" s="293"/>
      <c r="E90" s="337" t="s">
        <v>481</v>
      </c>
      <c r="F90" s="295"/>
      <c r="G90" s="323">
        <v>23.5</v>
      </c>
      <c r="H90" s="295"/>
      <c r="I90" s="295"/>
      <c r="K90" s="8">
        <f t="shared" si="4"/>
        <v>23.5</v>
      </c>
      <c r="L90" s="6">
        <f t="shared" si="6"/>
        <v>120</v>
      </c>
      <c r="M90">
        <f t="shared" si="5"/>
        <v>2820</v>
      </c>
      <c r="O90" s="8">
        <v>11</v>
      </c>
      <c r="P90" s="8">
        <v>0.8</v>
      </c>
    </row>
    <row r="91" spans="1:16" ht="14.45" x14ac:dyDescent="0.3">
      <c r="A91" s="293" t="s">
        <v>399</v>
      </c>
      <c r="B91" s="293"/>
      <c r="C91" s="213" t="s">
        <v>400</v>
      </c>
      <c r="D91" s="293"/>
      <c r="E91" s="337" t="s">
        <v>96</v>
      </c>
      <c r="F91" s="295"/>
      <c r="G91" s="323">
        <v>15.8</v>
      </c>
      <c r="H91" s="295"/>
      <c r="I91" s="295"/>
      <c r="K91" s="8">
        <f t="shared" si="4"/>
        <v>15.8</v>
      </c>
      <c r="L91" s="6">
        <f t="shared" si="6"/>
        <v>200</v>
      </c>
      <c r="M91">
        <f t="shared" si="5"/>
        <v>3160</v>
      </c>
      <c r="O91" s="8">
        <v>3</v>
      </c>
      <c r="P91" s="8">
        <v>5</v>
      </c>
    </row>
    <row r="92" spans="1:16" ht="14.45" x14ac:dyDescent="0.3">
      <c r="A92" s="293" t="s">
        <v>401</v>
      </c>
      <c r="B92" s="293"/>
      <c r="C92" s="213" t="s">
        <v>402</v>
      </c>
      <c r="D92" s="293"/>
      <c r="E92" s="337" t="s">
        <v>97</v>
      </c>
      <c r="F92" s="295"/>
      <c r="G92" s="323"/>
      <c r="H92" s="295">
        <v>87.8</v>
      </c>
      <c r="I92" s="295"/>
      <c r="K92" s="8">
        <f t="shared" si="4"/>
        <v>87.8</v>
      </c>
      <c r="L92" s="6">
        <f t="shared" si="6"/>
        <v>200</v>
      </c>
      <c r="M92">
        <f t="shared" si="5"/>
        <v>17560</v>
      </c>
      <c r="O92" s="8">
        <v>2</v>
      </c>
      <c r="P92" s="8">
        <v>2</v>
      </c>
    </row>
    <row r="93" spans="1:16" ht="14.45" x14ac:dyDescent="0.3">
      <c r="A93" s="293" t="s">
        <v>403</v>
      </c>
      <c r="B93" s="293"/>
      <c r="C93" s="213" t="s">
        <v>327</v>
      </c>
      <c r="D93" s="293"/>
      <c r="E93" s="337" t="s">
        <v>96</v>
      </c>
      <c r="F93" s="295"/>
      <c r="G93" s="323">
        <v>75.3</v>
      </c>
      <c r="H93" s="295"/>
      <c r="I93" s="295"/>
      <c r="K93" s="8">
        <f t="shared" si="4"/>
        <v>75.3</v>
      </c>
      <c r="L93" s="6">
        <f t="shared" si="6"/>
        <v>200</v>
      </c>
      <c r="M93">
        <f t="shared" si="5"/>
        <v>15060</v>
      </c>
      <c r="O93" s="8"/>
      <c r="P93" s="8">
        <v>5</v>
      </c>
    </row>
    <row r="94" spans="1:16" ht="14.45" x14ac:dyDescent="0.3">
      <c r="A94" s="297">
        <v>30</v>
      </c>
      <c r="B94" s="293"/>
      <c r="C94" s="213" t="s">
        <v>330</v>
      </c>
      <c r="D94" s="293"/>
      <c r="E94" s="337" t="s">
        <v>95</v>
      </c>
      <c r="F94" s="295"/>
      <c r="G94" s="323">
        <v>51</v>
      </c>
      <c r="H94" s="295"/>
      <c r="I94" s="295"/>
      <c r="K94" s="8">
        <f t="shared" si="4"/>
        <v>51</v>
      </c>
      <c r="L94" s="6">
        <f t="shared" si="6"/>
        <v>200</v>
      </c>
      <c r="M94">
        <f t="shared" si="5"/>
        <v>10200</v>
      </c>
      <c r="O94" s="8">
        <v>9</v>
      </c>
      <c r="P94" s="8">
        <v>1.6</v>
      </c>
    </row>
    <row r="95" spans="1:16" ht="14.45" x14ac:dyDescent="0.3">
      <c r="A95" s="297">
        <v>31</v>
      </c>
      <c r="B95" s="293"/>
      <c r="C95" s="213" t="s">
        <v>330</v>
      </c>
      <c r="D95" s="293"/>
      <c r="E95" s="337" t="s">
        <v>95</v>
      </c>
      <c r="F95" s="295"/>
      <c r="G95" s="323">
        <v>62.4</v>
      </c>
      <c r="H95" s="295"/>
      <c r="I95" s="295"/>
      <c r="K95" s="8">
        <f t="shared" si="4"/>
        <v>62.4</v>
      </c>
      <c r="L95" s="6">
        <f t="shared" si="6"/>
        <v>200</v>
      </c>
      <c r="M95">
        <f t="shared" si="5"/>
        <v>12480</v>
      </c>
      <c r="O95" s="8">
        <v>9</v>
      </c>
      <c r="P95" s="8">
        <v>1.6</v>
      </c>
    </row>
    <row r="96" spans="1:16" ht="14.45" x14ac:dyDescent="0.3">
      <c r="A96" s="297">
        <v>32</v>
      </c>
      <c r="B96" s="293"/>
      <c r="C96" s="213" t="s">
        <v>404</v>
      </c>
      <c r="D96" s="293"/>
      <c r="E96" s="337" t="s">
        <v>95</v>
      </c>
      <c r="F96" s="295">
        <v>29.1</v>
      </c>
      <c r="G96" s="323"/>
      <c r="H96" s="295"/>
      <c r="I96" s="295"/>
      <c r="K96" s="8">
        <f t="shared" si="4"/>
        <v>29.1</v>
      </c>
      <c r="L96" s="6">
        <f t="shared" si="6"/>
        <v>200</v>
      </c>
      <c r="M96">
        <f t="shared" si="5"/>
        <v>5820</v>
      </c>
      <c r="O96" s="8">
        <v>6.8</v>
      </c>
      <c r="P96" s="8">
        <v>1.6</v>
      </c>
    </row>
    <row r="97" spans="1:16" ht="14.45" x14ac:dyDescent="0.3">
      <c r="A97" s="297">
        <v>33</v>
      </c>
      <c r="B97" s="293"/>
      <c r="C97" s="213" t="s">
        <v>330</v>
      </c>
      <c r="D97" s="293"/>
      <c r="E97" s="337" t="s">
        <v>95</v>
      </c>
      <c r="F97" s="295"/>
      <c r="G97" s="323">
        <v>50.1</v>
      </c>
      <c r="H97" s="295"/>
      <c r="I97" s="295"/>
      <c r="K97" s="8">
        <f t="shared" si="4"/>
        <v>50.1</v>
      </c>
      <c r="L97" s="6">
        <f t="shared" si="6"/>
        <v>200</v>
      </c>
      <c r="M97">
        <f t="shared" si="5"/>
        <v>10020</v>
      </c>
      <c r="O97" s="8">
        <v>9</v>
      </c>
      <c r="P97" s="8">
        <v>1.6</v>
      </c>
    </row>
    <row r="98" spans="1:16" ht="14.45" x14ac:dyDescent="0.3">
      <c r="A98" s="293" t="s">
        <v>405</v>
      </c>
      <c r="B98" s="293"/>
      <c r="C98" s="213" t="s">
        <v>317</v>
      </c>
      <c r="D98" s="293"/>
      <c r="E98" s="337" t="s">
        <v>96</v>
      </c>
      <c r="F98" s="295">
        <v>58</v>
      </c>
      <c r="G98" s="323"/>
      <c r="H98" s="295"/>
      <c r="I98" s="295"/>
      <c r="K98" s="8">
        <f t="shared" si="4"/>
        <v>58</v>
      </c>
      <c r="L98" s="6">
        <f t="shared" si="6"/>
        <v>200</v>
      </c>
      <c r="M98">
        <f t="shared" si="5"/>
        <v>11600</v>
      </c>
      <c r="O98" s="8">
        <v>10</v>
      </c>
    </row>
    <row r="99" spans="1:16" ht="14.45" x14ac:dyDescent="0.3">
      <c r="A99" s="293" t="s">
        <v>406</v>
      </c>
      <c r="B99" s="293"/>
      <c r="C99" s="213" t="s">
        <v>407</v>
      </c>
      <c r="D99" s="293"/>
      <c r="E99" s="337" t="s">
        <v>96</v>
      </c>
      <c r="F99" s="295"/>
      <c r="G99" s="323"/>
      <c r="H99" s="295">
        <v>400</v>
      </c>
      <c r="I99" s="295"/>
      <c r="K99" s="8">
        <f t="shared" si="4"/>
        <v>400</v>
      </c>
      <c r="L99" s="6">
        <f t="shared" si="6"/>
        <v>200</v>
      </c>
      <c r="M99">
        <f t="shared" si="5"/>
        <v>80000</v>
      </c>
      <c r="O99" s="8">
        <v>88.1</v>
      </c>
    </row>
    <row r="100" spans="1:16" x14ac:dyDescent="0.25">
      <c r="A100" s="293" t="s">
        <v>408</v>
      </c>
      <c r="B100" s="293"/>
      <c r="C100" s="213" t="s">
        <v>409</v>
      </c>
      <c r="D100" s="293"/>
      <c r="E100" s="337" t="s">
        <v>481</v>
      </c>
      <c r="F100" s="295"/>
      <c r="G100" s="323"/>
      <c r="H100" s="295">
        <v>8.1</v>
      </c>
      <c r="I100" s="295"/>
      <c r="K100" s="8">
        <f t="shared" si="4"/>
        <v>8.1</v>
      </c>
      <c r="L100" s="6">
        <v>120</v>
      </c>
      <c r="M100">
        <f t="shared" si="5"/>
        <v>972</v>
      </c>
      <c r="O100" s="8">
        <v>4.5</v>
      </c>
      <c r="P100" s="8">
        <v>14.4</v>
      </c>
    </row>
    <row r="101" spans="1:16" ht="14.45" x14ac:dyDescent="0.3">
      <c r="A101" s="297" t="s">
        <v>410</v>
      </c>
      <c r="B101" s="293"/>
      <c r="C101" s="213" t="s">
        <v>321</v>
      </c>
      <c r="D101" s="293"/>
      <c r="E101" s="334" t="s">
        <v>481</v>
      </c>
      <c r="F101" s="295"/>
      <c r="G101" s="323"/>
      <c r="H101" s="295">
        <v>14.5</v>
      </c>
      <c r="I101" s="295"/>
      <c r="K101" s="8">
        <f t="shared" si="4"/>
        <v>14.5</v>
      </c>
      <c r="L101" s="6">
        <f t="shared" ref="L101:L131" si="7">IF(E101="",0,IF(E101="H",0,VLOOKUP(E101,$F$539:$G$554,2)))</f>
        <v>120</v>
      </c>
      <c r="M101">
        <f t="shared" si="5"/>
        <v>1740</v>
      </c>
      <c r="O101" s="8"/>
    </row>
    <row r="102" spans="1:16" ht="14.45" x14ac:dyDescent="0.3">
      <c r="A102" s="293" t="s">
        <v>411</v>
      </c>
      <c r="B102" s="293"/>
      <c r="C102" s="213" t="s">
        <v>327</v>
      </c>
      <c r="D102" s="293"/>
      <c r="E102" s="337" t="s">
        <v>96</v>
      </c>
      <c r="F102" s="295"/>
      <c r="G102" s="323"/>
      <c r="H102" s="295"/>
      <c r="I102" s="295"/>
      <c r="J102" s="8">
        <v>25.9</v>
      </c>
      <c r="K102" s="8">
        <f t="shared" si="4"/>
        <v>25.9</v>
      </c>
      <c r="L102" s="6">
        <f t="shared" si="7"/>
        <v>200</v>
      </c>
      <c r="M102">
        <f t="shared" si="5"/>
        <v>5180</v>
      </c>
      <c r="O102" s="8"/>
    </row>
    <row r="103" spans="1:16" ht="14.45" x14ac:dyDescent="0.3">
      <c r="A103" s="293" t="s">
        <v>412</v>
      </c>
      <c r="B103" s="293"/>
      <c r="C103" s="213" t="s">
        <v>327</v>
      </c>
      <c r="D103" s="293"/>
      <c r="E103" s="337" t="s">
        <v>96</v>
      </c>
      <c r="F103" s="295"/>
      <c r="G103" s="323"/>
      <c r="H103" s="295"/>
      <c r="I103" s="295"/>
      <c r="J103" s="8">
        <v>81.7</v>
      </c>
      <c r="K103" s="8">
        <f t="shared" si="4"/>
        <v>81.7</v>
      </c>
      <c r="L103" s="6">
        <f t="shared" si="7"/>
        <v>200</v>
      </c>
      <c r="M103">
        <f t="shared" si="5"/>
        <v>16340</v>
      </c>
      <c r="O103" s="8"/>
    </row>
    <row r="104" spans="1:16" ht="14.45" x14ac:dyDescent="0.3">
      <c r="A104" s="293" t="s">
        <v>413</v>
      </c>
      <c r="B104" s="293"/>
      <c r="C104" s="213" t="s">
        <v>391</v>
      </c>
      <c r="D104" s="293"/>
      <c r="E104" s="337" t="s">
        <v>123</v>
      </c>
      <c r="F104" s="295"/>
      <c r="G104" s="323"/>
      <c r="H104" s="295"/>
      <c r="I104" s="295"/>
      <c r="J104" s="8">
        <v>7.4</v>
      </c>
      <c r="K104" s="8">
        <f t="shared" si="4"/>
        <v>7.4</v>
      </c>
      <c r="L104" s="6">
        <f t="shared" si="7"/>
        <v>200</v>
      </c>
      <c r="M104">
        <f>SUM(K104*L104)</f>
        <v>1480</v>
      </c>
      <c r="O104" s="8"/>
    </row>
    <row r="105" spans="1:16" ht="14.45" x14ac:dyDescent="0.3">
      <c r="A105" s="293" t="s">
        <v>414</v>
      </c>
      <c r="B105" s="293"/>
      <c r="C105" s="213" t="s">
        <v>389</v>
      </c>
      <c r="D105" s="293"/>
      <c r="E105" s="337" t="s">
        <v>123</v>
      </c>
      <c r="F105" s="295"/>
      <c r="G105" s="323"/>
      <c r="H105" s="295"/>
      <c r="I105" s="295"/>
      <c r="J105" s="8">
        <v>8.1999999999999993</v>
      </c>
      <c r="K105" s="8">
        <f t="shared" si="4"/>
        <v>8.1999999999999993</v>
      </c>
      <c r="L105" s="6">
        <f t="shared" si="7"/>
        <v>200</v>
      </c>
      <c r="M105">
        <f t="shared" si="5"/>
        <v>1639.9999999999998</v>
      </c>
      <c r="O105" s="8"/>
    </row>
    <row r="106" spans="1:16" ht="14.45" x14ac:dyDescent="0.3">
      <c r="A106" s="293" t="s">
        <v>415</v>
      </c>
      <c r="B106" s="293"/>
      <c r="C106" s="213" t="s">
        <v>335</v>
      </c>
      <c r="D106" s="293"/>
      <c r="E106" s="337" t="s">
        <v>96</v>
      </c>
      <c r="F106" s="295"/>
      <c r="G106" s="323"/>
      <c r="H106" s="295"/>
      <c r="I106" s="295">
        <v>10</v>
      </c>
      <c r="J106" s="8">
        <v>7.5</v>
      </c>
      <c r="K106" s="8">
        <f t="shared" si="4"/>
        <v>17.5</v>
      </c>
      <c r="L106" s="6">
        <f t="shared" si="7"/>
        <v>200</v>
      </c>
      <c r="M106">
        <f t="shared" si="5"/>
        <v>3500</v>
      </c>
      <c r="O106" s="8">
        <v>1.4</v>
      </c>
    </row>
    <row r="107" spans="1:16" ht="14.45" x14ac:dyDescent="0.3">
      <c r="A107" s="297">
        <v>9</v>
      </c>
      <c r="B107" s="293"/>
      <c r="C107" s="213" t="s">
        <v>330</v>
      </c>
      <c r="D107" s="293"/>
      <c r="E107" s="337" t="s">
        <v>95</v>
      </c>
      <c r="F107" s="295"/>
      <c r="G107" s="323">
        <v>72.5</v>
      </c>
      <c r="H107" s="295"/>
      <c r="I107" s="295"/>
      <c r="K107" s="8">
        <f t="shared" si="4"/>
        <v>72.5</v>
      </c>
      <c r="L107" s="6">
        <f t="shared" si="7"/>
        <v>200</v>
      </c>
      <c r="M107">
        <f t="shared" si="5"/>
        <v>14500</v>
      </c>
      <c r="O107" s="8">
        <v>10</v>
      </c>
      <c r="P107" s="8">
        <v>1.5</v>
      </c>
    </row>
    <row r="108" spans="1:16" ht="14.45" x14ac:dyDescent="0.3">
      <c r="A108" s="293" t="s">
        <v>416</v>
      </c>
      <c r="B108" s="293"/>
      <c r="C108" s="213" t="s">
        <v>417</v>
      </c>
      <c r="D108" s="293"/>
      <c r="E108" s="337" t="s">
        <v>95</v>
      </c>
      <c r="F108" s="295"/>
      <c r="G108" s="323"/>
      <c r="H108" s="295"/>
      <c r="I108" s="295"/>
      <c r="J108" s="8">
        <v>31.5</v>
      </c>
      <c r="K108" s="8">
        <f t="shared" si="4"/>
        <v>31.5</v>
      </c>
      <c r="L108" s="6">
        <f t="shared" si="7"/>
        <v>200</v>
      </c>
      <c r="M108">
        <f t="shared" si="5"/>
        <v>6300</v>
      </c>
      <c r="O108" s="8">
        <v>9.3000000000000007</v>
      </c>
      <c r="P108" s="8">
        <v>1.5</v>
      </c>
    </row>
    <row r="109" spans="1:16" ht="14.45" x14ac:dyDescent="0.3">
      <c r="A109" s="297">
        <v>8</v>
      </c>
      <c r="B109" s="293"/>
      <c r="C109" s="213" t="s">
        <v>330</v>
      </c>
      <c r="D109" s="293"/>
      <c r="E109" s="337" t="s">
        <v>95</v>
      </c>
      <c r="F109" s="295"/>
      <c r="G109" s="323">
        <v>46.3</v>
      </c>
      <c r="H109" s="295"/>
      <c r="I109" s="295"/>
      <c r="K109" s="8">
        <f t="shared" si="4"/>
        <v>46.3</v>
      </c>
      <c r="L109" s="6">
        <f t="shared" si="7"/>
        <v>200</v>
      </c>
      <c r="M109">
        <f t="shared" si="5"/>
        <v>9260</v>
      </c>
      <c r="O109" s="8">
        <v>5</v>
      </c>
      <c r="P109" s="8">
        <v>1.8</v>
      </c>
    </row>
    <row r="110" spans="1:16" ht="14.45" x14ac:dyDescent="0.3">
      <c r="A110" s="297">
        <v>7</v>
      </c>
      <c r="B110" s="293"/>
      <c r="C110" s="213" t="s">
        <v>330</v>
      </c>
      <c r="D110" s="293"/>
      <c r="E110" s="337" t="s">
        <v>95</v>
      </c>
      <c r="F110" s="295"/>
      <c r="G110" s="323">
        <v>46.3</v>
      </c>
      <c r="H110" s="295"/>
      <c r="I110" s="295"/>
      <c r="K110" s="8">
        <f t="shared" si="4"/>
        <v>46.3</v>
      </c>
      <c r="L110" s="6">
        <f t="shared" si="7"/>
        <v>200</v>
      </c>
      <c r="M110">
        <f t="shared" si="5"/>
        <v>9260</v>
      </c>
      <c r="O110" s="8">
        <v>5</v>
      </c>
      <c r="P110" s="8">
        <v>1.8</v>
      </c>
    </row>
    <row r="111" spans="1:16" ht="14.45" x14ac:dyDescent="0.3">
      <c r="A111" s="297">
        <v>6</v>
      </c>
      <c r="B111" s="293"/>
      <c r="C111" s="213" t="s">
        <v>330</v>
      </c>
      <c r="D111" s="293"/>
      <c r="E111" s="337" t="s">
        <v>95</v>
      </c>
      <c r="F111" s="295"/>
      <c r="G111" s="323">
        <v>43.3</v>
      </c>
      <c r="H111" s="295"/>
      <c r="I111" s="295"/>
      <c r="K111" s="8">
        <f t="shared" si="4"/>
        <v>43.3</v>
      </c>
      <c r="L111" s="6">
        <f t="shared" si="7"/>
        <v>200</v>
      </c>
      <c r="M111">
        <f t="shared" si="5"/>
        <v>8660</v>
      </c>
      <c r="O111" s="8">
        <v>5</v>
      </c>
      <c r="P111" s="8">
        <v>1.8</v>
      </c>
    </row>
    <row r="112" spans="1:16" ht="14.45" x14ac:dyDescent="0.3">
      <c r="A112" s="293" t="s">
        <v>418</v>
      </c>
      <c r="B112" s="293"/>
      <c r="C112" s="320" t="s">
        <v>419</v>
      </c>
      <c r="D112" s="293"/>
      <c r="E112" s="337" t="s">
        <v>481</v>
      </c>
      <c r="F112" s="295">
        <v>25.7</v>
      </c>
      <c r="G112" s="323"/>
      <c r="H112" s="295"/>
      <c r="I112" s="295"/>
      <c r="K112" s="8">
        <f t="shared" si="4"/>
        <v>25.7</v>
      </c>
      <c r="L112" s="6">
        <v>120</v>
      </c>
      <c r="M112">
        <f t="shared" si="5"/>
        <v>3084</v>
      </c>
      <c r="O112" s="8">
        <v>3.6</v>
      </c>
      <c r="P112" s="8">
        <v>1.5</v>
      </c>
    </row>
    <row r="113" spans="1:16" ht="14.45" x14ac:dyDescent="0.3">
      <c r="A113" s="293" t="s">
        <v>420</v>
      </c>
      <c r="B113" s="293"/>
      <c r="C113" s="213" t="s">
        <v>323</v>
      </c>
      <c r="D113" s="293"/>
      <c r="E113" s="337" t="s">
        <v>96</v>
      </c>
      <c r="F113" s="295">
        <v>2.9</v>
      </c>
      <c r="G113" s="323"/>
      <c r="H113" s="295"/>
      <c r="I113" s="295"/>
      <c r="K113" s="8">
        <f t="shared" si="4"/>
        <v>2.9</v>
      </c>
      <c r="L113" s="6">
        <f t="shared" si="7"/>
        <v>200</v>
      </c>
      <c r="M113">
        <f t="shared" si="5"/>
        <v>580</v>
      </c>
      <c r="O113" s="8">
        <v>0.5</v>
      </c>
    </row>
    <row r="114" spans="1:16" ht="14.45" x14ac:dyDescent="0.3">
      <c r="A114" s="293" t="s">
        <v>421</v>
      </c>
      <c r="B114" s="293"/>
      <c r="C114" s="213" t="s">
        <v>321</v>
      </c>
      <c r="D114" s="293"/>
      <c r="E114" s="334" t="s">
        <v>481</v>
      </c>
      <c r="F114" s="295">
        <v>23.1</v>
      </c>
      <c r="G114" s="323"/>
      <c r="H114" s="295"/>
      <c r="I114" s="295"/>
      <c r="K114" s="8">
        <f t="shared" si="4"/>
        <v>23.1</v>
      </c>
      <c r="L114" s="6">
        <f t="shared" si="7"/>
        <v>120</v>
      </c>
      <c r="M114">
        <f t="shared" si="5"/>
        <v>2772</v>
      </c>
      <c r="O114" s="8">
        <v>3.6</v>
      </c>
      <c r="P114" s="8">
        <v>1.5</v>
      </c>
    </row>
    <row r="115" spans="1:16" ht="14.45" x14ac:dyDescent="0.3">
      <c r="A115" s="293" t="s">
        <v>422</v>
      </c>
      <c r="B115" s="293"/>
      <c r="C115" s="213" t="s">
        <v>423</v>
      </c>
      <c r="D115" s="293"/>
      <c r="E115" s="337" t="s">
        <v>478</v>
      </c>
      <c r="F115" s="295">
        <v>109.5</v>
      </c>
      <c r="G115" s="323"/>
      <c r="H115" s="295"/>
      <c r="I115" s="295"/>
      <c r="K115" s="8">
        <f t="shared" si="4"/>
        <v>109.5</v>
      </c>
      <c r="L115" s="6">
        <f t="shared" si="7"/>
        <v>200</v>
      </c>
      <c r="M115">
        <f t="shared" si="5"/>
        <v>21900</v>
      </c>
      <c r="O115" s="8">
        <v>12</v>
      </c>
      <c r="P115" s="8">
        <v>3</v>
      </c>
    </row>
    <row r="116" spans="1:16" ht="14.45" x14ac:dyDescent="0.3">
      <c r="A116" s="293" t="s">
        <v>424</v>
      </c>
      <c r="B116" s="293"/>
      <c r="C116" s="213" t="s">
        <v>321</v>
      </c>
      <c r="D116" s="293"/>
      <c r="E116" s="334" t="s">
        <v>481</v>
      </c>
      <c r="F116" s="295">
        <v>39</v>
      </c>
      <c r="G116" s="323"/>
      <c r="H116" s="295"/>
      <c r="I116" s="295"/>
      <c r="K116" s="8">
        <f t="shared" si="4"/>
        <v>39</v>
      </c>
      <c r="L116" s="6">
        <f t="shared" si="7"/>
        <v>120</v>
      </c>
      <c r="M116">
        <f t="shared" si="5"/>
        <v>4680</v>
      </c>
      <c r="O116" s="8">
        <v>4</v>
      </c>
      <c r="P116" s="8">
        <v>2.5</v>
      </c>
    </row>
    <row r="117" spans="1:16" ht="14.45" x14ac:dyDescent="0.3">
      <c r="A117" s="293" t="s">
        <v>425</v>
      </c>
      <c r="B117" s="293"/>
      <c r="C117" s="213" t="s">
        <v>321</v>
      </c>
      <c r="D117" s="293"/>
      <c r="E117" s="334" t="s">
        <v>481</v>
      </c>
      <c r="F117" s="295">
        <v>26.5</v>
      </c>
      <c r="G117" s="323"/>
      <c r="H117" s="295"/>
      <c r="I117" s="295"/>
      <c r="K117" s="8">
        <f t="shared" si="4"/>
        <v>26.5</v>
      </c>
      <c r="L117" s="6">
        <f t="shared" si="7"/>
        <v>120</v>
      </c>
      <c r="M117">
        <f t="shared" si="5"/>
        <v>3180</v>
      </c>
      <c r="O117" s="8">
        <v>2</v>
      </c>
      <c r="P117" s="8">
        <v>0.8</v>
      </c>
    </row>
    <row r="118" spans="1:16" ht="14.45" x14ac:dyDescent="0.3">
      <c r="A118" s="293" t="s">
        <v>426</v>
      </c>
      <c r="B118" s="293"/>
      <c r="C118" s="213" t="s">
        <v>323</v>
      </c>
      <c r="D118" s="293"/>
      <c r="E118" s="337" t="s">
        <v>96</v>
      </c>
      <c r="F118" s="295">
        <v>5.2</v>
      </c>
      <c r="G118" s="323"/>
      <c r="H118" s="295"/>
      <c r="I118" s="295"/>
      <c r="K118" s="8">
        <f>SUM(F118:J118)</f>
        <v>5.2</v>
      </c>
      <c r="L118" s="6">
        <f t="shared" si="7"/>
        <v>200</v>
      </c>
      <c r="M118">
        <f t="shared" si="5"/>
        <v>1040</v>
      </c>
      <c r="O118" s="8">
        <v>1.5</v>
      </c>
    </row>
    <row r="119" spans="1:16" ht="14.45" x14ac:dyDescent="0.3">
      <c r="A119" s="293" t="s">
        <v>427</v>
      </c>
      <c r="B119" s="293"/>
      <c r="C119" s="213" t="s">
        <v>327</v>
      </c>
      <c r="D119" s="293"/>
      <c r="E119" s="337" t="s">
        <v>96</v>
      </c>
      <c r="F119" s="295"/>
      <c r="G119" s="323"/>
      <c r="H119" s="295"/>
      <c r="I119" s="295"/>
      <c r="J119" s="8">
        <v>10</v>
      </c>
      <c r="K119" s="8">
        <f t="shared" si="4"/>
        <v>10</v>
      </c>
      <c r="L119" s="6">
        <f t="shared" si="7"/>
        <v>200</v>
      </c>
      <c r="M119">
        <f t="shared" si="5"/>
        <v>2000</v>
      </c>
      <c r="O119" s="8">
        <v>4.5</v>
      </c>
    </row>
    <row r="120" spans="1:16" ht="14.45" x14ac:dyDescent="0.3">
      <c r="A120" s="293" t="s">
        <v>428</v>
      </c>
      <c r="B120" s="293"/>
      <c r="C120" s="213" t="s">
        <v>321</v>
      </c>
      <c r="D120" s="293"/>
      <c r="E120" s="334" t="s">
        <v>481</v>
      </c>
      <c r="F120" s="295">
        <v>13.3</v>
      </c>
      <c r="G120" s="323"/>
      <c r="H120" s="295"/>
      <c r="I120" s="295"/>
      <c r="K120" s="8">
        <f t="shared" si="4"/>
        <v>13.3</v>
      </c>
      <c r="L120" s="6">
        <f t="shared" si="7"/>
        <v>120</v>
      </c>
      <c r="M120">
        <f t="shared" si="5"/>
        <v>1596</v>
      </c>
      <c r="O120" s="8">
        <v>1</v>
      </c>
    </row>
    <row r="121" spans="1:16" ht="14.45" x14ac:dyDescent="0.3">
      <c r="A121" s="293" t="s">
        <v>429</v>
      </c>
      <c r="B121" s="293"/>
      <c r="C121" s="213" t="s">
        <v>430</v>
      </c>
      <c r="D121" s="293"/>
      <c r="E121" s="337" t="s">
        <v>123</v>
      </c>
      <c r="F121" s="295"/>
      <c r="G121" s="323"/>
      <c r="H121" s="295">
        <v>2.8</v>
      </c>
      <c r="I121" s="295"/>
      <c r="K121" s="8">
        <f t="shared" si="4"/>
        <v>2.8</v>
      </c>
      <c r="L121" s="6">
        <f t="shared" si="7"/>
        <v>200</v>
      </c>
      <c r="M121">
        <f t="shared" si="5"/>
        <v>560</v>
      </c>
      <c r="O121" s="8"/>
    </row>
    <row r="122" spans="1:16" ht="14.45" x14ac:dyDescent="0.3">
      <c r="A122" s="297">
        <v>34</v>
      </c>
      <c r="B122" s="293"/>
      <c r="C122" s="213" t="s">
        <v>330</v>
      </c>
      <c r="D122" s="293"/>
      <c r="E122" s="337" t="s">
        <v>95</v>
      </c>
      <c r="F122" s="295"/>
      <c r="G122" s="323">
        <v>50.1</v>
      </c>
      <c r="H122" s="295"/>
      <c r="I122" s="295"/>
      <c r="K122" s="8">
        <f t="shared" si="4"/>
        <v>50.1</v>
      </c>
      <c r="L122" s="6">
        <f t="shared" si="7"/>
        <v>200</v>
      </c>
      <c r="M122">
        <f t="shared" si="5"/>
        <v>10020</v>
      </c>
      <c r="O122" s="8">
        <v>9</v>
      </c>
      <c r="P122" s="8">
        <v>1.6</v>
      </c>
    </row>
    <row r="123" spans="1:16" ht="14.45" x14ac:dyDescent="0.3">
      <c r="A123" s="293" t="s">
        <v>431</v>
      </c>
      <c r="B123" s="293"/>
      <c r="C123" s="213" t="s">
        <v>432</v>
      </c>
      <c r="D123" s="293"/>
      <c r="E123" s="337" t="s">
        <v>96</v>
      </c>
      <c r="F123" s="295"/>
      <c r="G123" s="323">
        <v>22.3</v>
      </c>
      <c r="H123" s="295"/>
      <c r="I123" s="295"/>
      <c r="K123" s="8">
        <f t="shared" si="4"/>
        <v>22.3</v>
      </c>
      <c r="L123" s="6">
        <f t="shared" si="7"/>
        <v>200</v>
      </c>
      <c r="M123">
        <f t="shared" si="5"/>
        <v>4460</v>
      </c>
      <c r="O123" s="8">
        <v>4.5</v>
      </c>
    </row>
    <row r="124" spans="1:16" ht="14.45" x14ac:dyDescent="0.3">
      <c r="A124" s="293" t="s">
        <v>433</v>
      </c>
      <c r="B124" s="293"/>
      <c r="C124" s="213" t="s">
        <v>434</v>
      </c>
      <c r="D124" s="293"/>
      <c r="E124" s="334" t="s">
        <v>482</v>
      </c>
      <c r="F124" s="295"/>
      <c r="G124" s="323">
        <v>6</v>
      </c>
      <c r="H124" s="295"/>
      <c r="I124" s="295"/>
      <c r="K124" s="8">
        <f t="shared" si="4"/>
        <v>6</v>
      </c>
      <c r="L124" s="6">
        <f t="shared" si="7"/>
        <v>200</v>
      </c>
      <c r="M124">
        <f t="shared" si="5"/>
        <v>1200</v>
      </c>
      <c r="O124" s="8">
        <v>0.8</v>
      </c>
      <c r="P124" s="8">
        <v>1</v>
      </c>
    </row>
    <row r="125" spans="1:16" ht="14.45" x14ac:dyDescent="0.3">
      <c r="A125" s="293" t="s">
        <v>435</v>
      </c>
      <c r="B125" s="293"/>
      <c r="C125" s="213" t="s">
        <v>436</v>
      </c>
      <c r="D125" s="293"/>
      <c r="E125" s="337" t="s">
        <v>482</v>
      </c>
      <c r="F125" s="295"/>
      <c r="G125" s="323"/>
      <c r="H125" s="295"/>
      <c r="I125" s="295"/>
      <c r="J125" s="8">
        <v>15.6</v>
      </c>
      <c r="K125" s="8">
        <f t="shared" si="4"/>
        <v>15.6</v>
      </c>
      <c r="L125" s="6">
        <f t="shared" si="7"/>
        <v>200</v>
      </c>
      <c r="M125">
        <f t="shared" si="5"/>
        <v>3120</v>
      </c>
      <c r="O125" s="8"/>
      <c r="P125" s="8">
        <v>0.5</v>
      </c>
    </row>
    <row r="126" spans="1:16" ht="14.45" x14ac:dyDescent="0.3">
      <c r="A126" s="293" t="s">
        <v>437</v>
      </c>
      <c r="B126" s="293"/>
      <c r="C126" s="213" t="s">
        <v>438</v>
      </c>
      <c r="D126" s="293"/>
      <c r="E126" s="337" t="s">
        <v>123</v>
      </c>
      <c r="F126" s="295"/>
      <c r="G126" s="323"/>
      <c r="H126" s="295"/>
      <c r="I126" s="295"/>
      <c r="J126" s="8">
        <v>9.5</v>
      </c>
      <c r="K126" s="8">
        <f t="shared" si="4"/>
        <v>9.5</v>
      </c>
      <c r="L126" s="6">
        <f t="shared" si="7"/>
        <v>200</v>
      </c>
      <c r="M126">
        <f t="shared" si="5"/>
        <v>1900</v>
      </c>
      <c r="O126" s="8"/>
      <c r="P126" s="8">
        <v>0.5</v>
      </c>
    </row>
    <row r="127" spans="1:16" ht="14.45" x14ac:dyDescent="0.3">
      <c r="A127" s="293" t="s">
        <v>439</v>
      </c>
      <c r="B127" s="293"/>
      <c r="C127" s="213" t="s">
        <v>440</v>
      </c>
      <c r="D127" s="293"/>
      <c r="E127" s="337" t="s">
        <v>123</v>
      </c>
      <c r="F127" s="295"/>
      <c r="G127" s="323"/>
      <c r="H127" s="295"/>
      <c r="I127" s="295"/>
      <c r="J127" s="8">
        <v>1</v>
      </c>
      <c r="K127" s="8">
        <f t="shared" ref="K127:K156" si="8">SUM(F127:J127)</f>
        <v>1</v>
      </c>
      <c r="L127" s="6">
        <f t="shared" si="7"/>
        <v>200</v>
      </c>
      <c r="M127">
        <f t="shared" ref="M127:M156" si="9">SUM(K127*L127)</f>
        <v>200</v>
      </c>
      <c r="O127" s="8"/>
      <c r="P127" s="8">
        <v>0.5</v>
      </c>
    </row>
    <row r="128" spans="1:16" ht="14.45" x14ac:dyDescent="0.3">
      <c r="A128" s="293" t="s">
        <v>441</v>
      </c>
      <c r="B128" s="293"/>
      <c r="C128" s="213" t="s">
        <v>436</v>
      </c>
      <c r="D128" s="293"/>
      <c r="E128" s="337" t="s">
        <v>482</v>
      </c>
      <c r="F128" s="295"/>
      <c r="G128" s="323"/>
      <c r="H128" s="295"/>
      <c r="I128" s="295"/>
      <c r="J128" s="8">
        <v>19</v>
      </c>
      <c r="K128" s="8">
        <f t="shared" si="8"/>
        <v>19</v>
      </c>
      <c r="L128" s="6">
        <f t="shared" si="7"/>
        <v>200</v>
      </c>
      <c r="M128">
        <f t="shared" si="9"/>
        <v>3800</v>
      </c>
      <c r="O128" s="8"/>
      <c r="P128" s="8">
        <v>0.5</v>
      </c>
    </row>
    <row r="129" spans="1:16" ht="14.45" x14ac:dyDescent="0.3">
      <c r="A129" s="293" t="s">
        <v>442</v>
      </c>
      <c r="B129" s="293"/>
      <c r="C129" s="213" t="s">
        <v>438</v>
      </c>
      <c r="D129" s="293"/>
      <c r="E129" s="337" t="s">
        <v>123</v>
      </c>
      <c r="F129" s="295"/>
      <c r="G129" s="323"/>
      <c r="H129" s="295"/>
      <c r="I129" s="295"/>
      <c r="J129" s="8">
        <v>9.5</v>
      </c>
      <c r="K129" s="8">
        <f t="shared" si="8"/>
        <v>9.5</v>
      </c>
      <c r="L129" s="6">
        <f t="shared" si="7"/>
        <v>200</v>
      </c>
      <c r="M129">
        <f t="shared" si="9"/>
        <v>1900</v>
      </c>
      <c r="O129" s="8"/>
      <c r="P129" s="8">
        <v>0.5</v>
      </c>
    </row>
    <row r="130" spans="1:16" ht="14.45" x14ac:dyDescent="0.3">
      <c r="A130" s="293" t="s">
        <v>443</v>
      </c>
      <c r="B130" s="293"/>
      <c r="C130" s="213" t="s">
        <v>440</v>
      </c>
      <c r="D130" s="293"/>
      <c r="E130" s="337" t="s">
        <v>123</v>
      </c>
      <c r="F130" s="295"/>
      <c r="G130" s="323"/>
      <c r="H130" s="295"/>
      <c r="I130" s="295"/>
      <c r="J130" s="8">
        <v>1</v>
      </c>
      <c r="K130" s="8">
        <f t="shared" si="8"/>
        <v>1</v>
      </c>
      <c r="L130" s="6">
        <f t="shared" si="7"/>
        <v>200</v>
      </c>
      <c r="M130">
        <f t="shared" si="9"/>
        <v>200</v>
      </c>
      <c r="O130" s="8"/>
      <c r="P130" s="8">
        <v>0.5</v>
      </c>
    </row>
    <row r="131" spans="1:16" ht="14.45" x14ac:dyDescent="0.3">
      <c r="A131" s="293" t="s">
        <v>444</v>
      </c>
      <c r="B131" s="293"/>
      <c r="C131" s="213" t="s">
        <v>445</v>
      </c>
      <c r="D131" s="293"/>
      <c r="E131" s="337" t="s">
        <v>97</v>
      </c>
      <c r="F131" s="295"/>
      <c r="G131" s="323"/>
      <c r="H131" s="295">
        <v>262</v>
      </c>
      <c r="I131" s="295"/>
      <c r="K131" s="8">
        <f t="shared" si="8"/>
        <v>262</v>
      </c>
      <c r="L131" s="6">
        <f t="shared" si="7"/>
        <v>200</v>
      </c>
      <c r="M131">
        <f t="shared" si="9"/>
        <v>52400</v>
      </c>
      <c r="O131" s="8">
        <v>16</v>
      </c>
    </row>
    <row r="132" spans="1:16" ht="14.45" x14ac:dyDescent="0.3">
      <c r="A132" s="293" t="s">
        <v>446</v>
      </c>
      <c r="B132" s="293"/>
      <c r="C132" s="213" t="s">
        <v>485</v>
      </c>
      <c r="D132" s="293"/>
      <c r="E132" s="337" t="s">
        <v>483</v>
      </c>
      <c r="F132" s="295"/>
      <c r="G132" s="323"/>
      <c r="H132" s="295">
        <v>32</v>
      </c>
      <c r="I132" s="295"/>
      <c r="K132" s="8">
        <f>H132</f>
        <v>32</v>
      </c>
      <c r="L132" s="6">
        <f t="shared" ref="L132:L156" si="10">IF(E132="",0,IF(E132="H",0,VLOOKUP(E132,$F$539:$G$554,2)))</f>
        <v>4</v>
      </c>
      <c r="M132">
        <f>SUM(K132*L132)</f>
        <v>128</v>
      </c>
      <c r="O132" s="8"/>
    </row>
    <row r="133" spans="1:16" ht="14.45" x14ac:dyDescent="0.3">
      <c r="A133" s="293" t="s">
        <v>447</v>
      </c>
      <c r="B133" s="293"/>
      <c r="C133" s="213" t="s">
        <v>321</v>
      </c>
      <c r="D133" s="293"/>
      <c r="E133" s="334" t="s">
        <v>481</v>
      </c>
      <c r="F133" s="295">
        <v>18.7</v>
      </c>
      <c r="G133" s="323"/>
      <c r="H133" s="295"/>
      <c r="I133" s="295"/>
      <c r="K133" s="8">
        <f t="shared" si="8"/>
        <v>18.7</v>
      </c>
      <c r="L133" s="6">
        <f t="shared" si="10"/>
        <v>120</v>
      </c>
      <c r="M133">
        <f t="shared" si="9"/>
        <v>2244</v>
      </c>
      <c r="O133" s="8">
        <v>4.7</v>
      </c>
      <c r="P133" s="8">
        <v>2.7</v>
      </c>
    </row>
    <row r="134" spans="1:16" ht="14.45" x14ac:dyDescent="0.3">
      <c r="A134" s="293" t="s">
        <v>448</v>
      </c>
      <c r="B134" s="293"/>
      <c r="C134" s="213" t="s">
        <v>321</v>
      </c>
      <c r="D134" s="293"/>
      <c r="E134" s="334" t="s">
        <v>481</v>
      </c>
      <c r="F134" s="295">
        <v>30.9</v>
      </c>
      <c r="G134" s="323"/>
      <c r="H134" s="295"/>
      <c r="I134" s="295"/>
      <c r="K134" s="8">
        <f t="shared" si="8"/>
        <v>30.9</v>
      </c>
      <c r="L134" s="6">
        <f t="shared" si="10"/>
        <v>120</v>
      </c>
      <c r="M134">
        <f t="shared" si="9"/>
        <v>3708</v>
      </c>
      <c r="O134" s="8">
        <v>4.7</v>
      </c>
      <c r="P134" s="8">
        <v>1</v>
      </c>
    </row>
    <row r="135" spans="1:16" ht="14.45" x14ac:dyDescent="0.3">
      <c r="A135" s="293" t="s">
        <v>449</v>
      </c>
      <c r="B135" s="293"/>
      <c r="C135" s="213" t="s">
        <v>330</v>
      </c>
      <c r="D135" s="293"/>
      <c r="E135" s="337" t="s">
        <v>95</v>
      </c>
      <c r="F135" s="295"/>
      <c r="G135" s="323">
        <v>50.1</v>
      </c>
      <c r="H135" s="295"/>
      <c r="I135" s="295"/>
      <c r="K135" s="8">
        <f t="shared" si="8"/>
        <v>50.1</v>
      </c>
      <c r="L135" s="6">
        <f t="shared" si="10"/>
        <v>200</v>
      </c>
      <c r="M135">
        <f t="shared" si="9"/>
        <v>10020</v>
      </c>
      <c r="O135" s="8">
        <v>9</v>
      </c>
      <c r="P135" s="8">
        <v>0.8</v>
      </c>
    </row>
    <row r="136" spans="1:16" ht="14.45" x14ac:dyDescent="0.3">
      <c r="A136" s="293" t="s">
        <v>450</v>
      </c>
      <c r="B136" s="293"/>
      <c r="C136" s="213" t="s">
        <v>321</v>
      </c>
      <c r="D136" s="293"/>
      <c r="E136" s="334" t="s">
        <v>481</v>
      </c>
      <c r="F136" s="295">
        <v>23.5</v>
      </c>
      <c r="G136" s="323"/>
      <c r="H136" s="295"/>
      <c r="I136" s="295"/>
      <c r="K136" s="8">
        <f t="shared" si="8"/>
        <v>23.5</v>
      </c>
      <c r="L136" s="6">
        <f t="shared" si="10"/>
        <v>120</v>
      </c>
      <c r="M136">
        <f t="shared" si="9"/>
        <v>2820</v>
      </c>
      <c r="O136" s="8">
        <v>4.7</v>
      </c>
      <c r="P136" s="8">
        <v>1</v>
      </c>
    </row>
    <row r="137" spans="1:16" ht="14.45" x14ac:dyDescent="0.3">
      <c r="A137" s="293" t="s">
        <v>451</v>
      </c>
      <c r="B137" s="293"/>
      <c r="C137" s="213" t="s">
        <v>452</v>
      </c>
      <c r="D137" s="293"/>
      <c r="E137" s="337" t="s">
        <v>95</v>
      </c>
      <c r="F137" s="295"/>
      <c r="G137" s="323">
        <v>77</v>
      </c>
      <c r="H137" s="295"/>
      <c r="I137" s="295"/>
      <c r="K137" s="8">
        <f t="shared" si="8"/>
        <v>77</v>
      </c>
      <c r="L137" s="6">
        <f t="shared" si="10"/>
        <v>200</v>
      </c>
      <c r="M137">
        <f t="shared" si="9"/>
        <v>15400</v>
      </c>
      <c r="O137" s="8">
        <v>6.8</v>
      </c>
      <c r="P137" s="8">
        <v>2</v>
      </c>
    </row>
    <row r="138" spans="1:16" ht="14.45" x14ac:dyDescent="0.3">
      <c r="A138" s="297">
        <v>101</v>
      </c>
      <c r="B138" s="293"/>
      <c r="C138" s="213" t="s">
        <v>453</v>
      </c>
      <c r="D138" s="293"/>
      <c r="E138" s="335" t="s">
        <v>96</v>
      </c>
      <c r="F138" s="295"/>
      <c r="G138" s="323"/>
      <c r="H138" s="295"/>
      <c r="I138" s="295"/>
      <c r="J138" s="8">
        <v>54</v>
      </c>
      <c r="K138" s="8">
        <f t="shared" si="8"/>
        <v>54</v>
      </c>
      <c r="L138" s="6">
        <f t="shared" si="10"/>
        <v>200</v>
      </c>
      <c r="M138">
        <f t="shared" si="9"/>
        <v>10800</v>
      </c>
      <c r="N138" s="292"/>
      <c r="O138" s="311">
        <v>16</v>
      </c>
      <c r="P138" s="311"/>
    </row>
    <row r="139" spans="1:16" ht="14.45" x14ac:dyDescent="0.3">
      <c r="A139" s="297">
        <v>102</v>
      </c>
      <c r="B139" s="293"/>
      <c r="C139" s="294" t="s">
        <v>327</v>
      </c>
      <c r="D139" s="293"/>
      <c r="E139" s="335" t="s">
        <v>96</v>
      </c>
      <c r="F139" s="295"/>
      <c r="G139" s="323"/>
      <c r="H139" s="295"/>
      <c r="I139" s="295"/>
      <c r="J139" s="8">
        <v>68.7</v>
      </c>
      <c r="K139" s="8">
        <f t="shared" si="8"/>
        <v>68.7</v>
      </c>
      <c r="L139" s="6">
        <f t="shared" si="10"/>
        <v>200</v>
      </c>
      <c r="M139">
        <f t="shared" si="9"/>
        <v>13740</v>
      </c>
      <c r="N139" s="292"/>
      <c r="O139" s="311">
        <v>17.3</v>
      </c>
      <c r="P139" s="311">
        <v>3.8</v>
      </c>
    </row>
    <row r="140" spans="1:16" ht="14.45" x14ac:dyDescent="0.3">
      <c r="A140" s="297">
        <v>110</v>
      </c>
      <c r="B140" s="293"/>
      <c r="C140" s="294" t="s">
        <v>330</v>
      </c>
      <c r="D140" s="293"/>
      <c r="E140" s="335" t="s">
        <v>95</v>
      </c>
      <c r="F140" s="295"/>
      <c r="G140" s="323">
        <v>72.7</v>
      </c>
      <c r="H140" s="295"/>
      <c r="I140" s="295"/>
      <c r="K140" s="8">
        <f t="shared" si="8"/>
        <v>72.7</v>
      </c>
      <c r="L140" s="6">
        <f t="shared" si="10"/>
        <v>200</v>
      </c>
      <c r="M140">
        <f t="shared" si="9"/>
        <v>14540</v>
      </c>
      <c r="N140" s="292"/>
      <c r="O140" s="311">
        <v>9.8000000000000007</v>
      </c>
      <c r="P140" s="311">
        <v>1.5</v>
      </c>
    </row>
    <row r="141" spans="1:16" ht="14.45" x14ac:dyDescent="0.3">
      <c r="A141" s="293" t="s">
        <v>454</v>
      </c>
      <c r="B141" s="293"/>
      <c r="C141" s="294" t="s">
        <v>455</v>
      </c>
      <c r="D141" s="293"/>
      <c r="E141" s="335" t="s">
        <v>122</v>
      </c>
      <c r="F141" s="295"/>
      <c r="G141" s="323"/>
      <c r="H141" s="295"/>
      <c r="I141" s="295"/>
      <c r="J141" s="8">
        <v>31.5</v>
      </c>
      <c r="K141" s="8">
        <f t="shared" si="8"/>
        <v>31.5</v>
      </c>
      <c r="L141" s="6">
        <f t="shared" si="10"/>
        <v>200</v>
      </c>
      <c r="M141">
        <f t="shared" si="9"/>
        <v>6300</v>
      </c>
      <c r="N141" s="292"/>
      <c r="O141" s="311">
        <v>7.5</v>
      </c>
      <c r="P141" s="311">
        <v>1.5</v>
      </c>
    </row>
    <row r="142" spans="1:16" ht="14.45" x14ac:dyDescent="0.3">
      <c r="A142" s="297">
        <v>111</v>
      </c>
      <c r="B142" s="293"/>
      <c r="C142" s="294" t="s">
        <v>330</v>
      </c>
      <c r="D142" s="293"/>
      <c r="E142" s="335" t="s">
        <v>95</v>
      </c>
      <c r="F142" s="295"/>
      <c r="G142" s="323">
        <v>46.3</v>
      </c>
      <c r="H142" s="295"/>
      <c r="I142" s="295"/>
      <c r="K142" s="8">
        <f t="shared" si="8"/>
        <v>46.3</v>
      </c>
      <c r="L142" s="6">
        <f t="shared" si="10"/>
        <v>200</v>
      </c>
      <c r="M142">
        <f t="shared" si="9"/>
        <v>9260</v>
      </c>
      <c r="N142" s="292"/>
      <c r="O142" s="311">
        <v>7.6</v>
      </c>
      <c r="P142" s="311">
        <v>1.5</v>
      </c>
    </row>
    <row r="143" spans="1:16" ht="14.45" x14ac:dyDescent="0.3">
      <c r="A143" s="297">
        <v>112</v>
      </c>
      <c r="B143" s="293"/>
      <c r="C143" s="294" t="s">
        <v>330</v>
      </c>
      <c r="D143" s="293"/>
      <c r="E143" s="335" t="s">
        <v>95</v>
      </c>
      <c r="F143" s="295"/>
      <c r="G143" s="323">
        <v>43.3</v>
      </c>
      <c r="H143" s="295"/>
      <c r="I143" s="295"/>
      <c r="K143" s="8">
        <f t="shared" si="8"/>
        <v>43.3</v>
      </c>
      <c r="L143" s="6">
        <f t="shared" si="10"/>
        <v>200</v>
      </c>
      <c r="M143">
        <f t="shared" si="9"/>
        <v>8660</v>
      </c>
      <c r="N143" s="292"/>
      <c r="O143" s="311">
        <v>7.6</v>
      </c>
      <c r="P143" s="311">
        <v>1.5</v>
      </c>
    </row>
    <row r="144" spans="1:16" ht="14.45" x14ac:dyDescent="0.3">
      <c r="A144" s="297">
        <v>113</v>
      </c>
      <c r="B144" s="293"/>
      <c r="C144" s="294" t="s">
        <v>330</v>
      </c>
      <c r="D144" s="293"/>
      <c r="E144" s="335" t="s">
        <v>95</v>
      </c>
      <c r="F144" s="295"/>
      <c r="G144" s="323">
        <v>46.3</v>
      </c>
      <c r="H144" s="295"/>
      <c r="I144" s="295"/>
      <c r="K144" s="8">
        <f t="shared" si="8"/>
        <v>46.3</v>
      </c>
      <c r="L144" s="6">
        <f t="shared" si="10"/>
        <v>200</v>
      </c>
      <c r="M144">
        <f t="shared" si="9"/>
        <v>9260</v>
      </c>
      <c r="N144" s="292"/>
      <c r="O144" s="311">
        <v>7.6</v>
      </c>
      <c r="P144" s="311">
        <v>1.5</v>
      </c>
    </row>
    <row r="145" spans="1:18" ht="14.45" x14ac:dyDescent="0.3">
      <c r="A145" t="s">
        <v>456</v>
      </c>
      <c r="B145"/>
      <c r="C145" s="4" t="s">
        <v>440</v>
      </c>
      <c r="D145"/>
      <c r="E145" s="334" t="s">
        <v>123</v>
      </c>
      <c r="J145" s="8">
        <v>3.9</v>
      </c>
      <c r="K145" s="8">
        <f t="shared" si="8"/>
        <v>3.9</v>
      </c>
      <c r="L145" s="6">
        <f t="shared" si="10"/>
        <v>200</v>
      </c>
      <c r="M145">
        <f t="shared" si="9"/>
        <v>780</v>
      </c>
      <c r="N145" s="292"/>
      <c r="O145" s="311"/>
      <c r="P145" s="311">
        <v>0.5</v>
      </c>
    </row>
    <row r="146" spans="1:18" ht="14.45" x14ac:dyDescent="0.3">
      <c r="A146" t="s">
        <v>457</v>
      </c>
      <c r="B146"/>
      <c r="C146" s="4" t="s">
        <v>440</v>
      </c>
      <c r="D146"/>
      <c r="E146" s="334" t="s">
        <v>123</v>
      </c>
      <c r="J146" s="8">
        <v>12.5</v>
      </c>
      <c r="K146" s="8">
        <f t="shared" si="8"/>
        <v>12.5</v>
      </c>
      <c r="L146" s="6">
        <f t="shared" si="10"/>
        <v>200</v>
      </c>
      <c r="M146">
        <f t="shared" si="9"/>
        <v>2500</v>
      </c>
      <c r="N146" s="292"/>
      <c r="O146" s="311">
        <v>2.2999999999999998</v>
      </c>
      <c r="P146" s="311">
        <v>1</v>
      </c>
    </row>
    <row r="147" spans="1:18" ht="14.45" x14ac:dyDescent="0.3">
      <c r="A147" s="286">
        <v>146</v>
      </c>
      <c r="B147"/>
      <c r="C147" s="4" t="s">
        <v>458</v>
      </c>
      <c r="D147"/>
      <c r="E147" s="334" t="s">
        <v>481</v>
      </c>
      <c r="F147" s="8">
        <v>58.3</v>
      </c>
      <c r="K147" s="8">
        <f t="shared" si="8"/>
        <v>58.3</v>
      </c>
      <c r="L147" s="6">
        <f t="shared" si="10"/>
        <v>120</v>
      </c>
      <c r="M147">
        <f t="shared" si="9"/>
        <v>6996</v>
      </c>
      <c r="N147" s="292"/>
      <c r="O147" s="311">
        <v>7.5</v>
      </c>
      <c r="P147" s="311">
        <v>0.5</v>
      </c>
    </row>
    <row r="148" spans="1:18" ht="14.45" x14ac:dyDescent="0.3">
      <c r="A148" t="s">
        <v>459</v>
      </c>
      <c r="B148"/>
      <c r="C148" s="4" t="s">
        <v>440</v>
      </c>
      <c r="D148"/>
      <c r="E148" s="334" t="s">
        <v>123</v>
      </c>
      <c r="J148" s="8">
        <v>15</v>
      </c>
      <c r="K148" s="8">
        <f t="shared" si="8"/>
        <v>15</v>
      </c>
      <c r="L148" s="6">
        <f t="shared" si="10"/>
        <v>200</v>
      </c>
      <c r="M148">
        <f t="shared" si="9"/>
        <v>3000</v>
      </c>
      <c r="N148" s="292"/>
      <c r="O148" s="311">
        <v>2.2999999999999998</v>
      </c>
      <c r="P148" s="311">
        <v>1</v>
      </c>
    </row>
    <row r="149" spans="1:18" ht="14.45" x14ac:dyDescent="0.3">
      <c r="A149" t="s">
        <v>460</v>
      </c>
      <c r="B149"/>
      <c r="C149" s="4" t="s">
        <v>440</v>
      </c>
      <c r="D149"/>
      <c r="E149" s="334" t="s">
        <v>123</v>
      </c>
      <c r="J149" s="8">
        <v>1.5</v>
      </c>
      <c r="K149" s="8">
        <f t="shared" si="8"/>
        <v>1.5</v>
      </c>
      <c r="L149" s="6">
        <f t="shared" si="10"/>
        <v>200</v>
      </c>
      <c r="M149">
        <f t="shared" si="9"/>
        <v>300</v>
      </c>
      <c r="N149" s="292"/>
      <c r="O149" s="311"/>
      <c r="P149" s="311">
        <v>1</v>
      </c>
    </row>
    <row r="150" spans="1:18" ht="14.45" x14ac:dyDescent="0.3">
      <c r="A150" s="286">
        <v>114</v>
      </c>
      <c r="B150"/>
      <c r="C150" s="4" t="s">
        <v>330</v>
      </c>
      <c r="D150"/>
      <c r="E150" s="334" t="s">
        <v>95</v>
      </c>
      <c r="G150" s="311">
        <v>46.3</v>
      </c>
      <c r="K150" s="8">
        <f t="shared" si="8"/>
        <v>46.3</v>
      </c>
      <c r="L150" s="6">
        <f t="shared" si="10"/>
        <v>200</v>
      </c>
      <c r="M150">
        <f t="shared" si="9"/>
        <v>9260</v>
      </c>
      <c r="N150" s="292"/>
      <c r="O150" s="311">
        <v>7.6</v>
      </c>
      <c r="P150" s="311">
        <v>1.5</v>
      </c>
    </row>
    <row r="151" spans="1:18" ht="14.45" x14ac:dyDescent="0.3">
      <c r="A151" t="s">
        <v>461</v>
      </c>
      <c r="B151"/>
      <c r="C151" s="4" t="s">
        <v>330</v>
      </c>
      <c r="D151"/>
      <c r="E151" s="334" t="s">
        <v>95</v>
      </c>
      <c r="G151" s="311">
        <v>43.3</v>
      </c>
      <c r="K151" s="8">
        <f t="shared" si="8"/>
        <v>43.3</v>
      </c>
      <c r="L151" s="6">
        <f t="shared" si="10"/>
        <v>200</v>
      </c>
      <c r="M151">
        <f t="shared" si="9"/>
        <v>8660</v>
      </c>
      <c r="N151" s="292"/>
      <c r="O151" s="311">
        <v>7.6</v>
      </c>
      <c r="P151" s="311">
        <v>1.5</v>
      </c>
    </row>
    <row r="152" spans="1:18" ht="14.45" x14ac:dyDescent="0.3">
      <c r="A152" t="s">
        <v>462</v>
      </c>
      <c r="B152"/>
      <c r="C152" s="4" t="s">
        <v>330</v>
      </c>
      <c r="D152"/>
      <c r="E152" s="334" t="s">
        <v>95</v>
      </c>
      <c r="G152" s="311">
        <v>46.3</v>
      </c>
      <c r="K152" s="8">
        <f t="shared" si="8"/>
        <v>46.3</v>
      </c>
      <c r="L152" s="6">
        <f t="shared" si="10"/>
        <v>200</v>
      </c>
      <c r="M152">
        <f t="shared" si="9"/>
        <v>9260</v>
      </c>
      <c r="N152" s="292"/>
      <c r="O152" s="311">
        <v>7.6</v>
      </c>
      <c r="P152" s="311">
        <v>1.5</v>
      </c>
    </row>
    <row r="153" spans="1:18" ht="14.45" x14ac:dyDescent="0.3">
      <c r="A153" s="286">
        <v>116</v>
      </c>
      <c r="B153"/>
      <c r="C153" s="4" t="s">
        <v>463</v>
      </c>
      <c r="D153"/>
      <c r="E153" s="334" t="s">
        <v>95</v>
      </c>
      <c r="G153" s="311">
        <v>76</v>
      </c>
      <c r="K153" s="8">
        <f t="shared" si="8"/>
        <v>76</v>
      </c>
      <c r="L153" s="6">
        <f t="shared" si="10"/>
        <v>200</v>
      </c>
      <c r="M153">
        <f t="shared" si="9"/>
        <v>15200</v>
      </c>
      <c r="N153" s="292"/>
      <c r="O153" s="311">
        <v>16</v>
      </c>
      <c r="P153" s="311">
        <v>1.5</v>
      </c>
    </row>
    <row r="154" spans="1:18" ht="14.45" x14ac:dyDescent="0.3">
      <c r="A154" s="286">
        <v>117</v>
      </c>
      <c r="B154"/>
      <c r="C154" s="4" t="s">
        <v>463</v>
      </c>
      <c r="D154"/>
      <c r="E154" s="334" t="s">
        <v>95</v>
      </c>
      <c r="G154" s="311">
        <v>72.3</v>
      </c>
      <c r="K154" s="8">
        <f t="shared" si="8"/>
        <v>72.3</v>
      </c>
      <c r="L154" s="6">
        <f t="shared" si="10"/>
        <v>200</v>
      </c>
      <c r="M154">
        <f t="shared" si="9"/>
        <v>14460</v>
      </c>
      <c r="N154" s="292"/>
      <c r="O154" s="311">
        <v>10</v>
      </c>
      <c r="P154" s="311">
        <v>1.5</v>
      </c>
    </row>
    <row r="155" spans="1:18" ht="14.45" x14ac:dyDescent="0.3">
      <c r="A155" t="s">
        <v>464</v>
      </c>
      <c r="B155"/>
      <c r="C155" s="4" t="s">
        <v>327</v>
      </c>
      <c r="D155"/>
      <c r="E155" s="334" t="s">
        <v>96</v>
      </c>
      <c r="J155" s="8">
        <v>68.7</v>
      </c>
      <c r="K155" s="8">
        <f t="shared" si="8"/>
        <v>68.7</v>
      </c>
      <c r="L155" s="6">
        <f t="shared" si="10"/>
        <v>200</v>
      </c>
      <c r="M155">
        <f t="shared" si="9"/>
        <v>13740</v>
      </c>
      <c r="N155" s="292"/>
      <c r="O155" s="311">
        <v>17.3</v>
      </c>
      <c r="P155" s="311">
        <v>3.8</v>
      </c>
    </row>
    <row r="156" spans="1:18" ht="14.45" x14ac:dyDescent="0.3">
      <c r="A156" t="s">
        <v>465</v>
      </c>
      <c r="B156"/>
      <c r="C156" s="4" t="s">
        <v>466</v>
      </c>
      <c r="D156"/>
      <c r="E156" s="334" t="s">
        <v>96</v>
      </c>
      <c r="J156" s="8">
        <v>22.1</v>
      </c>
      <c r="K156" s="8">
        <f t="shared" si="8"/>
        <v>22.1</v>
      </c>
      <c r="L156" s="6">
        <f t="shared" si="10"/>
        <v>200</v>
      </c>
      <c r="M156">
        <f t="shared" si="9"/>
        <v>4420</v>
      </c>
      <c r="N156" s="292"/>
      <c r="O156" s="292"/>
      <c r="P156" s="311"/>
    </row>
    <row r="158" spans="1:18" ht="14.45" x14ac:dyDescent="0.3">
      <c r="C158" s="349" t="s">
        <v>504</v>
      </c>
    </row>
    <row r="159" spans="1:18" ht="14.45" x14ac:dyDescent="0.3">
      <c r="A159" s="348">
        <v>1</v>
      </c>
      <c r="C159" s="4" t="s">
        <v>494</v>
      </c>
      <c r="E159" s="334" t="s">
        <v>96</v>
      </c>
      <c r="F159" s="8">
        <v>8.4</v>
      </c>
      <c r="K159" s="8">
        <f t="shared" ref="K159:K177" si="11">SUM(F159:J159)</f>
        <v>8.4</v>
      </c>
      <c r="L159" s="6">
        <f t="shared" ref="L159:L177" si="12">IF(E159="",0,IF(E159="H",0,VLOOKUP(E159,$F$539:$G$554,2)))</f>
        <v>200</v>
      </c>
      <c r="M159">
        <f>F159*L159</f>
        <v>1680</v>
      </c>
      <c r="O159" s="340">
        <v>2</v>
      </c>
      <c r="P159" s="340"/>
    </row>
    <row r="160" spans="1:18" ht="14.45" x14ac:dyDescent="0.3">
      <c r="A160" s="348">
        <v>2</v>
      </c>
      <c r="C160" s="4" t="s">
        <v>495</v>
      </c>
      <c r="E160" s="334" t="s">
        <v>96</v>
      </c>
      <c r="F160" s="8">
        <v>35.4</v>
      </c>
      <c r="K160" s="8">
        <f t="shared" si="11"/>
        <v>35.4</v>
      </c>
      <c r="L160" s="6">
        <f t="shared" si="12"/>
        <v>200</v>
      </c>
      <c r="M160">
        <f>F160*L160</f>
        <v>7080</v>
      </c>
      <c r="O160" s="340">
        <v>1</v>
      </c>
      <c r="P160" s="340"/>
      <c r="Q160" s="321"/>
      <c r="R160" s="321"/>
    </row>
    <row r="161" spans="1:18" ht="14.45" x14ac:dyDescent="0.3">
      <c r="A161" s="348">
        <v>3</v>
      </c>
      <c r="C161" s="4" t="s">
        <v>496</v>
      </c>
      <c r="E161" s="334" t="s">
        <v>481</v>
      </c>
      <c r="F161" s="8">
        <v>8</v>
      </c>
      <c r="K161" s="8">
        <f t="shared" si="11"/>
        <v>8</v>
      </c>
      <c r="L161" s="6">
        <f t="shared" si="12"/>
        <v>120</v>
      </c>
      <c r="M161">
        <f>F161*L161</f>
        <v>960</v>
      </c>
      <c r="O161" s="340">
        <v>2</v>
      </c>
      <c r="P161" s="340">
        <v>1</v>
      </c>
      <c r="Q161" s="321"/>
      <c r="R161" s="321"/>
    </row>
    <row r="162" spans="1:18" ht="14.45" x14ac:dyDescent="0.3">
      <c r="A162" s="348">
        <v>4</v>
      </c>
      <c r="C162" s="4" t="s">
        <v>497</v>
      </c>
      <c r="E162" s="334" t="s">
        <v>123</v>
      </c>
      <c r="G162" s="311">
        <v>5.9</v>
      </c>
      <c r="K162" s="8">
        <f t="shared" si="11"/>
        <v>5.9</v>
      </c>
      <c r="L162" s="6">
        <f t="shared" si="12"/>
        <v>200</v>
      </c>
      <c r="M162">
        <f>G162*L162</f>
        <v>1180</v>
      </c>
      <c r="O162" s="340"/>
      <c r="P162" s="340"/>
      <c r="Q162" s="321"/>
    </row>
    <row r="163" spans="1:18" ht="14.45" x14ac:dyDescent="0.3">
      <c r="A163" s="348">
        <v>5</v>
      </c>
      <c r="C163" s="4" t="s">
        <v>497</v>
      </c>
      <c r="E163" s="334" t="s">
        <v>123</v>
      </c>
      <c r="G163" s="311">
        <v>5.9</v>
      </c>
      <c r="K163" s="8">
        <f t="shared" si="11"/>
        <v>5.9</v>
      </c>
      <c r="L163" s="6">
        <f t="shared" si="12"/>
        <v>200</v>
      </c>
      <c r="M163">
        <f>G163*L163</f>
        <v>1180</v>
      </c>
      <c r="O163" s="340"/>
      <c r="P163" s="340"/>
      <c r="Q163" s="321"/>
    </row>
    <row r="164" spans="1:18" ht="14.45" x14ac:dyDescent="0.3">
      <c r="A164" s="348">
        <v>6</v>
      </c>
      <c r="C164" s="4" t="s">
        <v>497</v>
      </c>
      <c r="E164" s="334" t="s">
        <v>123</v>
      </c>
      <c r="G164" s="311">
        <v>5.9</v>
      </c>
      <c r="K164" s="8">
        <f t="shared" si="11"/>
        <v>5.9</v>
      </c>
      <c r="L164" s="6">
        <f t="shared" si="12"/>
        <v>200</v>
      </c>
      <c r="M164">
        <f>G164*L164</f>
        <v>1180</v>
      </c>
      <c r="O164" s="340"/>
      <c r="P164" s="340"/>
      <c r="Q164" s="321"/>
    </row>
    <row r="165" spans="1:18" ht="14.45" x14ac:dyDescent="0.3">
      <c r="A165" s="348">
        <v>9</v>
      </c>
      <c r="C165" s="4" t="s">
        <v>498</v>
      </c>
      <c r="E165" s="334" t="s">
        <v>96</v>
      </c>
      <c r="F165" s="8">
        <v>26.4</v>
      </c>
      <c r="K165" s="8">
        <f t="shared" si="11"/>
        <v>26.4</v>
      </c>
      <c r="L165" s="6">
        <f t="shared" si="12"/>
        <v>200</v>
      </c>
      <c r="M165">
        <f>F165*L165</f>
        <v>5280</v>
      </c>
      <c r="O165" s="340"/>
      <c r="P165" s="340"/>
      <c r="Q165" s="321"/>
    </row>
    <row r="166" spans="1:18" ht="14.45" x14ac:dyDescent="0.3">
      <c r="A166" s="348">
        <v>7</v>
      </c>
      <c r="C166" s="4" t="s">
        <v>499</v>
      </c>
      <c r="E166" s="334" t="s">
        <v>95</v>
      </c>
      <c r="F166" s="8">
        <v>51</v>
      </c>
      <c r="K166" s="8">
        <f t="shared" si="11"/>
        <v>51</v>
      </c>
      <c r="L166" s="6">
        <f t="shared" si="12"/>
        <v>200</v>
      </c>
      <c r="M166">
        <f>F166*L166</f>
        <v>10200</v>
      </c>
      <c r="O166" s="340">
        <v>4</v>
      </c>
      <c r="P166" s="340">
        <v>1</v>
      </c>
      <c r="Q166" s="321"/>
    </row>
    <row r="167" spans="1:18" ht="14.45" x14ac:dyDescent="0.3">
      <c r="A167" s="348">
        <v>8</v>
      </c>
      <c r="C167" s="4" t="s">
        <v>499</v>
      </c>
      <c r="E167" s="334" t="s">
        <v>95</v>
      </c>
      <c r="F167" s="8">
        <v>51</v>
      </c>
      <c r="K167" s="8">
        <f t="shared" si="11"/>
        <v>51</v>
      </c>
      <c r="L167" s="6">
        <f t="shared" si="12"/>
        <v>200</v>
      </c>
      <c r="M167">
        <f>F167*L167</f>
        <v>10200</v>
      </c>
      <c r="O167" s="340">
        <v>4</v>
      </c>
      <c r="P167" s="340">
        <v>1</v>
      </c>
      <c r="Q167" s="321"/>
    </row>
    <row r="168" spans="1:18" ht="14.45" x14ac:dyDescent="0.3">
      <c r="A168" s="348">
        <v>10</v>
      </c>
      <c r="C168" s="4" t="s">
        <v>499</v>
      </c>
      <c r="E168" s="334" t="s">
        <v>95</v>
      </c>
      <c r="F168" s="8">
        <v>51</v>
      </c>
      <c r="K168" s="8">
        <f t="shared" si="11"/>
        <v>51</v>
      </c>
      <c r="L168" s="6">
        <f t="shared" si="12"/>
        <v>200</v>
      </c>
      <c r="M168">
        <f>F168*L168</f>
        <v>10200</v>
      </c>
      <c r="O168" s="340">
        <v>4</v>
      </c>
      <c r="P168" s="340">
        <v>1</v>
      </c>
      <c r="Q168" s="321"/>
    </row>
    <row r="169" spans="1:18" ht="14.45" x14ac:dyDescent="0.3">
      <c r="A169" s="348">
        <v>11</v>
      </c>
      <c r="C169" s="4" t="s">
        <v>499</v>
      </c>
      <c r="E169" s="334" t="s">
        <v>95</v>
      </c>
      <c r="F169" s="8">
        <v>51</v>
      </c>
      <c r="K169" s="8">
        <f t="shared" si="11"/>
        <v>51</v>
      </c>
      <c r="L169" s="6">
        <f t="shared" si="12"/>
        <v>200</v>
      </c>
      <c r="M169">
        <f>F169*L169</f>
        <v>10200</v>
      </c>
      <c r="O169" s="340">
        <v>4</v>
      </c>
      <c r="P169" s="340">
        <v>1</v>
      </c>
      <c r="Q169" s="321"/>
    </row>
    <row r="170" spans="1:18" ht="14.45" x14ac:dyDescent="0.3">
      <c r="A170" s="348">
        <v>1</v>
      </c>
      <c r="C170" s="4" t="s">
        <v>500</v>
      </c>
      <c r="E170" s="334" t="s">
        <v>96</v>
      </c>
      <c r="G170" s="311">
        <v>25.1</v>
      </c>
      <c r="K170" s="8">
        <f t="shared" si="11"/>
        <v>25.1</v>
      </c>
      <c r="L170" s="6">
        <f t="shared" si="12"/>
        <v>200</v>
      </c>
      <c r="M170">
        <f t="shared" ref="M170:M177" si="13">G170*L170</f>
        <v>5020</v>
      </c>
      <c r="O170" s="340">
        <v>1.5</v>
      </c>
      <c r="P170" s="340"/>
      <c r="Q170" s="321"/>
    </row>
    <row r="171" spans="1:18" ht="14.45" x14ac:dyDescent="0.3">
      <c r="A171" s="348">
        <v>2</v>
      </c>
      <c r="C171" s="4" t="s">
        <v>501</v>
      </c>
      <c r="E171" s="334" t="s">
        <v>95</v>
      </c>
      <c r="G171" s="311">
        <v>103.9</v>
      </c>
      <c r="K171" s="8">
        <f t="shared" si="11"/>
        <v>103.9</v>
      </c>
      <c r="L171" s="6">
        <f t="shared" si="12"/>
        <v>200</v>
      </c>
      <c r="M171">
        <f t="shared" si="13"/>
        <v>20780</v>
      </c>
      <c r="O171" s="340">
        <v>8</v>
      </c>
      <c r="P171" s="340">
        <v>1</v>
      </c>
      <c r="Q171" s="321"/>
    </row>
    <row r="172" spans="1:18" ht="14.45" x14ac:dyDescent="0.3">
      <c r="A172" s="348">
        <v>3</v>
      </c>
      <c r="C172" s="4" t="s">
        <v>502</v>
      </c>
      <c r="E172" s="334" t="s">
        <v>123</v>
      </c>
      <c r="G172" s="311">
        <v>2.6</v>
      </c>
      <c r="K172" s="8">
        <f t="shared" si="11"/>
        <v>2.6</v>
      </c>
      <c r="L172" s="6">
        <f t="shared" si="12"/>
        <v>200</v>
      </c>
      <c r="M172">
        <f t="shared" si="13"/>
        <v>520</v>
      </c>
      <c r="O172" s="340"/>
      <c r="P172" s="340"/>
      <c r="Q172" s="321"/>
    </row>
    <row r="173" spans="1:18" ht="14.45" x14ac:dyDescent="0.3">
      <c r="A173" s="348">
        <v>4</v>
      </c>
      <c r="C173" s="4" t="s">
        <v>502</v>
      </c>
      <c r="E173" s="334" t="s">
        <v>123</v>
      </c>
      <c r="G173" s="311">
        <v>2.6</v>
      </c>
      <c r="K173" s="8">
        <f t="shared" si="11"/>
        <v>2.6</v>
      </c>
      <c r="L173" s="6">
        <f t="shared" si="12"/>
        <v>200</v>
      </c>
      <c r="M173">
        <f t="shared" si="13"/>
        <v>520</v>
      </c>
      <c r="O173" s="340"/>
      <c r="P173" s="340"/>
      <c r="Q173" s="321"/>
    </row>
    <row r="174" spans="1:18" ht="14.45" x14ac:dyDescent="0.3">
      <c r="A174" s="348">
        <v>5</v>
      </c>
      <c r="C174" s="4" t="s">
        <v>501</v>
      </c>
      <c r="E174" s="334" t="s">
        <v>95</v>
      </c>
      <c r="G174" s="311">
        <v>109.3</v>
      </c>
      <c r="K174" s="8">
        <f t="shared" si="11"/>
        <v>109.3</v>
      </c>
      <c r="L174" s="6">
        <f t="shared" si="12"/>
        <v>200</v>
      </c>
      <c r="M174">
        <f t="shared" si="13"/>
        <v>21860</v>
      </c>
      <c r="O174" s="340">
        <v>10</v>
      </c>
      <c r="P174" s="340">
        <v>1</v>
      </c>
      <c r="Q174" s="321"/>
    </row>
    <row r="175" spans="1:18" ht="14.45" x14ac:dyDescent="0.3">
      <c r="A175" s="348">
        <v>6</v>
      </c>
      <c r="C175" s="4" t="s">
        <v>503</v>
      </c>
      <c r="E175" s="334" t="s">
        <v>96</v>
      </c>
      <c r="G175" s="311">
        <v>16.600000000000001</v>
      </c>
      <c r="K175" s="8">
        <f t="shared" si="11"/>
        <v>16.600000000000001</v>
      </c>
      <c r="L175" s="6">
        <f t="shared" si="12"/>
        <v>200</v>
      </c>
      <c r="M175">
        <f t="shared" si="13"/>
        <v>3320.0000000000005</v>
      </c>
      <c r="O175" s="340"/>
      <c r="P175" s="341">
        <v>1.5</v>
      </c>
      <c r="Q175" s="321"/>
    </row>
    <row r="176" spans="1:18" ht="14.45" x14ac:dyDescent="0.3">
      <c r="A176" s="348">
        <v>7</v>
      </c>
      <c r="C176" s="4" t="s">
        <v>502</v>
      </c>
      <c r="E176" s="334" t="s">
        <v>123</v>
      </c>
      <c r="G176" s="311">
        <v>1</v>
      </c>
      <c r="K176" s="8">
        <f t="shared" si="11"/>
        <v>1</v>
      </c>
      <c r="L176" s="6">
        <f t="shared" si="12"/>
        <v>200</v>
      </c>
      <c r="M176">
        <f t="shared" si="13"/>
        <v>200</v>
      </c>
      <c r="O176" s="8"/>
      <c r="Q176" s="321"/>
    </row>
    <row r="177" spans="1:16" ht="14.45" x14ac:dyDescent="0.3">
      <c r="A177" s="348">
        <v>8</v>
      </c>
      <c r="C177" s="4" t="s">
        <v>502</v>
      </c>
      <c r="E177" s="334" t="s">
        <v>123</v>
      </c>
      <c r="G177" s="311">
        <v>1</v>
      </c>
      <c r="K177" s="8">
        <f t="shared" si="11"/>
        <v>1</v>
      </c>
      <c r="L177" s="6">
        <f t="shared" si="12"/>
        <v>200</v>
      </c>
      <c r="M177">
        <f t="shared" si="13"/>
        <v>200</v>
      </c>
      <c r="O177" s="8"/>
    </row>
    <row r="180" spans="1:16" ht="14.45" x14ac:dyDescent="0.3">
      <c r="C180" s="48" t="s">
        <v>98</v>
      </c>
      <c r="D180" s="35"/>
      <c r="E180" s="343"/>
      <c r="F180" s="344">
        <f t="shared" ref="F180:K180" si="14">SUM(F4:F179)</f>
        <v>1197.2</v>
      </c>
      <c r="G180" s="345">
        <f t="shared" si="14"/>
        <v>4113.0000000000018</v>
      </c>
      <c r="H180" s="344">
        <f t="shared" si="14"/>
        <v>1404.4999999999998</v>
      </c>
      <c r="I180" s="344">
        <f t="shared" si="14"/>
        <v>20</v>
      </c>
      <c r="J180" s="344">
        <f t="shared" si="14"/>
        <v>1624.3000000000004</v>
      </c>
      <c r="K180" s="344">
        <f t="shared" si="14"/>
        <v>8359</v>
      </c>
      <c r="L180" s="346"/>
      <c r="M180" s="13">
        <f>SUM(M4:M179)</f>
        <v>1608895.2</v>
      </c>
      <c r="N180" s="13"/>
      <c r="O180" s="344">
        <f>SUM(O4:O179)</f>
        <v>1368.4999999999989</v>
      </c>
      <c r="P180" s="347">
        <f>SUM(P4:P179)</f>
        <v>359.90000000000015</v>
      </c>
    </row>
    <row r="182" spans="1:16" ht="14.45" hidden="1" x14ac:dyDescent="0.3"/>
    <row r="183" spans="1:16" ht="14.45" hidden="1" x14ac:dyDescent="0.3"/>
    <row r="184" spans="1:16" ht="14.45" hidden="1" x14ac:dyDescent="0.3"/>
    <row r="185" spans="1:16" ht="14.45" hidden="1" x14ac:dyDescent="0.3"/>
    <row r="186" spans="1:16" ht="14.45" hidden="1" x14ac:dyDescent="0.3"/>
    <row r="187" spans="1:16" ht="14.45" hidden="1" x14ac:dyDescent="0.3"/>
    <row r="188" spans="1:16" ht="14.45" hidden="1" x14ac:dyDescent="0.3"/>
    <row r="189" spans="1:16" ht="14.45" hidden="1" x14ac:dyDescent="0.3"/>
    <row r="190" spans="1:16" ht="14.45" hidden="1" x14ac:dyDescent="0.3"/>
    <row r="191" spans="1:16" ht="14.45" hidden="1" x14ac:dyDescent="0.3"/>
    <row r="192" spans="1:16" ht="14.45" hidden="1" x14ac:dyDescent="0.3"/>
    <row r="193" ht="14.45" hidden="1" x14ac:dyDescent="0.3"/>
    <row r="194" ht="14.45" hidden="1" x14ac:dyDescent="0.3"/>
    <row r="195" ht="14.45" hidden="1" x14ac:dyDescent="0.3"/>
    <row r="196" ht="14.45" hidden="1" x14ac:dyDescent="0.3"/>
    <row r="197" ht="14.45" hidden="1" x14ac:dyDescent="0.3"/>
    <row r="198" ht="14.45" hidden="1" x14ac:dyDescent="0.3"/>
    <row r="199" ht="14.45" hidden="1" x14ac:dyDescent="0.3"/>
    <row r="200" ht="14.45" hidden="1" x14ac:dyDescent="0.3"/>
    <row r="201" ht="14.45" hidden="1" x14ac:dyDescent="0.3"/>
    <row r="202" ht="14.45" hidden="1" x14ac:dyDescent="0.3"/>
    <row r="203" ht="14.45" hidden="1" x14ac:dyDescent="0.3"/>
    <row r="204" ht="14.45" hidden="1" x14ac:dyDescent="0.3"/>
    <row r="205" ht="14.45" hidden="1" x14ac:dyDescent="0.3"/>
    <row r="206" ht="14.45" hidden="1" x14ac:dyDescent="0.3"/>
    <row r="207" ht="14.45" hidden="1" x14ac:dyDescent="0.3"/>
    <row r="208" ht="14.45" hidden="1" x14ac:dyDescent="0.3"/>
    <row r="209" ht="14.45" hidden="1" x14ac:dyDescent="0.3"/>
    <row r="210" ht="14.45" hidden="1" x14ac:dyDescent="0.3"/>
    <row r="211" ht="14.45" hidden="1" x14ac:dyDescent="0.3"/>
    <row r="212" ht="14.45" hidden="1" x14ac:dyDescent="0.3"/>
    <row r="213" ht="14.45" hidden="1" x14ac:dyDescent="0.3"/>
    <row r="214" ht="14.45" hidden="1" x14ac:dyDescent="0.3"/>
    <row r="215" ht="14.45" hidden="1" x14ac:dyDescent="0.3"/>
    <row r="216" ht="14.45" hidden="1" x14ac:dyDescent="0.3"/>
    <row r="217" ht="14.45" hidden="1" x14ac:dyDescent="0.3"/>
    <row r="218" ht="14.45" hidden="1" x14ac:dyDescent="0.3"/>
    <row r="219" ht="14.45" hidden="1" x14ac:dyDescent="0.3"/>
    <row r="220" ht="14.45" hidden="1" x14ac:dyDescent="0.3"/>
    <row r="221" ht="14.45" hidden="1" x14ac:dyDescent="0.3"/>
    <row r="222" ht="14.45" hidden="1" x14ac:dyDescent="0.3"/>
    <row r="223" ht="14.45" hidden="1" x14ac:dyDescent="0.3"/>
    <row r="224" ht="14.45" hidden="1" x14ac:dyDescent="0.3"/>
    <row r="225" ht="14.45" hidden="1" x14ac:dyDescent="0.3"/>
    <row r="226" ht="14.45" hidden="1" x14ac:dyDescent="0.3"/>
    <row r="227" ht="14.45" hidden="1" x14ac:dyDescent="0.3"/>
    <row r="228" ht="14.45" hidden="1" x14ac:dyDescent="0.3"/>
    <row r="229" ht="14.45" hidden="1" x14ac:dyDescent="0.3"/>
    <row r="230" ht="14.45" hidden="1" x14ac:dyDescent="0.3"/>
    <row r="231" ht="14.45" hidden="1" x14ac:dyDescent="0.3"/>
    <row r="232" ht="14.45" hidden="1" x14ac:dyDescent="0.3"/>
    <row r="233" ht="14.45" hidden="1" x14ac:dyDescent="0.3"/>
    <row r="234" ht="14.45" hidden="1" x14ac:dyDescent="0.3"/>
    <row r="235" ht="14.45" hidden="1" x14ac:dyDescent="0.3"/>
    <row r="236" ht="14.45" hidden="1" x14ac:dyDescent="0.3"/>
    <row r="237" ht="14.45" hidden="1" x14ac:dyDescent="0.3"/>
    <row r="238" ht="14.45" hidden="1" x14ac:dyDescent="0.3"/>
    <row r="239" ht="14.45" hidden="1" x14ac:dyDescent="0.3"/>
    <row r="240" ht="14.45" hidden="1" x14ac:dyDescent="0.3"/>
    <row r="241" ht="14.45" hidden="1" x14ac:dyDescent="0.3"/>
    <row r="242" ht="14.45" hidden="1" x14ac:dyDescent="0.3"/>
    <row r="243" ht="14.45" hidden="1" x14ac:dyDescent="0.3"/>
    <row r="244" ht="14.45" hidden="1" x14ac:dyDescent="0.3"/>
    <row r="245" ht="14.45" hidden="1" x14ac:dyDescent="0.3"/>
    <row r="246" ht="14.45" hidden="1" x14ac:dyDescent="0.3"/>
    <row r="247" ht="14.45" hidden="1" x14ac:dyDescent="0.3"/>
    <row r="248" ht="14.45" hidden="1" x14ac:dyDescent="0.3"/>
    <row r="249" ht="14.45" hidden="1" x14ac:dyDescent="0.3"/>
    <row r="250" ht="14.45" hidden="1" x14ac:dyDescent="0.3"/>
    <row r="251" ht="14.45" hidden="1" x14ac:dyDescent="0.3"/>
    <row r="252" ht="14.45" hidden="1" x14ac:dyDescent="0.3"/>
    <row r="253" ht="14.45" hidden="1" x14ac:dyDescent="0.3"/>
    <row r="254" ht="14.45" hidden="1" x14ac:dyDescent="0.3"/>
    <row r="255" ht="14.45" hidden="1" x14ac:dyDescent="0.3"/>
    <row r="256" ht="14.45" hidden="1" x14ac:dyDescent="0.3"/>
    <row r="257" ht="14.45" hidden="1" x14ac:dyDescent="0.3"/>
    <row r="258" ht="14.45" hidden="1" x14ac:dyDescent="0.3"/>
    <row r="259" ht="14.45" hidden="1" x14ac:dyDescent="0.3"/>
    <row r="260" ht="14.45" hidden="1" x14ac:dyDescent="0.3"/>
    <row r="261" ht="14.45" hidden="1" x14ac:dyDescent="0.3"/>
    <row r="262" ht="14.45" hidden="1" x14ac:dyDescent="0.3"/>
    <row r="263" ht="14.45" hidden="1" x14ac:dyDescent="0.3"/>
    <row r="264" ht="14.45" hidden="1" x14ac:dyDescent="0.3"/>
    <row r="265" ht="14.45" hidden="1" x14ac:dyDescent="0.3"/>
    <row r="266" ht="14.45" hidden="1" x14ac:dyDescent="0.3"/>
    <row r="267" ht="14.45" hidden="1" x14ac:dyDescent="0.3"/>
    <row r="268" ht="14.45" hidden="1" x14ac:dyDescent="0.3"/>
    <row r="269" ht="14.45" hidden="1" x14ac:dyDescent="0.3"/>
    <row r="270" ht="14.45" hidden="1" x14ac:dyDescent="0.3"/>
    <row r="271" ht="14.45" hidden="1" x14ac:dyDescent="0.3"/>
    <row r="272" ht="14.45" hidden="1" x14ac:dyDescent="0.3"/>
    <row r="273" ht="14.45" hidden="1" x14ac:dyDescent="0.3"/>
    <row r="274" ht="14.45" hidden="1" x14ac:dyDescent="0.3"/>
    <row r="275" ht="14.45" hidden="1" x14ac:dyDescent="0.3"/>
    <row r="276" ht="14.45" hidden="1" x14ac:dyDescent="0.3"/>
    <row r="277" ht="14.45" hidden="1" x14ac:dyDescent="0.3"/>
    <row r="278" ht="14.45" hidden="1" x14ac:dyDescent="0.3"/>
    <row r="279" ht="14.45" hidden="1" x14ac:dyDescent="0.3"/>
    <row r="280" ht="14.45" hidden="1" x14ac:dyDescent="0.3"/>
    <row r="281" ht="14.45" hidden="1" x14ac:dyDescent="0.3"/>
    <row r="282" ht="14.45" hidden="1" x14ac:dyDescent="0.3"/>
    <row r="283" ht="14.45" hidden="1" x14ac:dyDescent="0.3"/>
    <row r="284" ht="14.45" hidden="1" x14ac:dyDescent="0.3"/>
    <row r="285" ht="14.45" hidden="1" x14ac:dyDescent="0.3"/>
    <row r="286" ht="14.45" hidden="1" x14ac:dyDescent="0.3"/>
    <row r="287" ht="14.45" hidden="1" x14ac:dyDescent="0.3"/>
    <row r="288" ht="14.45" hidden="1" x14ac:dyDescent="0.3"/>
    <row r="289" ht="14.45" hidden="1" x14ac:dyDescent="0.3"/>
    <row r="290" ht="14.45" hidden="1" x14ac:dyDescent="0.3"/>
    <row r="291" ht="14.45" hidden="1" x14ac:dyDescent="0.3"/>
    <row r="292" ht="14.45" hidden="1" x14ac:dyDescent="0.3"/>
    <row r="293" ht="14.45" hidden="1" x14ac:dyDescent="0.3"/>
    <row r="294" ht="14.45" hidden="1" x14ac:dyDescent="0.3"/>
    <row r="295" ht="14.45" hidden="1" x14ac:dyDescent="0.3"/>
    <row r="296" ht="14.45" hidden="1" x14ac:dyDescent="0.3"/>
    <row r="297" ht="14.45" hidden="1" x14ac:dyDescent="0.3"/>
    <row r="298" ht="14.45" hidden="1" x14ac:dyDescent="0.3"/>
    <row r="299" ht="14.45" hidden="1" x14ac:dyDescent="0.3"/>
    <row r="300" ht="14.45" hidden="1" x14ac:dyDescent="0.3"/>
    <row r="301" ht="14.45" hidden="1" x14ac:dyDescent="0.3"/>
    <row r="302" ht="14.45" hidden="1" x14ac:dyDescent="0.3"/>
    <row r="303" ht="14.45" hidden="1" x14ac:dyDescent="0.3"/>
    <row r="304" ht="14.45" hidden="1" x14ac:dyDescent="0.3"/>
    <row r="305" ht="14.45" hidden="1" x14ac:dyDescent="0.3"/>
    <row r="306" ht="14.45" hidden="1" x14ac:dyDescent="0.3"/>
    <row r="307" ht="14.45" hidden="1" x14ac:dyDescent="0.3"/>
    <row r="308" ht="14.45" hidden="1" x14ac:dyDescent="0.3"/>
    <row r="309" ht="14.45" hidden="1" x14ac:dyDescent="0.3"/>
    <row r="310" ht="14.45" hidden="1" x14ac:dyDescent="0.3"/>
    <row r="311" ht="14.45" hidden="1" x14ac:dyDescent="0.3"/>
    <row r="312" ht="14.45" hidden="1" x14ac:dyDescent="0.3"/>
    <row r="313" ht="14.45" hidden="1" x14ac:dyDescent="0.3"/>
    <row r="314" ht="14.45" hidden="1" x14ac:dyDescent="0.3"/>
    <row r="315" ht="14.45" hidden="1" x14ac:dyDescent="0.3"/>
    <row r="316" ht="14.45" hidden="1" x14ac:dyDescent="0.3"/>
    <row r="317" ht="14.45" hidden="1" x14ac:dyDescent="0.3"/>
    <row r="318" ht="14.45" hidden="1" x14ac:dyDescent="0.3"/>
    <row r="319" ht="14.45" hidden="1" x14ac:dyDescent="0.3"/>
    <row r="320" ht="14.45" hidden="1" x14ac:dyDescent="0.3"/>
    <row r="321" ht="14.45" hidden="1" x14ac:dyDescent="0.3"/>
    <row r="322" ht="14.45" hidden="1" x14ac:dyDescent="0.3"/>
    <row r="323" ht="14.45" hidden="1" x14ac:dyDescent="0.3"/>
    <row r="324" ht="14.45" hidden="1" x14ac:dyDescent="0.3"/>
    <row r="325" ht="14.45" hidden="1" x14ac:dyDescent="0.3"/>
    <row r="326" ht="14.45" hidden="1" x14ac:dyDescent="0.3"/>
    <row r="327" ht="14.45" hidden="1" x14ac:dyDescent="0.3"/>
    <row r="328" ht="14.45" hidden="1" x14ac:dyDescent="0.3"/>
    <row r="329" ht="14.45" hidden="1" x14ac:dyDescent="0.3"/>
    <row r="330" ht="14.45" hidden="1" x14ac:dyDescent="0.3"/>
    <row r="331" ht="14.45" hidden="1" x14ac:dyDescent="0.3"/>
    <row r="332" ht="14.45" hidden="1" x14ac:dyDescent="0.3"/>
    <row r="333" ht="14.45" hidden="1" x14ac:dyDescent="0.3"/>
    <row r="334" ht="14.45" hidden="1" x14ac:dyDescent="0.3"/>
    <row r="335" ht="14.45" hidden="1" x14ac:dyDescent="0.3"/>
    <row r="336" ht="14.45" hidden="1" x14ac:dyDescent="0.3"/>
    <row r="337" ht="14.45" hidden="1" x14ac:dyDescent="0.3"/>
    <row r="338" ht="14.45" hidden="1" x14ac:dyDescent="0.3"/>
    <row r="339" ht="14.45" hidden="1" x14ac:dyDescent="0.3"/>
    <row r="340" ht="14.45" hidden="1" x14ac:dyDescent="0.3"/>
    <row r="341" ht="14.45" hidden="1" x14ac:dyDescent="0.3"/>
    <row r="342" ht="14.45" hidden="1" x14ac:dyDescent="0.3"/>
    <row r="343" ht="14.45" hidden="1" x14ac:dyDescent="0.3"/>
    <row r="344" ht="14.45" hidden="1" x14ac:dyDescent="0.3"/>
    <row r="345" ht="14.45" hidden="1" x14ac:dyDescent="0.3"/>
    <row r="346" ht="14.45" hidden="1" x14ac:dyDescent="0.3"/>
    <row r="347" ht="14.45" hidden="1" x14ac:dyDescent="0.3"/>
    <row r="348" ht="14.45" hidden="1" x14ac:dyDescent="0.3"/>
    <row r="349" ht="14.45" hidden="1" x14ac:dyDescent="0.3"/>
    <row r="350" ht="14.45" hidden="1" x14ac:dyDescent="0.3"/>
    <row r="351" ht="14.45" hidden="1" x14ac:dyDescent="0.3"/>
    <row r="352" ht="14.45" hidden="1" x14ac:dyDescent="0.3"/>
    <row r="353" ht="14.45" hidden="1" x14ac:dyDescent="0.3"/>
    <row r="354" ht="14.45" hidden="1" x14ac:dyDescent="0.3"/>
    <row r="355" ht="14.45" hidden="1" x14ac:dyDescent="0.3"/>
    <row r="356" ht="14.45" hidden="1" x14ac:dyDescent="0.3"/>
    <row r="357" ht="14.45" hidden="1" x14ac:dyDescent="0.3"/>
    <row r="358" ht="14.45" hidden="1" x14ac:dyDescent="0.3"/>
    <row r="359" ht="14.45" hidden="1" x14ac:dyDescent="0.3"/>
    <row r="360" ht="14.45" hidden="1" x14ac:dyDescent="0.3"/>
    <row r="361" ht="14.45" hidden="1" x14ac:dyDescent="0.3"/>
    <row r="362" ht="14.45" hidden="1" x14ac:dyDescent="0.3"/>
    <row r="363" ht="14.45" hidden="1" x14ac:dyDescent="0.3"/>
    <row r="364" ht="14.45" hidden="1" x14ac:dyDescent="0.3"/>
    <row r="365" ht="14.45" hidden="1" x14ac:dyDescent="0.3"/>
    <row r="366" ht="14.45" hidden="1" x14ac:dyDescent="0.3"/>
    <row r="367" ht="14.45" hidden="1" x14ac:dyDescent="0.3"/>
    <row r="368" ht="14.45" hidden="1" x14ac:dyDescent="0.3"/>
    <row r="369" ht="14.45" hidden="1" x14ac:dyDescent="0.3"/>
    <row r="370" ht="14.45" hidden="1" x14ac:dyDescent="0.3"/>
    <row r="371" ht="14.45" hidden="1" x14ac:dyDescent="0.3"/>
    <row r="372" ht="14.45" hidden="1" x14ac:dyDescent="0.3"/>
    <row r="373" ht="14.45" hidden="1" x14ac:dyDescent="0.3"/>
    <row r="374" ht="14.45" hidden="1" x14ac:dyDescent="0.3"/>
    <row r="375" ht="14.45" hidden="1" x14ac:dyDescent="0.3"/>
    <row r="376" ht="14.45" hidden="1" x14ac:dyDescent="0.3"/>
    <row r="377" ht="14.45" hidden="1" x14ac:dyDescent="0.3"/>
    <row r="378" ht="14.45" hidden="1" x14ac:dyDescent="0.3"/>
    <row r="379" ht="14.45" hidden="1" x14ac:dyDescent="0.3"/>
    <row r="380" ht="14.45" hidden="1" x14ac:dyDescent="0.3"/>
    <row r="381" ht="14.45" hidden="1" x14ac:dyDescent="0.3"/>
    <row r="382" ht="14.45" hidden="1" x14ac:dyDescent="0.3"/>
    <row r="383" ht="14.45" hidden="1" x14ac:dyDescent="0.3"/>
    <row r="384" ht="14.45" hidden="1" x14ac:dyDescent="0.3"/>
    <row r="385" ht="14.45" hidden="1" x14ac:dyDescent="0.3"/>
    <row r="386" ht="14.45" hidden="1" x14ac:dyDescent="0.3"/>
    <row r="387" ht="14.45" hidden="1" x14ac:dyDescent="0.3"/>
    <row r="388" ht="14.45" hidden="1" x14ac:dyDescent="0.3"/>
    <row r="389" ht="14.45" hidden="1" x14ac:dyDescent="0.3"/>
    <row r="390" ht="14.45" hidden="1" x14ac:dyDescent="0.3"/>
    <row r="391" ht="14.45" hidden="1" x14ac:dyDescent="0.3"/>
    <row r="392" ht="14.45" hidden="1" x14ac:dyDescent="0.3"/>
    <row r="393" ht="14.45" hidden="1" x14ac:dyDescent="0.3"/>
    <row r="394" ht="14.45" hidden="1" x14ac:dyDescent="0.3"/>
    <row r="395" ht="14.45" hidden="1" x14ac:dyDescent="0.3"/>
    <row r="396" ht="14.45" hidden="1" x14ac:dyDescent="0.3"/>
    <row r="397" ht="14.45" hidden="1" x14ac:dyDescent="0.3"/>
    <row r="398" ht="14.45" hidden="1" x14ac:dyDescent="0.3"/>
    <row r="399" ht="14.45" hidden="1" x14ac:dyDescent="0.3"/>
    <row r="400" ht="14.45" hidden="1" x14ac:dyDescent="0.3"/>
    <row r="401" ht="14.45" hidden="1" x14ac:dyDescent="0.3"/>
    <row r="402" ht="14.45" hidden="1" x14ac:dyDescent="0.3"/>
    <row r="403" ht="14.45" hidden="1" x14ac:dyDescent="0.3"/>
    <row r="404" ht="14.45" hidden="1" x14ac:dyDescent="0.3"/>
    <row r="405" ht="14.45" hidden="1" x14ac:dyDescent="0.3"/>
    <row r="406" ht="14.45" hidden="1" x14ac:dyDescent="0.3"/>
    <row r="407" ht="14.45" hidden="1" x14ac:dyDescent="0.3"/>
    <row r="408" ht="14.45" hidden="1" x14ac:dyDescent="0.3"/>
    <row r="409" ht="14.45" hidden="1" x14ac:dyDescent="0.3"/>
    <row r="410" ht="14.45" hidden="1" x14ac:dyDescent="0.3"/>
    <row r="411" ht="14.45" hidden="1" x14ac:dyDescent="0.3"/>
    <row r="412" ht="14.45" hidden="1" x14ac:dyDescent="0.3"/>
    <row r="413" ht="14.45" hidden="1" x14ac:dyDescent="0.3"/>
    <row r="414" ht="14.45" hidden="1" x14ac:dyDescent="0.3"/>
    <row r="415" ht="14.45" hidden="1" x14ac:dyDescent="0.3"/>
    <row r="416" ht="14.45" hidden="1" x14ac:dyDescent="0.3"/>
    <row r="417" ht="14.45" hidden="1" x14ac:dyDescent="0.3"/>
    <row r="418" ht="14.45" hidden="1" x14ac:dyDescent="0.3"/>
    <row r="419" ht="14.45" hidden="1" x14ac:dyDescent="0.3"/>
    <row r="420" ht="14.45" hidden="1" x14ac:dyDescent="0.3"/>
    <row r="421" ht="14.45" hidden="1" x14ac:dyDescent="0.3"/>
    <row r="422" ht="14.45" hidden="1" x14ac:dyDescent="0.3"/>
    <row r="423" ht="14.45" hidden="1" x14ac:dyDescent="0.3"/>
    <row r="424" ht="14.45" hidden="1" x14ac:dyDescent="0.3"/>
    <row r="425" ht="14.45" hidden="1" x14ac:dyDescent="0.3"/>
    <row r="426" ht="14.45" hidden="1" x14ac:dyDescent="0.3"/>
    <row r="427" ht="14.45" hidden="1" x14ac:dyDescent="0.3"/>
    <row r="428" ht="14.45" hidden="1" x14ac:dyDescent="0.3"/>
    <row r="429" ht="14.45" hidden="1" x14ac:dyDescent="0.3"/>
    <row r="430" ht="14.45" hidden="1" x14ac:dyDescent="0.3"/>
    <row r="431" ht="14.45" hidden="1" x14ac:dyDescent="0.3"/>
    <row r="432" ht="14.45" hidden="1" x14ac:dyDescent="0.3"/>
    <row r="433" ht="14.45" hidden="1" x14ac:dyDescent="0.3"/>
    <row r="434" ht="14.45" hidden="1" x14ac:dyDescent="0.3"/>
    <row r="435" ht="14.45" hidden="1" x14ac:dyDescent="0.3"/>
    <row r="436" ht="14.45" hidden="1" x14ac:dyDescent="0.3"/>
    <row r="437" ht="14.45" hidden="1" x14ac:dyDescent="0.3"/>
    <row r="438" ht="14.45" hidden="1" x14ac:dyDescent="0.3"/>
    <row r="439" ht="14.45" hidden="1" x14ac:dyDescent="0.3"/>
    <row r="440" ht="14.45" hidden="1" x14ac:dyDescent="0.3"/>
    <row r="441" ht="14.45" hidden="1" x14ac:dyDescent="0.3"/>
    <row r="442" ht="14.45" hidden="1" x14ac:dyDescent="0.3"/>
    <row r="443" ht="14.45" hidden="1" x14ac:dyDescent="0.3"/>
    <row r="444" ht="14.45" hidden="1" x14ac:dyDescent="0.3"/>
    <row r="445" ht="14.45" hidden="1" x14ac:dyDescent="0.3"/>
    <row r="446" ht="14.45" hidden="1" x14ac:dyDescent="0.3"/>
    <row r="447" ht="14.45" hidden="1" x14ac:dyDescent="0.3"/>
    <row r="448" ht="14.45" hidden="1" x14ac:dyDescent="0.3"/>
    <row r="449" ht="14.45" hidden="1" x14ac:dyDescent="0.3"/>
    <row r="450" ht="14.45" hidden="1" x14ac:dyDescent="0.3"/>
    <row r="451" ht="14.45" hidden="1" x14ac:dyDescent="0.3"/>
    <row r="452" ht="14.45" hidden="1" x14ac:dyDescent="0.3"/>
    <row r="453" ht="14.45" hidden="1" x14ac:dyDescent="0.3"/>
    <row r="454" ht="14.45" hidden="1" x14ac:dyDescent="0.3"/>
    <row r="455" ht="14.45" hidden="1" x14ac:dyDescent="0.3"/>
    <row r="456" ht="14.45" hidden="1" x14ac:dyDescent="0.3"/>
    <row r="457" ht="14.45" hidden="1" x14ac:dyDescent="0.3"/>
    <row r="458" ht="14.45" hidden="1" x14ac:dyDescent="0.3"/>
    <row r="459" ht="14.45" hidden="1" x14ac:dyDescent="0.3"/>
    <row r="460" ht="14.45" hidden="1" x14ac:dyDescent="0.3"/>
    <row r="461" ht="14.45" hidden="1" x14ac:dyDescent="0.3"/>
    <row r="462" ht="14.45" hidden="1" x14ac:dyDescent="0.3"/>
    <row r="463" ht="14.45" hidden="1" x14ac:dyDescent="0.3"/>
    <row r="464" ht="14.45" hidden="1" x14ac:dyDescent="0.3"/>
    <row r="465" ht="14.45" hidden="1" x14ac:dyDescent="0.3"/>
    <row r="466" ht="14.45" hidden="1" x14ac:dyDescent="0.3"/>
    <row r="467" ht="14.45" hidden="1" x14ac:dyDescent="0.3"/>
    <row r="468" ht="14.45" hidden="1" x14ac:dyDescent="0.3"/>
    <row r="469" ht="14.45" hidden="1" x14ac:dyDescent="0.3"/>
    <row r="470" ht="14.45" hidden="1" x14ac:dyDescent="0.3"/>
    <row r="471" ht="14.45" hidden="1" x14ac:dyDescent="0.3"/>
    <row r="472" ht="14.45" hidden="1" x14ac:dyDescent="0.3"/>
    <row r="473" ht="14.45" hidden="1" x14ac:dyDescent="0.3"/>
    <row r="474" ht="14.45" hidden="1" x14ac:dyDescent="0.3"/>
    <row r="475" ht="14.45" hidden="1" x14ac:dyDescent="0.3"/>
    <row r="476" ht="14.45" hidden="1" x14ac:dyDescent="0.3"/>
    <row r="477" ht="14.45" hidden="1" x14ac:dyDescent="0.3"/>
    <row r="478" ht="14.45" hidden="1" x14ac:dyDescent="0.3"/>
    <row r="479" ht="14.45" hidden="1" x14ac:dyDescent="0.3"/>
    <row r="480" ht="14.45" hidden="1" x14ac:dyDescent="0.3"/>
    <row r="481" ht="14.45" hidden="1" x14ac:dyDescent="0.3"/>
    <row r="482" ht="14.45" hidden="1" x14ac:dyDescent="0.3"/>
    <row r="483" ht="14.45" hidden="1" x14ac:dyDescent="0.3"/>
    <row r="484" ht="14.45" hidden="1" x14ac:dyDescent="0.3"/>
    <row r="485" ht="14.45" hidden="1" x14ac:dyDescent="0.3"/>
    <row r="486" ht="14.45" hidden="1" x14ac:dyDescent="0.3"/>
    <row r="487" ht="14.45" hidden="1" x14ac:dyDescent="0.3"/>
    <row r="488" ht="14.45" hidden="1" x14ac:dyDescent="0.3"/>
    <row r="489" ht="14.45" hidden="1" x14ac:dyDescent="0.3"/>
    <row r="490" ht="14.45" hidden="1" x14ac:dyDescent="0.3"/>
    <row r="491" ht="14.45" hidden="1" x14ac:dyDescent="0.3"/>
    <row r="492" ht="14.45" hidden="1" x14ac:dyDescent="0.3"/>
    <row r="493" ht="14.45" hidden="1" x14ac:dyDescent="0.3"/>
    <row r="494" ht="14.45" hidden="1" x14ac:dyDescent="0.3"/>
    <row r="495" ht="14.45" hidden="1" x14ac:dyDescent="0.3"/>
    <row r="496" ht="14.45" hidden="1" x14ac:dyDescent="0.3"/>
    <row r="497" spans="3:13" ht="14.45" hidden="1" x14ac:dyDescent="0.3"/>
    <row r="498" spans="3:13" ht="14.45" hidden="1" x14ac:dyDescent="0.3"/>
    <row r="499" spans="3:13" ht="14.45" x14ac:dyDescent="0.3">
      <c r="C499" s="193" t="s">
        <v>119</v>
      </c>
      <c r="D499" s="193"/>
      <c r="E499" s="314"/>
      <c r="F499" s="302"/>
      <c r="G499" s="327"/>
      <c r="H499" s="302"/>
      <c r="I499" s="302"/>
      <c r="J499" s="302"/>
      <c r="K499" s="193"/>
      <c r="L499" s="193"/>
      <c r="M499" s="193" t="s">
        <v>118</v>
      </c>
    </row>
    <row r="500" spans="3:13" ht="14.45" x14ac:dyDescent="0.3">
      <c r="C500" s="193" t="str">
        <f t="shared" ref="C500:C512" si="15">IF(F539="","",F539)</f>
        <v>A</v>
      </c>
      <c r="D500" s="193"/>
      <c r="E500" s="314"/>
      <c r="F500" s="302">
        <f t="shared" ref="F500:F514" si="16">SUMPRODUCT(--($E$4:$E$498=C500),--($D$4:$D$498=""),$F$4:$F$498)</f>
        <v>418.1</v>
      </c>
      <c r="G500" s="327">
        <f t="shared" ref="G500:G514" si="17">SUMPRODUCT(--($E$4:$E$498=C500),--($D$4:$D$498=""),$G$4:$G$498)</f>
        <v>2379.4</v>
      </c>
      <c r="H500" s="302">
        <f t="shared" ref="H500:H514" si="18">SUMPRODUCT(--($E$4:$E$498=C500),--($D$4:$D$498=""),$H$4:$H$498)</f>
        <v>0</v>
      </c>
      <c r="I500" s="302">
        <f t="shared" ref="I500:I514" si="19">SUMPRODUCT(--($E$4:$E$498=C500),--($D$4:$D$498=""),$I$4:$I$498)</f>
        <v>0</v>
      </c>
      <c r="J500" s="302">
        <f t="shared" ref="J500:J514" si="20">SUMPRODUCT(--($E$4:$E$498=C500),--($D$4:$D$498=""),$J$4:$J$498)</f>
        <v>31.5</v>
      </c>
      <c r="K500" s="193">
        <f t="shared" ref="K500:K510" si="21">SUM(F500:J500)</f>
        <v>2829</v>
      </c>
      <c r="L500" s="193"/>
      <c r="M500" s="193">
        <f t="shared" ref="M500:M514" si="22">SUMPRODUCT(--($E$4:$E$498=C500),--($D$4:$D$498=""),$M$4:$M$498)</f>
        <v>565800</v>
      </c>
    </row>
    <row r="501" spans="3:13" ht="14.45" x14ac:dyDescent="0.3">
      <c r="C501" s="193" t="str">
        <f t="shared" si="15"/>
        <v>A1</v>
      </c>
      <c r="D501" s="193"/>
      <c r="E501" s="314"/>
      <c r="F501" s="302">
        <f t="shared" si="16"/>
        <v>109.5</v>
      </c>
      <c r="G501" s="327">
        <f t="shared" si="17"/>
        <v>606</v>
      </c>
      <c r="H501" s="302">
        <f t="shared" si="18"/>
        <v>0</v>
      </c>
      <c r="I501" s="302">
        <f t="shared" si="19"/>
        <v>0</v>
      </c>
      <c r="J501" s="302">
        <f t="shared" si="20"/>
        <v>0</v>
      </c>
      <c r="K501" s="193">
        <f t="shared" si="21"/>
        <v>715.5</v>
      </c>
      <c r="L501" s="193"/>
      <c r="M501" s="193">
        <f t="shared" si="22"/>
        <v>143100</v>
      </c>
    </row>
    <row r="502" spans="3:13" ht="14.45" x14ac:dyDescent="0.3">
      <c r="C502" s="193" t="str">
        <f t="shared" si="15"/>
        <v>A2</v>
      </c>
      <c r="D502" s="193"/>
      <c r="E502" s="314"/>
      <c r="F502" s="302">
        <f t="shared" si="16"/>
        <v>518</v>
      </c>
      <c r="G502" s="327">
        <f t="shared" si="17"/>
        <v>33</v>
      </c>
      <c r="H502" s="302">
        <f t="shared" si="18"/>
        <v>39.799999999999997</v>
      </c>
      <c r="I502" s="302">
        <f t="shared" si="19"/>
        <v>0</v>
      </c>
      <c r="J502" s="302">
        <f t="shared" si="20"/>
        <v>30</v>
      </c>
      <c r="K502" s="193">
        <f t="shared" si="21"/>
        <v>620.79999999999995</v>
      </c>
      <c r="L502" s="193"/>
      <c r="M502" s="193">
        <f t="shared" si="22"/>
        <v>74496</v>
      </c>
    </row>
    <row r="503" spans="3:13" ht="14.45" x14ac:dyDescent="0.3">
      <c r="C503" s="193" t="str">
        <f t="shared" si="15"/>
        <v>B</v>
      </c>
      <c r="D503" s="193"/>
      <c r="E503" s="314"/>
      <c r="F503" s="302">
        <f t="shared" si="16"/>
        <v>151.60000000000002</v>
      </c>
      <c r="G503" s="327">
        <f t="shared" si="17"/>
        <v>985.59999999999991</v>
      </c>
      <c r="H503" s="302">
        <f t="shared" si="18"/>
        <v>413</v>
      </c>
      <c r="I503" s="302">
        <f t="shared" si="19"/>
        <v>20</v>
      </c>
      <c r="J503" s="302">
        <f t="shared" si="20"/>
        <v>570.30000000000007</v>
      </c>
      <c r="K503" s="193">
        <f t="shared" si="21"/>
        <v>2140.5</v>
      </c>
      <c r="L503" s="193"/>
      <c r="M503" s="193">
        <f t="shared" si="22"/>
        <v>428100</v>
      </c>
    </row>
    <row r="504" spans="3:13" ht="14.45" x14ac:dyDescent="0.3">
      <c r="C504" s="193" t="str">
        <f t="shared" si="15"/>
        <v>B1</v>
      </c>
      <c r="D504" s="193"/>
      <c r="E504" s="314"/>
      <c r="F504" s="302">
        <f t="shared" si="16"/>
        <v>0</v>
      </c>
      <c r="G504" s="327">
        <f t="shared" si="17"/>
        <v>7.8</v>
      </c>
      <c r="H504" s="302">
        <f t="shared" si="18"/>
        <v>0</v>
      </c>
      <c r="I504" s="302">
        <f t="shared" si="19"/>
        <v>0</v>
      </c>
      <c r="J504" s="302">
        <f t="shared" si="20"/>
        <v>0</v>
      </c>
      <c r="K504" s="193">
        <f t="shared" si="21"/>
        <v>7.8</v>
      </c>
      <c r="L504" s="193"/>
      <c r="M504" s="193">
        <f t="shared" si="22"/>
        <v>31.2</v>
      </c>
    </row>
    <row r="505" spans="3:13" ht="14.45" x14ac:dyDescent="0.3">
      <c r="C505" s="193" t="str">
        <f t="shared" si="15"/>
        <v>C</v>
      </c>
      <c r="D505" s="193"/>
      <c r="E505" s="314"/>
      <c r="F505" s="302">
        <f t="shared" si="16"/>
        <v>0</v>
      </c>
      <c r="G505" s="327">
        <f t="shared" si="17"/>
        <v>24.900000000000006</v>
      </c>
      <c r="H505" s="302">
        <f t="shared" si="18"/>
        <v>2.8</v>
      </c>
      <c r="I505" s="302">
        <f t="shared" si="19"/>
        <v>0</v>
      </c>
      <c r="J505" s="302">
        <f t="shared" si="20"/>
        <v>193.89999999999998</v>
      </c>
      <c r="K505" s="193">
        <f t="shared" si="21"/>
        <v>221.6</v>
      </c>
      <c r="L505" s="193"/>
      <c r="M505" s="193">
        <f t="shared" si="22"/>
        <v>44320</v>
      </c>
    </row>
    <row r="506" spans="3:13" ht="14.45" x14ac:dyDescent="0.3">
      <c r="C506" s="193" t="str">
        <f t="shared" si="15"/>
        <v>C1</v>
      </c>
      <c r="D506" s="193"/>
      <c r="E506" s="314"/>
      <c r="F506" s="302">
        <f t="shared" si="16"/>
        <v>0</v>
      </c>
      <c r="G506" s="327">
        <f t="shared" si="17"/>
        <v>6</v>
      </c>
      <c r="H506" s="302">
        <f t="shared" si="18"/>
        <v>0</v>
      </c>
      <c r="I506" s="302">
        <f t="shared" si="19"/>
        <v>0</v>
      </c>
      <c r="J506" s="302">
        <f t="shared" si="20"/>
        <v>34.6</v>
      </c>
      <c r="K506" s="193">
        <f t="shared" si="21"/>
        <v>40.6</v>
      </c>
      <c r="L506" s="193"/>
      <c r="M506" s="193">
        <f t="shared" si="22"/>
        <v>8120</v>
      </c>
    </row>
    <row r="507" spans="3:13" ht="14.45" x14ac:dyDescent="0.3">
      <c r="C507" s="193" t="str">
        <f t="shared" si="15"/>
        <v>D</v>
      </c>
      <c r="D507" s="193"/>
      <c r="E507" s="314"/>
      <c r="F507" s="302">
        <f t="shared" si="16"/>
        <v>0</v>
      </c>
      <c r="G507" s="327">
        <f t="shared" si="17"/>
        <v>0</v>
      </c>
      <c r="H507" s="302">
        <f t="shared" si="18"/>
        <v>349.8</v>
      </c>
      <c r="I507" s="302">
        <f t="shared" si="19"/>
        <v>0</v>
      </c>
      <c r="J507" s="302">
        <f t="shared" si="20"/>
        <v>0</v>
      </c>
      <c r="K507" s="193">
        <f t="shared" si="21"/>
        <v>349.8</v>
      </c>
      <c r="L507" s="193"/>
      <c r="M507" s="193">
        <f t="shared" si="22"/>
        <v>69960</v>
      </c>
    </row>
    <row r="508" spans="3:13" x14ac:dyDescent="0.25">
      <c r="C508" s="193" t="str">
        <f t="shared" si="15"/>
        <v>D1</v>
      </c>
      <c r="D508" s="193"/>
      <c r="E508" s="314"/>
      <c r="F508" s="302">
        <f t="shared" si="16"/>
        <v>0</v>
      </c>
      <c r="G508" s="327">
        <f t="shared" si="17"/>
        <v>0</v>
      </c>
      <c r="H508" s="302">
        <f t="shared" si="18"/>
        <v>32</v>
      </c>
      <c r="I508" s="302">
        <f t="shared" si="19"/>
        <v>0</v>
      </c>
      <c r="J508" s="302">
        <f t="shared" si="20"/>
        <v>0</v>
      </c>
      <c r="K508" s="193">
        <f t="shared" si="21"/>
        <v>32</v>
      </c>
      <c r="L508" s="193"/>
      <c r="M508" s="193">
        <f>M132</f>
        <v>128</v>
      </c>
    </row>
    <row r="509" spans="3:13" x14ac:dyDescent="0.25">
      <c r="C509" s="193" t="str">
        <f t="shared" si="15"/>
        <v>E</v>
      </c>
      <c r="D509" s="193"/>
      <c r="E509" s="314"/>
      <c r="F509" s="302">
        <f t="shared" si="16"/>
        <v>0</v>
      </c>
      <c r="G509" s="327">
        <f t="shared" si="17"/>
        <v>70.3</v>
      </c>
      <c r="H509" s="302">
        <f t="shared" si="18"/>
        <v>0</v>
      </c>
      <c r="I509" s="302">
        <f t="shared" si="19"/>
        <v>0</v>
      </c>
      <c r="J509" s="302">
        <f t="shared" si="20"/>
        <v>53.2</v>
      </c>
      <c r="K509" s="193">
        <f t="shared" si="21"/>
        <v>123.5</v>
      </c>
      <c r="L509" s="193"/>
      <c r="M509" s="193">
        <f t="shared" si="22"/>
        <v>24700</v>
      </c>
    </row>
    <row r="510" spans="3:13" x14ac:dyDescent="0.25">
      <c r="C510" s="193" t="str">
        <f t="shared" si="15"/>
        <v>F</v>
      </c>
      <c r="D510" s="193"/>
      <c r="E510" s="314"/>
      <c r="F510" s="302">
        <f t="shared" si="16"/>
        <v>0</v>
      </c>
      <c r="G510" s="327">
        <f t="shared" si="17"/>
        <v>0</v>
      </c>
      <c r="H510" s="302">
        <f t="shared" si="18"/>
        <v>539.9</v>
      </c>
      <c r="I510" s="302">
        <f t="shared" si="19"/>
        <v>0</v>
      </c>
      <c r="J510" s="302">
        <f t="shared" si="20"/>
        <v>145.80000000000001</v>
      </c>
      <c r="K510" s="193">
        <f t="shared" si="21"/>
        <v>685.7</v>
      </c>
      <c r="L510" s="193"/>
      <c r="M510" s="193">
        <f t="shared" si="22"/>
        <v>137140</v>
      </c>
    </row>
    <row r="511" spans="3:13" x14ac:dyDescent="0.25">
      <c r="C511" s="193" t="str">
        <f t="shared" si="15"/>
        <v>F1</v>
      </c>
      <c r="D511" s="193"/>
      <c r="E511" s="314"/>
      <c r="F511" s="302">
        <f t="shared" si="16"/>
        <v>0</v>
      </c>
      <c r="G511" s="327">
        <f t="shared" si="17"/>
        <v>0</v>
      </c>
      <c r="H511" s="302">
        <f t="shared" si="18"/>
        <v>0</v>
      </c>
      <c r="I511" s="302">
        <f t="shared" si="19"/>
        <v>0</v>
      </c>
      <c r="J511" s="302">
        <f t="shared" si="20"/>
        <v>0</v>
      </c>
      <c r="K511" s="193">
        <f t="shared" ref="K511:K514" si="23">SUM(F511:J511)</f>
        <v>0</v>
      </c>
      <c r="L511" s="193"/>
      <c r="M511" s="193">
        <f t="shared" si="22"/>
        <v>0</v>
      </c>
    </row>
    <row r="512" spans="3:13" x14ac:dyDescent="0.25">
      <c r="C512" s="193" t="str">
        <f t="shared" si="15"/>
        <v>G</v>
      </c>
      <c r="D512" s="193"/>
      <c r="E512" s="314"/>
      <c r="F512" s="302">
        <f t="shared" si="16"/>
        <v>0</v>
      </c>
      <c r="G512" s="327">
        <f t="shared" si="17"/>
        <v>0</v>
      </c>
      <c r="H512" s="302">
        <f t="shared" si="18"/>
        <v>0</v>
      </c>
      <c r="I512" s="302">
        <f t="shared" si="19"/>
        <v>0</v>
      </c>
      <c r="J512" s="302">
        <f t="shared" si="20"/>
        <v>565</v>
      </c>
      <c r="K512" s="193">
        <f t="shared" si="23"/>
        <v>565</v>
      </c>
      <c r="L512" s="193"/>
      <c r="M512" s="193">
        <f t="shared" si="22"/>
        <v>113000</v>
      </c>
    </row>
    <row r="513" spans="3:13" x14ac:dyDescent="0.25">
      <c r="C513" s="193" t="s">
        <v>199</v>
      </c>
      <c r="D513" s="193"/>
      <c r="E513" s="314"/>
      <c r="F513" s="302">
        <f t="shared" si="16"/>
        <v>0</v>
      </c>
      <c r="G513" s="327">
        <f t="shared" si="17"/>
        <v>0</v>
      </c>
      <c r="H513" s="302">
        <f t="shared" si="18"/>
        <v>0</v>
      </c>
      <c r="I513" s="302">
        <f t="shared" si="19"/>
        <v>0</v>
      </c>
      <c r="J513" s="302">
        <f t="shared" si="20"/>
        <v>0</v>
      </c>
      <c r="K513" s="193">
        <f t="shared" si="23"/>
        <v>0</v>
      </c>
      <c r="L513" s="193"/>
      <c r="M513" s="193">
        <f t="shared" si="22"/>
        <v>0</v>
      </c>
    </row>
    <row r="514" spans="3:13" x14ac:dyDescent="0.25">
      <c r="C514" s="193" t="s">
        <v>199</v>
      </c>
      <c r="D514" s="193"/>
      <c r="E514" s="314"/>
      <c r="F514" s="302">
        <f t="shared" si="16"/>
        <v>0</v>
      </c>
      <c r="G514" s="327">
        <f t="shared" si="17"/>
        <v>0</v>
      </c>
      <c r="H514" s="302">
        <f t="shared" si="18"/>
        <v>0</v>
      </c>
      <c r="I514" s="302">
        <f t="shared" si="19"/>
        <v>0</v>
      </c>
      <c r="J514" s="302">
        <f t="shared" si="20"/>
        <v>0</v>
      </c>
      <c r="K514" s="193">
        <f t="shared" si="23"/>
        <v>0</v>
      </c>
      <c r="L514" s="193"/>
      <c r="M514" s="193">
        <f t="shared" si="22"/>
        <v>0</v>
      </c>
    </row>
    <row r="515" spans="3:13" ht="15.75" thickBot="1" x14ac:dyDescent="0.3">
      <c r="C515" s="194" t="s">
        <v>126</v>
      </c>
      <c r="D515" s="194"/>
      <c r="E515" s="315"/>
      <c r="F515" s="303">
        <f t="shared" ref="F515:K515" si="24">SUM(F499:F514)</f>
        <v>1197.1999999999998</v>
      </c>
      <c r="G515" s="328">
        <f t="shared" si="24"/>
        <v>4113</v>
      </c>
      <c r="H515" s="303">
        <f t="shared" si="24"/>
        <v>1377.3000000000002</v>
      </c>
      <c r="I515" s="303">
        <f t="shared" si="24"/>
        <v>20</v>
      </c>
      <c r="J515" s="303">
        <f t="shared" si="24"/>
        <v>1624.3000000000002</v>
      </c>
      <c r="K515" s="194">
        <f t="shared" si="24"/>
        <v>8331.8000000000011</v>
      </c>
      <c r="L515" s="194"/>
      <c r="M515" s="194">
        <f>SUM(M499:M514)</f>
        <v>1608895.2</v>
      </c>
    </row>
    <row r="516" spans="3:13" ht="15.75" thickTop="1" x14ac:dyDescent="0.25">
      <c r="C516" s="195"/>
      <c r="D516" s="195"/>
      <c r="E516" s="316"/>
      <c r="F516" s="197"/>
      <c r="G516" s="327"/>
      <c r="H516" s="197"/>
      <c r="I516" s="197"/>
      <c r="J516" s="197"/>
      <c r="K516" s="197"/>
      <c r="L516" s="198"/>
      <c r="M516" s="196"/>
    </row>
    <row r="517" spans="3:13" ht="15.75" thickBot="1" x14ac:dyDescent="0.3">
      <c r="C517" s="194" t="s">
        <v>127</v>
      </c>
      <c r="D517" s="194"/>
      <c r="E517" s="315"/>
      <c r="F517" s="303">
        <f>SUMPRODUCT(--($E$4:$E$498="H"),$F$4:$F$498)</f>
        <v>0</v>
      </c>
      <c r="G517" s="328">
        <f>SUMPRODUCT(--($E$4:$E$498="H"),G4:G498)</f>
        <v>0</v>
      </c>
      <c r="H517" s="303">
        <f>SUMPRODUCT(--($E$4:$E$498="H"),H4:H498)</f>
        <v>27.2</v>
      </c>
      <c r="I517" s="303">
        <f>SUMPRODUCT(--($E$4:$E$498="H"),I4:I498)</f>
        <v>0</v>
      </c>
      <c r="J517" s="303">
        <f>SUMPRODUCT(--($E$4:$E$498="H"),J4:J498)</f>
        <v>0</v>
      </c>
      <c r="K517" s="194">
        <f>SUM(F517:J517)</f>
        <v>27.2</v>
      </c>
      <c r="L517" s="199"/>
      <c r="M517" s="200"/>
    </row>
    <row r="518" spans="3:13" ht="18" customHeight="1" thickTop="1" x14ac:dyDescent="0.25"/>
    <row r="519" spans="3:13" ht="14.45" hidden="1" x14ac:dyDescent="0.3">
      <c r="C519" s="10" t="s">
        <v>272</v>
      </c>
      <c r="D519" s="10"/>
      <c r="E519" s="317"/>
      <c r="F519" s="304"/>
      <c r="G519" s="329"/>
      <c r="H519" s="304"/>
      <c r="I519" s="304"/>
      <c r="J519" s="304"/>
      <c r="K519" s="10"/>
    </row>
    <row r="520" spans="3:13" ht="14.45" hidden="1" x14ac:dyDescent="0.3">
      <c r="C520" s="10" t="str">
        <f t="shared" ref="C520:C525" si="25">C500</f>
        <v>A</v>
      </c>
      <c r="D520" s="10"/>
      <c r="E520" s="317"/>
      <c r="F520" s="304">
        <f t="shared" ref="F520:F534" si="26">SUMPRODUCT(--($E$4:$E$498=C520),--($D$4:$D$498="X"),$F$4:$F$498)</f>
        <v>0</v>
      </c>
      <c r="G520" s="329">
        <f t="shared" ref="G520:G534" si="27">SUMPRODUCT(--($E$4:$E$498=C520),--($D$4:$D$498="X"),$G$4:$G$498)</f>
        <v>0</v>
      </c>
      <c r="H520" s="304">
        <f t="shared" ref="H520:H534" si="28">SUMPRODUCT(--($E$4:$E$498=C520),--($D$4:$D$498="X"),$H$4:$H$498)</f>
        <v>0</v>
      </c>
      <c r="I520" s="304">
        <f t="shared" ref="I520:I534" si="29">SUMPRODUCT(--($E$4:$E$498=C520),--($D$4:$D$498="X"),$I$4:$I$498)</f>
        <v>0</v>
      </c>
      <c r="J520" s="304">
        <f t="shared" ref="J520:J534" si="30">SUMPRODUCT(--($E$4:$E$498=C520),--($D$4:$D$498="X"),$J$4:$J$498)</f>
        <v>0</v>
      </c>
      <c r="K520" s="10">
        <f t="shared" ref="K520:K531" si="31">SUM(F520:J520)</f>
        <v>0</v>
      </c>
    </row>
    <row r="521" spans="3:13" ht="14.45" hidden="1" x14ac:dyDescent="0.3">
      <c r="C521" s="10" t="str">
        <f t="shared" si="25"/>
        <v>A1</v>
      </c>
      <c r="D521" s="10"/>
      <c r="E521" s="317"/>
      <c r="F521" s="304">
        <f t="shared" si="26"/>
        <v>0</v>
      </c>
      <c r="G521" s="329">
        <f t="shared" si="27"/>
        <v>0</v>
      </c>
      <c r="H521" s="304">
        <f t="shared" si="28"/>
        <v>0</v>
      </c>
      <c r="I521" s="304">
        <f t="shared" si="29"/>
        <v>0</v>
      </c>
      <c r="J521" s="304">
        <f t="shared" si="30"/>
        <v>0</v>
      </c>
      <c r="K521" s="10">
        <f t="shared" si="31"/>
        <v>0</v>
      </c>
    </row>
    <row r="522" spans="3:13" ht="14.45" hidden="1" x14ac:dyDescent="0.3">
      <c r="C522" s="10" t="str">
        <f t="shared" si="25"/>
        <v>A2</v>
      </c>
      <c r="D522" s="10"/>
      <c r="E522" s="317"/>
      <c r="F522" s="304">
        <f t="shared" si="26"/>
        <v>0</v>
      </c>
      <c r="G522" s="329">
        <f t="shared" si="27"/>
        <v>0</v>
      </c>
      <c r="H522" s="304">
        <f t="shared" si="28"/>
        <v>0</v>
      </c>
      <c r="I522" s="304">
        <f t="shared" si="29"/>
        <v>0</v>
      </c>
      <c r="J522" s="304">
        <f t="shared" si="30"/>
        <v>0</v>
      </c>
      <c r="K522" s="10">
        <f t="shared" si="31"/>
        <v>0</v>
      </c>
    </row>
    <row r="523" spans="3:13" ht="14.45" hidden="1" x14ac:dyDescent="0.3">
      <c r="C523" s="10" t="str">
        <f t="shared" si="25"/>
        <v>B</v>
      </c>
      <c r="D523" s="10"/>
      <c r="E523" s="317"/>
      <c r="F523" s="304">
        <f t="shared" si="26"/>
        <v>0</v>
      </c>
      <c r="G523" s="329">
        <f t="shared" si="27"/>
        <v>0</v>
      </c>
      <c r="H523" s="304">
        <f t="shared" si="28"/>
        <v>0</v>
      </c>
      <c r="I523" s="304">
        <f t="shared" si="29"/>
        <v>0</v>
      </c>
      <c r="J523" s="304">
        <f t="shared" si="30"/>
        <v>0</v>
      </c>
      <c r="K523" s="10">
        <f t="shared" si="31"/>
        <v>0</v>
      </c>
    </row>
    <row r="524" spans="3:13" ht="14.45" hidden="1" x14ac:dyDescent="0.3">
      <c r="C524" s="10" t="str">
        <f t="shared" si="25"/>
        <v>B1</v>
      </c>
      <c r="D524" s="10"/>
      <c r="E524" s="317"/>
      <c r="F524" s="304">
        <f t="shared" si="26"/>
        <v>0</v>
      </c>
      <c r="G524" s="329">
        <f t="shared" si="27"/>
        <v>0</v>
      </c>
      <c r="H524" s="304">
        <f t="shared" si="28"/>
        <v>0</v>
      </c>
      <c r="I524" s="304">
        <f t="shared" si="29"/>
        <v>0</v>
      </c>
      <c r="J524" s="304">
        <f t="shared" si="30"/>
        <v>0</v>
      </c>
      <c r="K524" s="10">
        <f t="shared" si="31"/>
        <v>0</v>
      </c>
    </row>
    <row r="525" spans="3:13" ht="14.45" hidden="1" x14ac:dyDescent="0.3">
      <c r="C525" s="10" t="str">
        <f t="shared" si="25"/>
        <v>C</v>
      </c>
      <c r="D525" s="10"/>
      <c r="E525" s="317"/>
      <c r="F525" s="304">
        <f t="shared" si="26"/>
        <v>0</v>
      </c>
      <c r="G525" s="329">
        <f t="shared" si="27"/>
        <v>0</v>
      </c>
      <c r="H525" s="304">
        <f t="shared" si="28"/>
        <v>0</v>
      </c>
      <c r="I525" s="304">
        <f t="shared" si="29"/>
        <v>0</v>
      </c>
      <c r="J525" s="304">
        <f t="shared" si="30"/>
        <v>0</v>
      </c>
      <c r="K525" s="10">
        <f t="shared" si="31"/>
        <v>0</v>
      </c>
    </row>
    <row r="526" spans="3:13" ht="14.45" hidden="1" x14ac:dyDescent="0.3">
      <c r="C526" s="10" t="str">
        <f t="shared" ref="C526:C532" si="32">C506</f>
        <v>C1</v>
      </c>
      <c r="D526" s="10"/>
      <c r="E526" s="317"/>
      <c r="F526" s="304">
        <f t="shared" si="26"/>
        <v>0</v>
      </c>
      <c r="G526" s="329">
        <f t="shared" si="27"/>
        <v>0</v>
      </c>
      <c r="H526" s="304">
        <f t="shared" si="28"/>
        <v>0</v>
      </c>
      <c r="I526" s="304">
        <f t="shared" si="29"/>
        <v>0</v>
      </c>
      <c r="J526" s="304">
        <f t="shared" si="30"/>
        <v>0</v>
      </c>
      <c r="K526" s="10">
        <f t="shared" si="31"/>
        <v>0</v>
      </c>
    </row>
    <row r="527" spans="3:13" ht="14.45" hidden="1" x14ac:dyDescent="0.3">
      <c r="C527" s="10" t="str">
        <f t="shared" si="32"/>
        <v>D</v>
      </c>
      <c r="D527" s="10"/>
      <c r="E527" s="317"/>
      <c r="F527" s="304">
        <f t="shared" si="26"/>
        <v>0</v>
      </c>
      <c r="G527" s="329">
        <f t="shared" si="27"/>
        <v>0</v>
      </c>
      <c r="H527" s="304">
        <f t="shared" si="28"/>
        <v>0</v>
      </c>
      <c r="I527" s="304">
        <f t="shared" si="29"/>
        <v>0</v>
      </c>
      <c r="J527" s="304">
        <f t="shared" si="30"/>
        <v>0</v>
      </c>
      <c r="K527" s="10">
        <f t="shared" si="31"/>
        <v>0</v>
      </c>
    </row>
    <row r="528" spans="3:13" ht="14.45" hidden="1" x14ac:dyDescent="0.3">
      <c r="C528" s="10" t="str">
        <f t="shared" si="32"/>
        <v>D1</v>
      </c>
      <c r="D528" s="10"/>
      <c r="E528" s="317"/>
      <c r="F528" s="304">
        <f t="shared" si="26"/>
        <v>0</v>
      </c>
      <c r="G528" s="329">
        <f t="shared" si="27"/>
        <v>0</v>
      </c>
      <c r="H528" s="304">
        <f t="shared" si="28"/>
        <v>0</v>
      </c>
      <c r="I528" s="304">
        <f t="shared" si="29"/>
        <v>0</v>
      </c>
      <c r="J528" s="304">
        <f t="shared" si="30"/>
        <v>0</v>
      </c>
      <c r="K528" s="10">
        <f t="shared" si="31"/>
        <v>0</v>
      </c>
    </row>
    <row r="529" spans="3:11" ht="14.45" hidden="1" x14ac:dyDescent="0.3">
      <c r="C529" s="10" t="str">
        <f t="shared" si="32"/>
        <v>E</v>
      </c>
      <c r="D529" s="10"/>
      <c r="E529" s="317"/>
      <c r="F529" s="304">
        <f t="shared" si="26"/>
        <v>0</v>
      </c>
      <c r="G529" s="329">
        <f t="shared" si="27"/>
        <v>0</v>
      </c>
      <c r="H529" s="304">
        <f t="shared" si="28"/>
        <v>0</v>
      </c>
      <c r="I529" s="304">
        <f t="shared" si="29"/>
        <v>0</v>
      </c>
      <c r="J529" s="304">
        <f t="shared" si="30"/>
        <v>0</v>
      </c>
      <c r="K529" s="10">
        <f t="shared" si="31"/>
        <v>0</v>
      </c>
    </row>
    <row r="530" spans="3:11" ht="14.45" hidden="1" x14ac:dyDescent="0.3">
      <c r="C530" s="10" t="str">
        <f t="shared" si="32"/>
        <v>F</v>
      </c>
      <c r="D530" s="10"/>
      <c r="E530" s="317"/>
      <c r="F530" s="304">
        <f t="shared" si="26"/>
        <v>0</v>
      </c>
      <c r="G530" s="329">
        <f t="shared" si="27"/>
        <v>0</v>
      </c>
      <c r="H530" s="304">
        <f t="shared" si="28"/>
        <v>0</v>
      </c>
      <c r="I530" s="304">
        <f t="shared" si="29"/>
        <v>0</v>
      </c>
      <c r="J530" s="304">
        <f t="shared" si="30"/>
        <v>0</v>
      </c>
      <c r="K530" s="10">
        <f t="shared" si="31"/>
        <v>0</v>
      </c>
    </row>
    <row r="531" spans="3:11" ht="14.45" hidden="1" x14ac:dyDescent="0.3">
      <c r="C531" s="10" t="str">
        <f t="shared" si="32"/>
        <v>F1</v>
      </c>
      <c r="D531" s="10"/>
      <c r="E531" s="317"/>
      <c r="F531" s="304">
        <f t="shared" si="26"/>
        <v>0</v>
      </c>
      <c r="G531" s="329">
        <f t="shared" si="27"/>
        <v>0</v>
      </c>
      <c r="H531" s="304">
        <f t="shared" si="28"/>
        <v>0</v>
      </c>
      <c r="I531" s="304">
        <f t="shared" si="29"/>
        <v>0</v>
      </c>
      <c r="J531" s="304">
        <f t="shared" si="30"/>
        <v>0</v>
      </c>
      <c r="K531" s="10">
        <f t="shared" si="31"/>
        <v>0</v>
      </c>
    </row>
    <row r="532" spans="3:11" ht="14.45" hidden="1" x14ac:dyDescent="0.3">
      <c r="C532" s="10" t="str">
        <f t="shared" si="32"/>
        <v>G</v>
      </c>
      <c r="D532" s="10"/>
      <c r="E532" s="317"/>
      <c r="F532" s="304">
        <f t="shared" si="26"/>
        <v>0</v>
      </c>
      <c r="G532" s="329">
        <f t="shared" si="27"/>
        <v>0</v>
      </c>
      <c r="H532" s="304">
        <f t="shared" si="28"/>
        <v>0</v>
      </c>
      <c r="I532" s="304">
        <f t="shared" si="29"/>
        <v>0</v>
      </c>
      <c r="J532" s="304">
        <f t="shared" si="30"/>
        <v>0</v>
      </c>
      <c r="K532" s="10">
        <f t="shared" ref="K532:K534" si="33">SUM(F532:J532)</f>
        <v>0</v>
      </c>
    </row>
    <row r="533" spans="3:11" ht="14.45" hidden="1" x14ac:dyDescent="0.3">
      <c r="C533" s="10" t="s">
        <v>199</v>
      </c>
      <c r="D533" s="10"/>
      <c r="E533" s="317"/>
      <c r="F533" s="304">
        <f t="shared" si="26"/>
        <v>0</v>
      </c>
      <c r="G533" s="329">
        <f t="shared" si="27"/>
        <v>0</v>
      </c>
      <c r="H533" s="304">
        <f t="shared" si="28"/>
        <v>0</v>
      </c>
      <c r="I533" s="304">
        <f t="shared" si="29"/>
        <v>0</v>
      </c>
      <c r="J533" s="304">
        <f t="shared" si="30"/>
        <v>0</v>
      </c>
      <c r="K533" s="10">
        <f t="shared" si="33"/>
        <v>0</v>
      </c>
    </row>
    <row r="534" spans="3:11" ht="14.45" hidden="1" x14ac:dyDescent="0.3">
      <c r="C534" s="10" t="s">
        <v>199</v>
      </c>
      <c r="D534" s="10"/>
      <c r="E534" s="317"/>
      <c r="F534" s="304">
        <f t="shared" si="26"/>
        <v>0</v>
      </c>
      <c r="G534" s="329">
        <f t="shared" si="27"/>
        <v>0</v>
      </c>
      <c r="H534" s="304">
        <f t="shared" si="28"/>
        <v>0</v>
      </c>
      <c r="I534" s="304">
        <f t="shared" si="29"/>
        <v>0</v>
      </c>
      <c r="J534" s="304">
        <f t="shared" si="30"/>
        <v>0</v>
      </c>
      <c r="K534" s="10">
        <f t="shared" si="33"/>
        <v>0</v>
      </c>
    </row>
    <row r="535" spans="3:11" hidden="1" thickBot="1" x14ac:dyDescent="0.35">
      <c r="C535" s="11" t="s">
        <v>271</v>
      </c>
      <c r="D535" s="11"/>
      <c r="E535" s="318"/>
      <c r="F535" s="305">
        <f t="shared" ref="F535:K535" si="34">SUM(F520:F534)</f>
        <v>0</v>
      </c>
      <c r="G535" s="330">
        <f t="shared" si="34"/>
        <v>0</v>
      </c>
      <c r="H535" s="305">
        <f t="shared" si="34"/>
        <v>0</v>
      </c>
      <c r="I535" s="305">
        <f t="shared" si="34"/>
        <v>0</v>
      </c>
      <c r="J535" s="305">
        <f t="shared" si="34"/>
        <v>0</v>
      </c>
      <c r="K535" s="11">
        <f t="shared" si="34"/>
        <v>0</v>
      </c>
    </row>
    <row r="536" spans="3:11" x14ac:dyDescent="0.25">
      <c r="C536" s="34"/>
    </row>
    <row r="537" spans="3:11" x14ac:dyDescent="0.25">
      <c r="C537" s="34"/>
    </row>
    <row r="538" spans="3:11" x14ac:dyDescent="0.25">
      <c r="F538" s="306" t="s">
        <v>120</v>
      </c>
      <c r="G538" s="331" t="s">
        <v>121</v>
      </c>
    </row>
    <row r="539" spans="3:11" x14ac:dyDescent="0.25">
      <c r="F539" s="307" t="s">
        <v>95</v>
      </c>
      <c r="G539" s="332">
        <v>200</v>
      </c>
    </row>
    <row r="540" spans="3:11" x14ac:dyDescent="0.25">
      <c r="F540" s="307" t="s">
        <v>478</v>
      </c>
      <c r="G540" s="332">
        <v>200</v>
      </c>
    </row>
    <row r="541" spans="3:11" x14ac:dyDescent="0.25">
      <c r="F541" s="307" t="s">
        <v>481</v>
      </c>
      <c r="G541" s="332">
        <v>120</v>
      </c>
    </row>
    <row r="542" spans="3:11" x14ac:dyDescent="0.25">
      <c r="F542" s="307" t="s">
        <v>96</v>
      </c>
      <c r="G542" s="332">
        <v>200</v>
      </c>
    </row>
    <row r="543" spans="3:11" x14ac:dyDescent="0.25">
      <c r="F543" s="307" t="s">
        <v>479</v>
      </c>
      <c r="G543" s="332">
        <v>4</v>
      </c>
    </row>
    <row r="544" spans="3:11" x14ac:dyDescent="0.25">
      <c r="F544" s="307" t="s">
        <v>123</v>
      </c>
      <c r="G544" s="332">
        <v>200</v>
      </c>
    </row>
    <row r="545" spans="6:7" x14ac:dyDescent="0.25">
      <c r="F545" s="307" t="s">
        <v>482</v>
      </c>
      <c r="G545" s="332">
        <v>200</v>
      </c>
    </row>
    <row r="546" spans="6:7" x14ac:dyDescent="0.25">
      <c r="F546" s="307" t="s">
        <v>97</v>
      </c>
      <c r="G546" s="332">
        <v>200</v>
      </c>
    </row>
    <row r="547" spans="6:7" x14ac:dyDescent="0.25">
      <c r="F547" s="307" t="s">
        <v>483</v>
      </c>
      <c r="G547" s="332">
        <v>4</v>
      </c>
    </row>
    <row r="548" spans="6:7" x14ac:dyDescent="0.25">
      <c r="F548" s="307" t="s">
        <v>122</v>
      </c>
      <c r="G548" s="332">
        <v>200</v>
      </c>
    </row>
    <row r="549" spans="6:7" x14ac:dyDescent="0.25">
      <c r="F549" s="307" t="s">
        <v>124</v>
      </c>
      <c r="G549" s="332">
        <v>200</v>
      </c>
    </row>
    <row r="550" spans="6:7" ht="14.45" hidden="1" x14ac:dyDescent="0.3">
      <c r="F550" s="307" t="s">
        <v>484</v>
      </c>
      <c r="G550" s="332">
        <v>200</v>
      </c>
    </row>
    <row r="551" spans="6:7" x14ac:dyDescent="0.25">
      <c r="F551" s="307" t="s">
        <v>125</v>
      </c>
      <c r="G551" s="332">
        <v>200</v>
      </c>
    </row>
    <row r="552" spans="6:7" x14ac:dyDescent="0.25">
      <c r="F552" s="307"/>
      <c r="G552" s="332"/>
    </row>
    <row r="553" spans="6:7" x14ac:dyDescent="0.25">
      <c r="F553" s="307"/>
      <c r="G553" s="332"/>
    </row>
    <row r="554" spans="6:7" x14ac:dyDescent="0.25">
      <c r="F554" s="308"/>
      <c r="G554" s="333"/>
    </row>
  </sheetData>
  <printOptions gridLines="1"/>
  <pageMargins left="0.70866141732283472" right="0.70866141732283472" top="0.94488188976377963" bottom="0.74803149606299213" header="0.31496062992125984" footer="0.31496062992125984"/>
  <pageSetup paperSize="9" scale="90" orientation="portrait" cellComments="asDisplayed" r:id="rId1"/>
  <headerFooter>
    <oddHeader>&amp;L&amp;G</oddHead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>
    <tabColor rgb="FFF07512"/>
  </sheetPr>
  <dimension ref="A1:O127"/>
  <sheetViews>
    <sheetView showGridLines="0" showZeros="0" view="pageBreakPreview" zoomScale="60" zoomScaleNormal="100" workbookViewId="0">
      <selection activeCell="D8" sqref="D8"/>
    </sheetView>
  </sheetViews>
  <sheetFormatPr defaultColWidth="0" defaultRowHeight="0" customHeight="1" zeroHeight="1" x14ac:dyDescent="0.25"/>
  <cols>
    <col min="1" max="3" width="9.140625" customWidth="1"/>
    <col min="4" max="5" width="15.7109375" customWidth="1"/>
    <col min="6" max="6" width="17.140625" customWidth="1"/>
    <col min="7" max="9" width="15.7109375" customWidth="1"/>
    <col min="10" max="11" width="2.85546875" customWidth="1"/>
    <col min="12" max="12" width="12.140625" customWidth="1"/>
    <col min="13" max="13" width="15.7109375" customWidth="1"/>
    <col min="14" max="14" width="16.42578125" customWidth="1"/>
    <col min="15" max="15" width="2.140625" customWidth="1"/>
    <col min="16" max="16384" width="9.140625" hidden="1"/>
  </cols>
  <sheetData>
    <row r="1" spans="1:13" ht="14.45" x14ac:dyDescent="0.3"/>
    <row r="2" spans="1:13" ht="23.45" x14ac:dyDescent="0.45">
      <c r="D2" s="42" t="str">
        <f>CONCATENATE("Uitvoeringsbepaling"," ",L5,", onderdeel van ",verzamelblad!A2," ",verzamelblad!A3)</f>
        <v>Uitvoeringsbepaling , onderdeel van bestek 2016-S2800</v>
      </c>
      <c r="E2" s="13"/>
      <c r="F2" s="13"/>
      <c r="G2" s="13"/>
      <c r="H2" s="22"/>
    </row>
    <row r="3" spans="1:13" ht="14.45" x14ac:dyDescent="0.3">
      <c r="A3" s="17"/>
      <c r="B3" s="17"/>
      <c r="C3" s="17"/>
      <c r="D3" s="13"/>
      <c r="E3" s="13"/>
      <c r="F3" s="17"/>
      <c r="G3" s="17"/>
      <c r="H3" s="17"/>
      <c r="I3" s="15"/>
      <c r="J3" s="15"/>
      <c r="K3" s="15"/>
    </row>
    <row r="4" spans="1:13" ht="15" customHeight="1" x14ac:dyDescent="0.3">
      <c r="A4" s="109" t="s">
        <v>72</v>
      </c>
      <c r="B4" s="94">
        <f>VLOOKUP(H5,verzamelblad!A5:E54,3)</f>
        <v>0</v>
      </c>
      <c r="C4" s="94"/>
      <c r="D4" s="94"/>
      <c r="E4" s="95"/>
      <c r="F4" s="81"/>
      <c r="G4" s="205"/>
      <c r="H4" s="99"/>
      <c r="I4" s="15"/>
      <c r="J4" s="15"/>
      <c r="K4" s="15"/>
    </row>
    <row r="5" spans="1:13" ht="14.45" x14ac:dyDescent="0.3">
      <c r="A5" s="106" t="s">
        <v>71</v>
      </c>
      <c r="B5" s="94">
        <f>VLOOKUP(H5,verzamelblad!A5:E54,4)</f>
        <v>0</v>
      </c>
      <c r="C5" s="94"/>
      <c r="D5" s="94"/>
      <c r="E5" s="96"/>
      <c r="F5" s="81"/>
      <c r="G5" s="206" t="s">
        <v>76</v>
      </c>
      <c r="H5" s="100">
        <v>2</v>
      </c>
      <c r="I5" s="15"/>
      <c r="J5" s="15"/>
      <c r="K5" s="15"/>
    </row>
    <row r="6" spans="1:13" ht="14.45" x14ac:dyDescent="0.3">
      <c r="A6" s="108" t="s">
        <v>73</v>
      </c>
      <c r="B6" s="97">
        <f>VLOOKUP(H5,verzamelblad!A5:E54,5)</f>
        <v>0</v>
      </c>
      <c r="C6" s="97"/>
      <c r="D6" s="97"/>
      <c r="E6" s="98"/>
      <c r="F6" s="84"/>
      <c r="G6" s="207" t="s">
        <v>77</v>
      </c>
      <c r="H6" s="101" t="str">
        <f>CONCATENATE(H5,"a")</f>
        <v>2a</v>
      </c>
      <c r="I6" s="15"/>
      <c r="J6" s="15"/>
      <c r="K6" s="15"/>
    </row>
    <row r="7" spans="1:13" ht="14.45" x14ac:dyDescent="0.3">
      <c r="A7" s="23"/>
      <c r="B7" s="23"/>
      <c r="C7" s="23"/>
      <c r="D7" s="23"/>
      <c r="E7" s="23"/>
      <c r="F7" s="15"/>
      <c r="G7" s="43"/>
      <c r="H7" s="44"/>
      <c r="I7" s="15"/>
      <c r="J7" s="15"/>
      <c r="K7" s="15"/>
    </row>
    <row r="8" spans="1:13" ht="14.45" x14ac:dyDescent="0.3">
      <c r="A8" s="109" t="s">
        <v>74</v>
      </c>
      <c r="B8" s="110"/>
      <c r="C8" s="110"/>
      <c r="D8" s="110"/>
      <c r="E8" s="102">
        <f>VLOOKUP($H$5,verzamelblad!$A$5:$EP$54,14,0)</f>
        <v>0</v>
      </c>
      <c r="F8" s="15"/>
      <c r="G8" s="15"/>
      <c r="H8" s="15"/>
      <c r="I8" s="15"/>
      <c r="J8" s="15"/>
      <c r="K8" s="15"/>
    </row>
    <row r="9" spans="1:13" ht="14.45" x14ac:dyDescent="0.3">
      <c r="A9" s="108" t="s">
        <v>75</v>
      </c>
      <c r="B9" s="84"/>
      <c r="C9" s="84"/>
      <c r="D9" s="84"/>
      <c r="E9" s="103">
        <f>VLOOKUP($H$5,verzamelblad!$A$5:$EP$54,6,0)</f>
        <v>200</v>
      </c>
      <c r="F9" s="15"/>
      <c r="G9" s="15"/>
      <c r="H9" s="15"/>
      <c r="I9" s="15"/>
      <c r="J9" s="15"/>
      <c r="K9" s="15"/>
    </row>
    <row r="10" spans="1:13" ht="18.75" customHeight="1" x14ac:dyDescent="0.25">
      <c r="F10" s="4" t="s">
        <v>81</v>
      </c>
      <c r="G10" s="4" t="s">
        <v>201</v>
      </c>
      <c r="H10" s="4" t="s">
        <v>216</v>
      </c>
      <c r="I10" s="4" t="s">
        <v>82</v>
      </c>
      <c r="J10" s="249"/>
      <c r="K10" s="249"/>
      <c r="L10" s="4" t="s">
        <v>83</v>
      </c>
      <c r="M10" s="4" t="s">
        <v>84</v>
      </c>
    </row>
    <row r="11" spans="1:13" ht="14.45" x14ac:dyDescent="0.3">
      <c r="A11" s="104" t="s">
        <v>99</v>
      </c>
      <c r="B11" s="105"/>
      <c r="C11" s="105"/>
      <c r="D11" s="117"/>
      <c r="E11" s="82"/>
      <c r="F11" s="165">
        <f>SUM(I11/12)</f>
        <v>0</v>
      </c>
      <c r="G11" s="166">
        <f>SUM(L11/12)</f>
        <v>0</v>
      </c>
      <c r="H11" s="135">
        <f>SUM(L11/E9)</f>
        <v>0</v>
      </c>
      <c r="I11" s="165">
        <f>SUM($I$14*M11)</f>
        <v>0</v>
      </c>
      <c r="J11" s="278"/>
      <c r="K11" s="165"/>
      <c r="L11" s="166">
        <f>SUM(L14*M11)</f>
        <v>0</v>
      </c>
      <c r="M11" s="73">
        <v>0.9</v>
      </c>
    </row>
    <row r="12" spans="1:13" ht="14.45" x14ac:dyDescent="0.3">
      <c r="A12" s="118" t="s">
        <v>100</v>
      </c>
      <c r="B12" s="119"/>
      <c r="C12" s="119"/>
      <c r="D12" s="120"/>
      <c r="E12" s="83"/>
      <c r="F12" s="167">
        <f>SUM(I12/3)</f>
        <v>0</v>
      </c>
      <c r="G12" s="168">
        <f>SUM(L12/3)</f>
        <v>0</v>
      </c>
      <c r="H12" s="45"/>
      <c r="I12" s="173">
        <f t="shared" ref="I12:I13" si="0">SUM($I$14*M12)</f>
        <v>0</v>
      </c>
      <c r="J12" s="279"/>
      <c r="K12" s="173"/>
      <c r="L12" s="174">
        <f>SUM(L14*M12)</f>
        <v>0</v>
      </c>
      <c r="M12" s="74">
        <v>0.1</v>
      </c>
    </row>
    <row r="13" spans="1:13" ht="14.45" x14ac:dyDescent="0.3">
      <c r="A13" s="121" t="s">
        <v>101</v>
      </c>
      <c r="B13" s="122"/>
      <c r="C13" s="122"/>
      <c r="D13" s="123"/>
      <c r="E13" s="85"/>
      <c r="F13" s="169">
        <f>I13</f>
        <v>0</v>
      </c>
      <c r="G13" s="170">
        <f>L13</f>
        <v>0</v>
      </c>
      <c r="H13" s="46"/>
      <c r="I13" s="175">
        <f t="shared" si="0"/>
        <v>0</v>
      </c>
      <c r="J13" s="280"/>
      <c r="K13" s="175"/>
      <c r="L13" s="176">
        <f>SUM(L14*M13)</f>
        <v>0</v>
      </c>
      <c r="M13" s="75">
        <v>0.1</v>
      </c>
    </row>
    <row r="14" spans="1:13" ht="15" thickBot="1" x14ac:dyDescent="0.35">
      <c r="A14" s="15" t="s">
        <v>78</v>
      </c>
      <c r="B14" s="15"/>
      <c r="C14" s="15"/>
      <c r="D14" s="15"/>
      <c r="E14" s="58"/>
      <c r="F14" s="171">
        <f>SUM(F11:F13)</f>
        <v>0</v>
      </c>
      <c r="G14" s="172">
        <f t="shared" ref="G14" si="1">SUM(G11:G13)</f>
        <v>0</v>
      </c>
      <c r="H14" s="59"/>
      <c r="I14" s="171">
        <f>E103</f>
        <v>0</v>
      </c>
      <c r="J14" s="260"/>
      <c r="K14" s="192"/>
      <c r="L14" s="172">
        <f>SUM(I14/offertetarief)</f>
        <v>0</v>
      </c>
      <c r="M14" s="15" t="str">
        <f>IF(SUM(M11:M13)=100%,"","Geen 100%")</f>
        <v>Geen 100%</v>
      </c>
    </row>
    <row r="15" spans="1:13" ht="15" thickTop="1" x14ac:dyDescent="0.3">
      <c r="F15" s="4" t="s">
        <v>85</v>
      </c>
      <c r="G15" s="4" t="s">
        <v>86</v>
      </c>
    </row>
    <row r="16" spans="1:13" ht="14.45" x14ac:dyDescent="0.3">
      <c r="A16" s="114" t="s">
        <v>79</v>
      </c>
      <c r="B16" s="111"/>
      <c r="C16" s="111"/>
      <c r="D16" s="111"/>
      <c r="E16" s="116"/>
      <c r="F16" s="177">
        <f>SUM((L14*directtoezicht)/E9)</f>
        <v>0</v>
      </c>
      <c r="G16" s="178">
        <f>IF(L14="","",SUM(L14*directtoezicht))</f>
        <v>0</v>
      </c>
    </row>
    <row r="17" spans="1:14" ht="15.75" customHeight="1" x14ac:dyDescent="0.3">
      <c r="M17" t="s">
        <v>91</v>
      </c>
      <c r="N17" t="s">
        <v>93</v>
      </c>
    </row>
    <row r="18" spans="1:14" ht="15.75" customHeight="1" x14ac:dyDescent="0.3">
      <c r="A18" t="s">
        <v>220</v>
      </c>
      <c r="M18" t="s">
        <v>92</v>
      </c>
      <c r="N18" t="s">
        <v>94</v>
      </c>
    </row>
    <row r="19" spans="1:14" ht="14.45" x14ac:dyDescent="0.3">
      <c r="A19" s="114" t="s">
        <v>217</v>
      </c>
      <c r="B19" s="111"/>
      <c r="C19" s="115"/>
      <c r="D19" s="179" t="e">
        <f ca="1">D103</f>
        <v>#REF!</v>
      </c>
      <c r="E19" s="111"/>
      <c r="F19" s="112" t="s">
        <v>218</v>
      </c>
      <c r="G19" s="180" t="e">
        <f ca="1">D103/E9</f>
        <v>#REF!</v>
      </c>
      <c r="H19" s="113" t="s">
        <v>219</v>
      </c>
      <c r="I19" s="181" t="e">
        <f ca="1">SUM(D19/L14)</f>
        <v>#REF!</v>
      </c>
      <c r="J19" s="250"/>
      <c r="K19" s="250"/>
      <c r="M19" s="91" t="e">
        <f ca="1">INDIRECT("'" &amp; $H$6 &amp; "'!F539")</f>
        <v>#REF!</v>
      </c>
      <c r="N19" s="70"/>
    </row>
    <row r="20" spans="1:14" ht="14.45" x14ac:dyDescent="0.3">
      <c r="M20" s="92" t="e">
        <f ca="1">INDIRECT("'" &amp; $H$6 &amp; "'!F540")</f>
        <v>#REF!</v>
      </c>
      <c r="N20" s="71"/>
    </row>
    <row r="21" spans="1:14" ht="14.45" x14ac:dyDescent="0.3">
      <c r="A21" t="s">
        <v>80</v>
      </c>
      <c r="B21" s="17"/>
      <c r="D21" s="4" t="s">
        <v>29</v>
      </c>
      <c r="E21" s="4" t="s">
        <v>30</v>
      </c>
      <c r="F21" s="4" t="s">
        <v>87</v>
      </c>
      <c r="G21" s="4" t="s">
        <v>88</v>
      </c>
      <c r="H21" s="4" t="s">
        <v>89</v>
      </c>
      <c r="I21" s="4" t="s">
        <v>90</v>
      </c>
      <c r="J21" s="4"/>
      <c r="K21" s="4"/>
      <c r="M21" s="92" t="e">
        <f ca="1">INDIRECT("'" &amp; $H$6 &amp; "'!F541")</f>
        <v>#REF!</v>
      </c>
      <c r="N21" s="71"/>
    </row>
    <row r="22" spans="1:14" ht="14.45" x14ac:dyDescent="0.3">
      <c r="A22" s="109">
        <f>VLOOKUP($H$5,verzamelblad!$A$5:$EP$54,32,0)</f>
        <v>0</v>
      </c>
      <c r="B22" s="81"/>
      <c r="C22" s="82"/>
      <c r="D22" s="87">
        <f>VLOOKUP($H$5,verzamelblad!$A$5:$EP$54,33,0)</f>
        <v>0</v>
      </c>
      <c r="E22" s="87">
        <v>0</v>
      </c>
      <c r="F22" s="64"/>
      <c r="G22" s="182">
        <f t="shared" ref="G22:G32" si="2">IF(E22="","",SUM(E22*F22))</f>
        <v>0</v>
      </c>
      <c r="H22" s="87">
        <f>VLOOKUP($H$5,verzamelblad!$A$5:$EP$54,35,0)</f>
        <v>0</v>
      </c>
      <c r="I22" s="185">
        <f>IF(H22="op afroep","",SUM(G22*H22))</f>
        <v>0</v>
      </c>
      <c r="J22" s="281"/>
      <c r="K22" s="185"/>
      <c r="M22" s="92" t="e">
        <f ca="1">INDIRECT("'" &amp; $H$6 &amp; "'!F542")</f>
        <v>#REF!</v>
      </c>
      <c r="N22" s="71"/>
    </row>
    <row r="23" spans="1:14" ht="14.45" x14ac:dyDescent="0.3">
      <c r="A23" s="106" t="s">
        <v>300</v>
      </c>
      <c r="B23" s="107"/>
      <c r="C23" s="83"/>
      <c r="D23" s="88" t="s">
        <v>70</v>
      </c>
      <c r="E23" s="88">
        <v>0</v>
      </c>
      <c r="F23" s="65"/>
      <c r="G23" s="183">
        <f t="shared" si="2"/>
        <v>0</v>
      </c>
      <c r="H23" s="88"/>
      <c r="I23" s="186">
        <f t="shared" ref="I23:I32" si="3">IF(H23="op afroep","",SUM(G23*H23))</f>
        <v>0</v>
      </c>
      <c r="J23" s="282"/>
      <c r="K23" s="186"/>
      <c r="M23" s="92" t="e">
        <f ca="1">INDIRECT("'" &amp; $H$6 &amp; "'!F543")</f>
        <v>#REF!</v>
      </c>
      <c r="N23" s="71"/>
    </row>
    <row r="24" spans="1:14" ht="14.45" x14ac:dyDescent="0.3">
      <c r="A24" s="106" t="s">
        <v>301</v>
      </c>
      <c r="B24" s="107"/>
      <c r="C24" s="83"/>
      <c r="D24" s="88" t="s">
        <v>70</v>
      </c>
      <c r="E24" s="88">
        <v>0</v>
      </c>
      <c r="F24" s="65"/>
      <c r="G24" s="183">
        <f t="shared" si="2"/>
        <v>0</v>
      </c>
      <c r="H24" s="88">
        <f>VLOOKUP($H$5,verzamelblad!$A$5:$EP$54,43,0)</f>
        <v>0</v>
      </c>
      <c r="I24" s="186">
        <f t="shared" si="3"/>
        <v>0</v>
      </c>
      <c r="J24" s="282"/>
      <c r="K24" s="186"/>
      <c r="M24" s="92" t="e">
        <f ca="1">INDIRECT("'" &amp; $H$6 &amp; "'!F544")</f>
        <v>#REF!</v>
      </c>
      <c r="N24" s="71"/>
    </row>
    <row r="25" spans="1:14" ht="14.45" x14ac:dyDescent="0.3">
      <c r="A25" s="106">
        <f>VLOOKUP($H$5,verzamelblad!$A$5:$EP$54,44,0)</f>
        <v>0</v>
      </c>
      <c r="B25" s="107"/>
      <c r="C25" s="83"/>
      <c r="D25" s="88">
        <f>VLOOKUP($H$5,verzamelblad!$A$5:$EP$54,45,0)</f>
        <v>0</v>
      </c>
      <c r="E25" s="88">
        <v>0</v>
      </c>
      <c r="F25" s="65"/>
      <c r="G25" s="183">
        <f t="shared" si="2"/>
        <v>0</v>
      </c>
      <c r="H25" s="88">
        <f>VLOOKUP($H$5,verzamelblad!$A$5:$EP$54,47,0)</f>
        <v>0</v>
      </c>
      <c r="I25" s="186">
        <f t="shared" si="3"/>
        <v>0</v>
      </c>
      <c r="J25" s="282"/>
      <c r="K25" s="186"/>
      <c r="M25" s="92" t="e">
        <f ca="1">INDIRECT("'" &amp; $H$6 &amp; "'!F545")</f>
        <v>#REF!</v>
      </c>
      <c r="N25" s="71"/>
    </row>
    <row r="26" spans="1:14" ht="14.45" x14ac:dyDescent="0.3">
      <c r="A26" s="106">
        <f>VLOOKUP($H$5,verzamelblad!$A$5:$EP$54,48,0)</f>
        <v>0</v>
      </c>
      <c r="B26" s="107"/>
      <c r="C26" s="83"/>
      <c r="D26" s="88">
        <f>VLOOKUP($H$5,verzamelblad!$A$5:$EP$54,49,0)</f>
        <v>0</v>
      </c>
      <c r="E26" s="88">
        <v>0</v>
      </c>
      <c r="F26" s="65"/>
      <c r="G26" s="183">
        <f t="shared" si="2"/>
        <v>0</v>
      </c>
      <c r="H26" s="88">
        <f>VLOOKUP($H$5,verzamelblad!$A$5:$EP$54,51,0)</f>
        <v>0</v>
      </c>
      <c r="I26" s="186">
        <f t="shared" si="3"/>
        <v>0</v>
      </c>
      <c r="J26" s="282"/>
      <c r="K26" s="186"/>
      <c r="M26" s="92"/>
      <c r="N26" s="71"/>
    </row>
    <row r="27" spans="1:14" ht="14.45" x14ac:dyDescent="0.3">
      <c r="A27" s="106">
        <f>VLOOKUP($H$5,verzamelblad!$A$5:$EP$54,52,0)</f>
        <v>0</v>
      </c>
      <c r="B27" s="107"/>
      <c r="C27" s="83"/>
      <c r="D27" s="88">
        <f>VLOOKUP($H$5,verzamelblad!$A$5:$EP$54,53,0)</f>
        <v>0</v>
      </c>
      <c r="E27" s="88">
        <v>0</v>
      </c>
      <c r="F27" s="65"/>
      <c r="G27" s="183">
        <f t="shared" si="2"/>
        <v>0</v>
      </c>
      <c r="H27" s="88">
        <f>VLOOKUP($H$5,verzamelblad!$A$5:$EP$54,55,0)</f>
        <v>0</v>
      </c>
      <c r="I27" s="186">
        <f t="shared" si="3"/>
        <v>0</v>
      </c>
      <c r="J27" s="282"/>
      <c r="K27" s="186"/>
      <c r="M27" s="92"/>
      <c r="N27" s="71"/>
    </row>
    <row r="28" spans="1:14" ht="14.45" x14ac:dyDescent="0.3">
      <c r="A28" s="106">
        <f>VLOOKUP($H$5,verzamelblad!$A$5:$EP$54,56,0)</f>
        <v>0</v>
      </c>
      <c r="B28" s="107"/>
      <c r="C28" s="83"/>
      <c r="D28" s="88">
        <f>VLOOKUP($H$5,verzamelblad!$A$5:$EP$54,57,0)</f>
        <v>0</v>
      </c>
      <c r="E28" s="88">
        <v>0</v>
      </c>
      <c r="F28" s="65"/>
      <c r="G28" s="183">
        <f t="shared" si="2"/>
        <v>0</v>
      </c>
      <c r="H28" s="88">
        <f>VLOOKUP($H$5,verzamelblad!$A$5:$EP$54,59,0)</f>
        <v>0</v>
      </c>
      <c r="I28" s="186">
        <f t="shared" si="3"/>
        <v>0</v>
      </c>
      <c r="J28" s="282"/>
      <c r="K28" s="186"/>
      <c r="M28" s="92"/>
      <c r="N28" s="71"/>
    </row>
    <row r="29" spans="1:14" ht="14.45" x14ac:dyDescent="0.3">
      <c r="A29" s="106">
        <f>VLOOKUP($H$5,verzamelblad!$A$5:$EP$54,60,0)</f>
        <v>0</v>
      </c>
      <c r="B29" s="107"/>
      <c r="C29" s="83"/>
      <c r="D29" s="88">
        <f>VLOOKUP($H$5,verzamelblad!$A$5:$EP$54,61,0)</f>
        <v>0</v>
      </c>
      <c r="E29" s="88">
        <v>0</v>
      </c>
      <c r="F29" s="65"/>
      <c r="G29" s="183">
        <f t="shared" si="2"/>
        <v>0</v>
      </c>
      <c r="H29" s="88">
        <f>VLOOKUP($H$5,verzamelblad!$A$5:$EP$54,63,0)</f>
        <v>0</v>
      </c>
      <c r="I29" s="186">
        <f t="shared" si="3"/>
        <v>0</v>
      </c>
      <c r="J29" s="282"/>
      <c r="K29" s="186"/>
      <c r="M29" s="92"/>
      <c r="N29" s="71"/>
    </row>
    <row r="30" spans="1:14" ht="14.45" x14ac:dyDescent="0.3">
      <c r="A30" s="106">
        <f>VLOOKUP($H$5,verzamelblad!$A$5:$EP$54,64,0)</f>
        <v>0</v>
      </c>
      <c r="B30" s="107"/>
      <c r="C30" s="83"/>
      <c r="D30" s="88">
        <f>VLOOKUP($H$5,verzamelblad!$A$5:$EP$54,65,0)</f>
        <v>0</v>
      </c>
      <c r="E30" s="88">
        <v>0</v>
      </c>
      <c r="F30" s="65"/>
      <c r="G30" s="183">
        <f t="shared" si="2"/>
        <v>0</v>
      </c>
      <c r="H30" s="88">
        <f>VLOOKUP($H$5,verzamelblad!$A$5:$EP$54,67,0)</f>
        <v>0</v>
      </c>
      <c r="I30" s="186">
        <f t="shared" si="3"/>
        <v>0</v>
      </c>
      <c r="J30" s="282"/>
      <c r="K30" s="186"/>
      <c r="M30" s="92"/>
      <c r="N30" s="71"/>
    </row>
    <row r="31" spans="1:14" ht="14.45" x14ac:dyDescent="0.3">
      <c r="A31" s="106">
        <f>VLOOKUP($H$5,verzamelblad!$A$5:$EP$54,68,0)</f>
        <v>0</v>
      </c>
      <c r="B31" s="107"/>
      <c r="C31" s="83"/>
      <c r="D31" s="88">
        <f>VLOOKUP($H$5,verzamelblad!$A$5:$EP$54,69,0)</f>
        <v>0</v>
      </c>
      <c r="E31" s="88">
        <v>0</v>
      </c>
      <c r="F31" s="65"/>
      <c r="G31" s="183">
        <f t="shared" si="2"/>
        <v>0</v>
      </c>
      <c r="H31" s="88">
        <f>VLOOKUP($H$5,verzamelblad!$A$5:$EP$54,71,0)</f>
        <v>0</v>
      </c>
      <c r="I31" s="186">
        <f t="shared" si="3"/>
        <v>0</v>
      </c>
      <c r="J31" s="282"/>
      <c r="K31" s="186"/>
      <c r="M31" s="92"/>
      <c r="N31" s="71"/>
    </row>
    <row r="32" spans="1:14" ht="14.45" x14ac:dyDescent="0.3">
      <c r="A32" s="108">
        <f>VLOOKUP($H$5,verzamelblad!$A$5:$EP$54,72,0)</f>
        <v>0</v>
      </c>
      <c r="B32" s="84"/>
      <c r="C32" s="85"/>
      <c r="D32" s="90">
        <f>VLOOKUP($H$5,verzamelblad!$A$5:$EP$54,73,0)</f>
        <v>0</v>
      </c>
      <c r="E32" s="90">
        <v>0</v>
      </c>
      <c r="F32" s="66"/>
      <c r="G32" s="184">
        <f t="shared" si="2"/>
        <v>0</v>
      </c>
      <c r="H32" s="90">
        <f>VLOOKUP($H$5,verzamelblad!$A$5:$EP$54,75,0)</f>
        <v>0</v>
      </c>
      <c r="I32" s="187">
        <f t="shared" si="3"/>
        <v>0</v>
      </c>
      <c r="J32" s="283"/>
      <c r="K32" s="187"/>
      <c r="M32" s="92"/>
      <c r="N32" s="71"/>
    </row>
    <row r="33" spans="1:14" ht="15" thickBot="1" x14ac:dyDescent="0.35">
      <c r="A33" s="15" t="s">
        <v>98</v>
      </c>
      <c r="B33" s="15"/>
      <c r="C33" s="15"/>
      <c r="D33" s="15"/>
      <c r="E33" s="15"/>
      <c r="F33" s="15"/>
      <c r="G33" s="15"/>
      <c r="H33" s="15"/>
      <c r="I33" s="188">
        <f>SUM(I22:I32)</f>
        <v>0</v>
      </c>
      <c r="J33" s="23"/>
      <c r="K33" s="23"/>
      <c r="M33" s="93"/>
      <c r="N33" s="72"/>
    </row>
    <row r="34" spans="1:14" ht="15" thickTop="1" x14ac:dyDescent="0.3"/>
    <row r="35" spans="1:14" ht="14.45" x14ac:dyDescent="0.3">
      <c r="A35" t="s">
        <v>102</v>
      </c>
      <c r="E35" s="4" t="s">
        <v>70</v>
      </c>
      <c r="F35" s="4" t="s">
        <v>202</v>
      </c>
      <c r="G35" s="4" t="s">
        <v>88</v>
      </c>
      <c r="H35" s="4" t="s">
        <v>89</v>
      </c>
      <c r="I35" s="4" t="s">
        <v>90</v>
      </c>
      <c r="J35" s="4"/>
      <c r="K35" s="4"/>
    </row>
    <row r="36" spans="1:14" ht="14.45" x14ac:dyDescent="0.3">
      <c r="A36" s="109">
        <f>VLOOKUP($H$5,verzamelblad!$A$5:$EP$54,16,0)</f>
        <v>0</v>
      </c>
      <c r="B36" s="110"/>
      <c r="C36" s="110"/>
      <c r="D36" s="82"/>
      <c r="E36" s="182">
        <v>0</v>
      </c>
      <c r="F36" s="64"/>
      <c r="G36" s="182">
        <f t="shared" ref="G36:G43" si="4">IF(E36="","",SUM(E36*F36))</f>
        <v>0</v>
      </c>
      <c r="H36" s="87">
        <f>VLOOKUP($H$5,verzamelblad!$A$5:$EP$54,17,0)</f>
        <v>0</v>
      </c>
      <c r="I36" s="185">
        <f>IF(H36="op afroep","",SUM(G36*H36))</f>
        <v>0</v>
      </c>
      <c r="J36" s="281"/>
      <c r="K36" s="185"/>
    </row>
    <row r="37" spans="1:14" ht="14.45" x14ac:dyDescent="0.3">
      <c r="A37" s="106">
        <f>VLOOKUP($H$5,verzamelblad!$A$5:$EP$54,18,0)</f>
        <v>0</v>
      </c>
      <c r="B37" s="107"/>
      <c r="C37" s="107"/>
      <c r="D37" s="83"/>
      <c r="E37" s="183">
        <v>0</v>
      </c>
      <c r="F37" s="65"/>
      <c r="G37" s="183">
        <f t="shared" si="4"/>
        <v>0</v>
      </c>
      <c r="H37" s="88">
        <f>VLOOKUP($H$5,verzamelblad!$A$5:$EP$54,19,0)</f>
        <v>0</v>
      </c>
      <c r="I37" s="186">
        <f t="shared" ref="I37:I43" si="5">IF(H37="op afroep","",SUM(G37*H37))</f>
        <v>0</v>
      </c>
      <c r="J37" s="282"/>
      <c r="K37" s="186"/>
    </row>
    <row r="38" spans="1:14" ht="14.45" x14ac:dyDescent="0.3">
      <c r="A38" s="106">
        <f>VLOOKUP($H$5,verzamelblad!$A$5:$EP$54,20,0)</f>
        <v>0</v>
      </c>
      <c r="B38" s="107"/>
      <c r="C38" s="107"/>
      <c r="D38" s="83"/>
      <c r="E38" s="183">
        <v>0</v>
      </c>
      <c r="F38" s="65"/>
      <c r="G38" s="183">
        <f t="shared" si="4"/>
        <v>0</v>
      </c>
      <c r="H38" s="88">
        <f>VLOOKUP($H$5,verzamelblad!$A$5:$EP$54,21,0)</f>
        <v>0</v>
      </c>
      <c r="I38" s="186">
        <f t="shared" si="5"/>
        <v>0</v>
      </c>
      <c r="J38" s="282"/>
      <c r="K38" s="186"/>
      <c r="M38" s="15"/>
    </row>
    <row r="39" spans="1:14" ht="14.45" x14ac:dyDescent="0.3">
      <c r="A39" s="106">
        <f>VLOOKUP($H$5,verzamelblad!$A$5:$EP$54,22,0)</f>
        <v>0</v>
      </c>
      <c r="B39" s="107"/>
      <c r="C39" s="107"/>
      <c r="D39" s="83"/>
      <c r="E39" s="183">
        <v>0</v>
      </c>
      <c r="F39" s="65"/>
      <c r="G39" s="183">
        <f t="shared" si="4"/>
        <v>0</v>
      </c>
      <c r="H39" s="88">
        <f>VLOOKUP($H$5,verzamelblad!$A$5:$EP$54,23,0)</f>
        <v>0</v>
      </c>
      <c r="I39" s="186">
        <f t="shared" si="5"/>
        <v>0</v>
      </c>
      <c r="J39" s="282"/>
      <c r="K39" s="186"/>
    </row>
    <row r="40" spans="1:14" ht="14.45" x14ac:dyDescent="0.3">
      <c r="A40" s="106" t="s">
        <v>302</v>
      </c>
      <c r="B40" s="107"/>
      <c r="C40" s="107"/>
      <c r="D40" s="83"/>
      <c r="E40" s="183">
        <v>0</v>
      </c>
      <c r="F40" s="65"/>
      <c r="G40" s="183">
        <f t="shared" si="4"/>
        <v>0</v>
      </c>
      <c r="H40" s="88" t="s">
        <v>56</v>
      </c>
      <c r="I40" s="186" t="str">
        <f t="shared" si="5"/>
        <v/>
      </c>
      <c r="J40" s="282"/>
      <c r="K40" s="186"/>
    </row>
    <row r="41" spans="1:14" ht="14.45" x14ac:dyDescent="0.3">
      <c r="A41" s="106" t="s">
        <v>303</v>
      </c>
      <c r="B41" s="107"/>
      <c r="C41" s="107"/>
      <c r="D41" s="83"/>
      <c r="E41" s="183">
        <v>0</v>
      </c>
      <c r="F41" s="65"/>
      <c r="G41" s="183">
        <f t="shared" si="4"/>
        <v>0</v>
      </c>
      <c r="H41" s="88" t="s">
        <v>56</v>
      </c>
      <c r="I41" s="186" t="str">
        <f t="shared" si="5"/>
        <v/>
      </c>
      <c r="J41" s="282"/>
      <c r="K41" s="186"/>
    </row>
    <row r="42" spans="1:14" ht="14.45" x14ac:dyDescent="0.3">
      <c r="A42" s="106">
        <f>VLOOKUP($H$5,verzamelblad!$A$5:$EP$54,28,0)</f>
        <v>0</v>
      </c>
      <c r="B42" s="107"/>
      <c r="C42" s="107"/>
      <c r="D42" s="83"/>
      <c r="E42" s="183">
        <v>0</v>
      </c>
      <c r="F42" s="65"/>
      <c r="G42" s="183">
        <f t="shared" si="4"/>
        <v>0</v>
      </c>
      <c r="H42" s="88">
        <f>VLOOKUP($H$5,verzamelblad!$A$5:$EP$54,29,0)</f>
        <v>0</v>
      </c>
      <c r="I42" s="186">
        <f t="shared" si="5"/>
        <v>0</v>
      </c>
      <c r="J42" s="282"/>
      <c r="K42" s="186"/>
    </row>
    <row r="43" spans="1:14" ht="14.45" x14ac:dyDescent="0.3">
      <c r="A43" s="108">
        <f>VLOOKUP($H$5,verzamelblad!$A$5:$EP$54,30,0)</f>
        <v>0</v>
      </c>
      <c r="B43" s="84"/>
      <c r="C43" s="84"/>
      <c r="D43" s="85"/>
      <c r="E43" s="184">
        <v>0</v>
      </c>
      <c r="F43" s="66"/>
      <c r="G43" s="184">
        <f t="shared" si="4"/>
        <v>0</v>
      </c>
      <c r="H43" s="90">
        <f>VLOOKUP($H$5,verzamelblad!$A$5:$EP$54,31,0)</f>
        <v>0</v>
      </c>
      <c r="I43" s="187">
        <f t="shared" si="5"/>
        <v>0</v>
      </c>
      <c r="J43" s="283"/>
      <c r="K43" s="187"/>
    </row>
    <row r="44" spans="1:14" ht="15" thickBot="1" x14ac:dyDescent="0.35">
      <c r="A44" s="60" t="s">
        <v>98</v>
      </c>
      <c r="B44" s="58"/>
      <c r="C44" s="58"/>
      <c r="D44" s="58"/>
      <c r="E44" s="58"/>
      <c r="F44" s="58"/>
      <c r="G44" s="58"/>
      <c r="H44" s="58"/>
      <c r="I44" s="189">
        <f>SUM(I36:I43)</f>
        <v>0</v>
      </c>
      <c r="J44" s="23"/>
      <c r="K44" s="23"/>
    </row>
    <row r="45" spans="1:14" ht="15" thickTop="1" x14ac:dyDescent="0.3"/>
    <row r="46" spans="1:14" ht="14.45" x14ac:dyDescent="0.3">
      <c r="A46" t="s">
        <v>103</v>
      </c>
      <c r="E46" s="4" t="s">
        <v>70</v>
      </c>
      <c r="F46" s="4" t="s">
        <v>202</v>
      </c>
      <c r="G46" s="4" t="s">
        <v>88</v>
      </c>
      <c r="H46" s="4" t="s">
        <v>89</v>
      </c>
      <c r="I46" s="4" t="s">
        <v>90</v>
      </c>
      <c r="J46" s="4"/>
      <c r="K46" s="4"/>
    </row>
    <row r="47" spans="1:14" ht="14.45" x14ac:dyDescent="0.3">
      <c r="A47" s="109">
        <f>VLOOKUP($H$5,verzamelblad!$A$5:$EP$54,76,0)</f>
        <v>0</v>
      </c>
      <c r="B47" s="110"/>
      <c r="C47" s="110"/>
      <c r="D47" s="82"/>
      <c r="E47" s="182">
        <v>0</v>
      </c>
      <c r="F47" s="64"/>
      <c r="G47" s="182">
        <f t="shared" ref="G47:G56" si="6">IF(E47="","",SUM(E47*F47))</f>
        <v>0</v>
      </c>
      <c r="H47" s="87">
        <f>VLOOKUP($H$5,verzamelblad!$A$5:$EP$54,77,0)</f>
        <v>0</v>
      </c>
      <c r="I47" s="185">
        <f t="shared" ref="I47:I56" si="7">IF(H47="op afroep","",SUM(G47*H47))</f>
        <v>0</v>
      </c>
      <c r="J47" s="281"/>
      <c r="K47" s="185"/>
    </row>
    <row r="48" spans="1:14" ht="14.45" x14ac:dyDescent="0.3">
      <c r="A48" s="106">
        <f>VLOOKUP($H$5,verzamelblad!$A$5:$EP$54,78,0)</f>
        <v>0</v>
      </c>
      <c r="B48" s="107"/>
      <c r="C48" s="107"/>
      <c r="D48" s="83"/>
      <c r="E48" s="183">
        <v>0</v>
      </c>
      <c r="F48" s="65"/>
      <c r="G48" s="183">
        <f t="shared" si="6"/>
        <v>0</v>
      </c>
      <c r="H48" s="88">
        <f>VLOOKUP($H$5,verzamelblad!$A$5:$EP$54,79,0)</f>
        <v>0</v>
      </c>
      <c r="I48" s="186">
        <f t="shared" si="7"/>
        <v>0</v>
      </c>
      <c r="J48" s="282"/>
      <c r="K48" s="186"/>
    </row>
    <row r="49" spans="1:14" ht="14.45" x14ac:dyDescent="0.3">
      <c r="A49" s="106">
        <f>VLOOKUP($H$5,verzamelblad!$A$5:$EP$54,80,0)</f>
        <v>0</v>
      </c>
      <c r="B49" s="107"/>
      <c r="C49" s="107"/>
      <c r="D49" s="83"/>
      <c r="E49" s="183">
        <v>0</v>
      </c>
      <c r="F49" s="65"/>
      <c r="G49" s="183">
        <f t="shared" si="6"/>
        <v>0</v>
      </c>
      <c r="H49" s="88">
        <f>VLOOKUP($H$5,verzamelblad!$A$5:$EP$54,81,0)</f>
        <v>0</v>
      </c>
      <c r="I49" s="186">
        <f t="shared" si="7"/>
        <v>0</v>
      </c>
      <c r="J49" s="282"/>
      <c r="K49" s="186"/>
    </row>
    <row r="50" spans="1:14" ht="14.45" x14ac:dyDescent="0.3">
      <c r="A50" s="106">
        <f>VLOOKUP($H$5,verzamelblad!$A$5:$EP$54,82,0)</f>
        <v>0</v>
      </c>
      <c r="B50" s="107"/>
      <c r="C50" s="107"/>
      <c r="D50" s="83"/>
      <c r="E50" s="183">
        <v>0</v>
      </c>
      <c r="F50" s="65"/>
      <c r="G50" s="183">
        <f t="shared" si="6"/>
        <v>0</v>
      </c>
      <c r="H50" s="88">
        <f>VLOOKUP($H$5,verzamelblad!$A$5:$EP$54,83,0)</f>
        <v>0</v>
      </c>
      <c r="I50" s="186">
        <f t="shared" si="7"/>
        <v>0</v>
      </c>
      <c r="J50" s="282"/>
      <c r="K50" s="186"/>
    </row>
    <row r="51" spans="1:14" ht="14.45" x14ac:dyDescent="0.3">
      <c r="A51" s="106">
        <f>VLOOKUP($H$5,verzamelblad!$A$5:$EP$54,84,0)</f>
        <v>0</v>
      </c>
      <c r="B51" s="107"/>
      <c r="C51" s="107"/>
      <c r="D51" s="83"/>
      <c r="E51" s="183">
        <v>0</v>
      </c>
      <c r="F51" s="65"/>
      <c r="G51" s="183">
        <f t="shared" si="6"/>
        <v>0</v>
      </c>
      <c r="H51" s="88">
        <f>VLOOKUP($H$5,verzamelblad!$A$5:$EP$54,85,0)</f>
        <v>0</v>
      </c>
      <c r="I51" s="186">
        <f t="shared" si="7"/>
        <v>0</v>
      </c>
      <c r="J51" s="282"/>
      <c r="K51" s="186"/>
    </row>
    <row r="52" spans="1:14" ht="14.45" x14ac:dyDescent="0.3">
      <c r="A52" s="106">
        <f>VLOOKUP($H$5,verzamelblad!$A$5:$EP$54,86,0)</f>
        <v>0</v>
      </c>
      <c r="B52" s="107"/>
      <c r="C52" s="107"/>
      <c r="D52" s="83"/>
      <c r="E52" s="183">
        <v>0</v>
      </c>
      <c r="F52" s="65"/>
      <c r="G52" s="183">
        <f t="shared" si="6"/>
        <v>0</v>
      </c>
      <c r="H52" s="88">
        <f>VLOOKUP($H$5,verzamelblad!$A$5:$EP$54,87,0)</f>
        <v>0</v>
      </c>
      <c r="I52" s="186">
        <f t="shared" si="7"/>
        <v>0</v>
      </c>
      <c r="J52" s="282"/>
      <c r="K52" s="186"/>
    </row>
    <row r="53" spans="1:14" ht="14.45" x14ac:dyDescent="0.3">
      <c r="A53" s="106">
        <f>VLOOKUP($H$5,verzamelblad!$A$5:$EP$54,88,0)</f>
        <v>0</v>
      </c>
      <c r="B53" s="107"/>
      <c r="C53" s="107"/>
      <c r="D53" s="83"/>
      <c r="E53" s="183">
        <v>0</v>
      </c>
      <c r="F53" s="65"/>
      <c r="G53" s="183">
        <f t="shared" si="6"/>
        <v>0</v>
      </c>
      <c r="H53" s="88">
        <f>VLOOKUP($H$5,verzamelblad!$A$5:$EP$54,89,0)</f>
        <v>0</v>
      </c>
      <c r="I53" s="186">
        <f t="shared" si="7"/>
        <v>0</v>
      </c>
      <c r="J53" s="282"/>
      <c r="K53" s="186"/>
    </row>
    <row r="54" spans="1:14" ht="14.45" x14ac:dyDescent="0.3">
      <c r="A54" s="106">
        <f>VLOOKUP($H$5,verzamelblad!$A$5:$EP$54,90,0)</f>
        <v>0</v>
      </c>
      <c r="B54" s="107"/>
      <c r="C54" s="107"/>
      <c r="D54" s="83"/>
      <c r="E54" s="183">
        <v>0</v>
      </c>
      <c r="F54" s="65"/>
      <c r="G54" s="183">
        <f t="shared" si="6"/>
        <v>0</v>
      </c>
      <c r="H54" s="88">
        <f>VLOOKUP($H$5,verzamelblad!$A$5:$EP$54,91,0)</f>
        <v>0</v>
      </c>
      <c r="I54" s="186">
        <f t="shared" si="7"/>
        <v>0</v>
      </c>
      <c r="J54" s="282"/>
      <c r="K54" s="186"/>
    </row>
    <row r="55" spans="1:14" ht="14.45" x14ac:dyDescent="0.3">
      <c r="A55" s="106">
        <f>VLOOKUP($H$5,verzamelblad!$A$5:$EP$54,92,0)</f>
        <v>0</v>
      </c>
      <c r="B55" s="107"/>
      <c r="C55" s="107"/>
      <c r="D55" s="83"/>
      <c r="E55" s="183">
        <v>0</v>
      </c>
      <c r="F55" s="65"/>
      <c r="G55" s="183">
        <f t="shared" si="6"/>
        <v>0</v>
      </c>
      <c r="H55" s="88">
        <f>VLOOKUP($H$5,verzamelblad!$A$5:$EP$54,93,0)</f>
        <v>0</v>
      </c>
      <c r="I55" s="186">
        <f t="shared" si="7"/>
        <v>0</v>
      </c>
      <c r="J55" s="282"/>
      <c r="K55" s="186"/>
    </row>
    <row r="56" spans="1:14" ht="14.45" x14ac:dyDescent="0.3">
      <c r="A56" s="108">
        <f>VLOOKUP($H$5,verzamelblad!$A$5:$EP$54,94,0)</f>
        <v>0</v>
      </c>
      <c r="B56" s="84"/>
      <c r="C56" s="84"/>
      <c r="D56" s="85"/>
      <c r="E56" s="184">
        <v>0</v>
      </c>
      <c r="F56" s="66"/>
      <c r="G56" s="184">
        <f t="shared" si="6"/>
        <v>0</v>
      </c>
      <c r="H56" s="90">
        <f>VLOOKUP($H$5,verzamelblad!$A$5:$EP$54,95,0)</f>
        <v>0</v>
      </c>
      <c r="I56" s="187">
        <f t="shared" si="7"/>
        <v>0</v>
      </c>
      <c r="J56" s="283"/>
      <c r="K56" s="187"/>
    </row>
    <row r="57" spans="1:14" ht="15" thickBot="1" x14ac:dyDescent="0.35">
      <c r="A57" s="58" t="s">
        <v>98</v>
      </c>
      <c r="B57" s="58"/>
      <c r="C57" s="58"/>
      <c r="D57" s="58"/>
      <c r="E57" s="58"/>
      <c r="F57" s="58"/>
      <c r="G57" s="58"/>
      <c r="H57" s="58"/>
      <c r="I57" s="189">
        <f>SUM(I47:I56)</f>
        <v>0</v>
      </c>
      <c r="J57" s="23"/>
      <c r="K57" s="23"/>
    </row>
    <row r="58" spans="1:14" ht="15" thickTop="1" x14ac:dyDescent="0.3">
      <c r="E58" s="4"/>
      <c r="F58" s="4"/>
      <c r="G58" s="4"/>
      <c r="H58" s="4"/>
      <c r="I58" s="4"/>
      <c r="J58" s="4"/>
      <c r="K58" s="4"/>
    </row>
    <row r="59" spans="1:14" ht="14.45" x14ac:dyDescent="0.3">
      <c r="A59" t="s">
        <v>187</v>
      </c>
      <c r="E59" s="4" t="s">
        <v>210</v>
      </c>
      <c r="F59" s="4" t="s">
        <v>211</v>
      </c>
      <c r="G59" s="4" t="s">
        <v>30</v>
      </c>
      <c r="H59" s="4" t="s">
        <v>212</v>
      </c>
      <c r="I59" s="4" t="s">
        <v>90</v>
      </c>
      <c r="J59" s="4"/>
      <c r="K59" s="4"/>
      <c r="M59" s="15"/>
      <c r="N59" s="15"/>
    </row>
    <row r="60" spans="1:14" ht="14.45" x14ac:dyDescent="0.3">
      <c r="A60" s="109" t="s">
        <v>203</v>
      </c>
      <c r="B60" s="110"/>
      <c r="C60" s="110"/>
      <c r="D60" s="82"/>
      <c r="E60" s="64"/>
      <c r="F60" s="64"/>
      <c r="G60" s="87"/>
      <c r="H60" s="64"/>
      <c r="I60" s="67"/>
      <c r="J60" s="275"/>
      <c r="K60" s="264"/>
      <c r="M60" s="15" t="s">
        <v>273</v>
      </c>
      <c r="N60" s="15"/>
    </row>
    <row r="61" spans="1:14" ht="14.45" x14ac:dyDescent="0.3">
      <c r="A61" s="106" t="s">
        <v>204</v>
      </c>
      <c r="B61" s="107"/>
      <c r="C61" s="107"/>
      <c r="D61" s="83"/>
      <c r="E61" s="65"/>
      <c r="F61" s="65"/>
      <c r="G61" s="88"/>
      <c r="H61" s="65"/>
      <c r="I61" s="68"/>
      <c r="J61" s="276"/>
      <c r="K61" s="265"/>
      <c r="M61" s="109" t="s">
        <v>213</v>
      </c>
      <c r="N61" s="190"/>
    </row>
    <row r="62" spans="1:14" ht="14.45" x14ac:dyDescent="0.3">
      <c r="A62" s="106" t="s">
        <v>205</v>
      </c>
      <c r="B62" s="107"/>
      <c r="C62" s="107"/>
      <c r="D62" s="83"/>
      <c r="E62" s="65"/>
      <c r="F62" s="65"/>
      <c r="G62" s="88"/>
      <c r="H62" s="65"/>
      <c r="I62" s="68"/>
      <c r="J62" s="276"/>
      <c r="K62" s="265"/>
      <c r="M62" s="108" t="s">
        <v>214</v>
      </c>
      <c r="N62" s="191"/>
    </row>
    <row r="63" spans="1:14" ht="14.45" x14ac:dyDescent="0.3">
      <c r="A63" s="106" t="s">
        <v>206</v>
      </c>
      <c r="B63" s="107"/>
      <c r="C63" s="107"/>
      <c r="D63" s="83"/>
      <c r="E63" s="65"/>
      <c r="F63" s="65"/>
      <c r="G63" s="88"/>
      <c r="H63" s="65"/>
      <c r="I63" s="68"/>
      <c r="J63" s="276"/>
      <c r="K63" s="265"/>
    </row>
    <row r="64" spans="1:14" ht="15" x14ac:dyDescent="0.25">
      <c r="A64" s="106" t="s">
        <v>207</v>
      </c>
      <c r="B64" s="107"/>
      <c r="C64" s="107"/>
      <c r="D64" s="83"/>
      <c r="E64" s="65"/>
      <c r="F64" s="65"/>
      <c r="G64" s="88"/>
      <c r="H64" s="65"/>
      <c r="I64" s="68"/>
      <c r="J64" s="276"/>
      <c r="K64" s="265"/>
    </row>
    <row r="65" spans="1:14" ht="14.45" x14ac:dyDescent="0.3">
      <c r="A65" s="106" t="s">
        <v>208</v>
      </c>
      <c r="B65" s="107"/>
      <c r="C65" s="107"/>
      <c r="D65" s="83"/>
      <c r="E65" s="65"/>
      <c r="F65" s="65"/>
      <c r="G65" s="88"/>
      <c r="H65" s="65"/>
      <c r="I65" s="68"/>
      <c r="J65" s="276"/>
      <c r="K65" s="265"/>
    </row>
    <row r="66" spans="1:14" ht="14.45" x14ac:dyDescent="0.3">
      <c r="A66" s="106" t="s">
        <v>209</v>
      </c>
      <c r="B66" s="107"/>
      <c r="C66" s="107"/>
      <c r="D66" s="83"/>
      <c r="E66" s="65"/>
      <c r="F66" s="65"/>
      <c r="G66" s="88"/>
      <c r="H66" s="65"/>
      <c r="I66" s="68"/>
      <c r="J66" s="276"/>
      <c r="K66" s="265"/>
    </row>
    <row r="67" spans="1:14" ht="14.45" x14ac:dyDescent="0.3">
      <c r="A67" s="106"/>
      <c r="B67" s="107"/>
      <c r="C67" s="107"/>
      <c r="D67" s="83"/>
      <c r="E67" s="65"/>
      <c r="F67" s="65"/>
      <c r="G67" s="88"/>
      <c r="H67" s="65"/>
      <c r="I67" s="68"/>
      <c r="J67" s="276"/>
      <c r="K67" s="265"/>
    </row>
    <row r="68" spans="1:14" ht="14.45" x14ac:dyDescent="0.3">
      <c r="A68" s="106"/>
      <c r="B68" s="107"/>
      <c r="C68" s="107"/>
      <c r="D68" s="83"/>
      <c r="E68" s="65"/>
      <c r="F68" s="65"/>
      <c r="G68" s="88"/>
      <c r="H68" s="65"/>
      <c r="I68" s="68"/>
      <c r="J68" s="276"/>
      <c r="K68" s="265"/>
    </row>
    <row r="69" spans="1:14" ht="14.45" x14ac:dyDescent="0.3">
      <c r="A69" s="106"/>
      <c r="B69" s="107"/>
      <c r="C69" s="107"/>
      <c r="D69" s="83"/>
      <c r="E69" s="65"/>
      <c r="F69" s="65"/>
      <c r="G69" s="88"/>
      <c r="H69" s="65"/>
      <c r="I69" s="68"/>
      <c r="J69" s="276"/>
      <c r="K69" s="265"/>
    </row>
    <row r="70" spans="1:14" ht="14.45" x14ac:dyDescent="0.3">
      <c r="A70" s="106"/>
      <c r="B70" s="107"/>
      <c r="C70" s="107"/>
      <c r="D70" s="83"/>
      <c r="E70" s="65"/>
      <c r="F70" s="65"/>
      <c r="G70" s="88"/>
      <c r="H70" s="65"/>
      <c r="I70" s="68"/>
      <c r="J70" s="276"/>
      <c r="K70" s="265"/>
    </row>
    <row r="71" spans="1:14" ht="14.45" x14ac:dyDescent="0.3">
      <c r="A71" s="106"/>
      <c r="B71" s="107"/>
      <c r="C71" s="107"/>
      <c r="D71" s="83"/>
      <c r="E71" s="65"/>
      <c r="F71" s="65"/>
      <c r="G71" s="88"/>
      <c r="H71" s="65"/>
      <c r="I71" s="68"/>
      <c r="J71" s="276"/>
      <c r="K71" s="265"/>
    </row>
    <row r="72" spans="1:14" ht="14.45" x14ac:dyDescent="0.3">
      <c r="A72" s="106"/>
      <c r="B72" s="107"/>
      <c r="C72" s="107"/>
      <c r="D72" s="83"/>
      <c r="E72" s="65"/>
      <c r="F72" s="65"/>
      <c r="G72" s="88"/>
      <c r="H72" s="65"/>
      <c r="I72" s="68"/>
      <c r="J72" s="276"/>
      <c r="K72" s="265"/>
    </row>
    <row r="73" spans="1:14" ht="14.45" x14ac:dyDescent="0.3">
      <c r="A73" s="108"/>
      <c r="B73" s="84"/>
      <c r="C73" s="84"/>
      <c r="D73" s="85"/>
      <c r="E73" s="66"/>
      <c r="F73" s="66"/>
      <c r="G73" s="90"/>
      <c r="H73" s="66"/>
      <c r="I73" s="69"/>
      <c r="J73" s="277"/>
      <c r="K73" s="266"/>
    </row>
    <row r="74" spans="1:14" ht="15" thickBot="1" x14ac:dyDescent="0.35">
      <c r="A74" s="58" t="s">
        <v>98</v>
      </c>
      <c r="B74" s="58"/>
      <c r="C74" s="58"/>
      <c r="D74" s="58"/>
      <c r="E74" s="58"/>
      <c r="F74" s="58"/>
      <c r="G74" s="58"/>
      <c r="H74" s="58"/>
      <c r="I74" s="189">
        <f>SUM(I60:I73)</f>
        <v>0</v>
      </c>
      <c r="J74" s="23"/>
      <c r="K74" s="23"/>
    </row>
    <row r="75" spans="1:14" ht="15" thickTop="1" x14ac:dyDescent="0.3"/>
    <row r="76" spans="1:14" ht="14.45" x14ac:dyDescent="0.3">
      <c r="A76" s="255" t="s">
        <v>104</v>
      </c>
      <c r="B76" s="256"/>
      <c r="C76" s="256"/>
      <c r="D76" s="256"/>
      <c r="E76" s="256"/>
      <c r="F76" s="256"/>
      <c r="G76" s="256"/>
      <c r="H76" s="256"/>
      <c r="I76" s="258">
        <f>SUM(I14+I33+I44+I57+I74)</f>
        <v>0</v>
      </c>
      <c r="J76" s="251"/>
      <c r="K76" s="251"/>
    </row>
    <row r="77" spans="1:14" ht="14.45" x14ac:dyDescent="0.3">
      <c r="A77" s="23"/>
      <c r="B77" s="23"/>
      <c r="C77" s="23"/>
      <c r="D77" s="23"/>
      <c r="E77" s="23"/>
      <c r="F77" s="23"/>
      <c r="G77" s="23"/>
      <c r="H77" s="23"/>
      <c r="I77" s="251"/>
      <c r="J77" s="251"/>
      <c r="K77" s="251"/>
      <c r="L77" s="36"/>
      <c r="M77" s="36"/>
      <c r="N77" s="36"/>
    </row>
    <row r="78" spans="1:14" ht="15" x14ac:dyDescent="0.25">
      <c r="A78" s="23"/>
      <c r="B78" s="23"/>
      <c r="C78" s="23"/>
      <c r="D78" s="23"/>
      <c r="E78" s="23"/>
      <c r="F78" s="23"/>
      <c r="G78" s="23"/>
      <c r="H78" s="23"/>
      <c r="I78" s="251"/>
      <c r="J78" s="251"/>
      <c r="K78" s="251"/>
      <c r="L78" s="36"/>
      <c r="M78" s="36"/>
      <c r="N78" s="36"/>
    </row>
    <row r="79" spans="1:14" ht="15" x14ac:dyDescent="0.25">
      <c r="A79" s="261" t="s">
        <v>311</v>
      </c>
      <c r="B79" s="37"/>
      <c r="C79" s="37"/>
      <c r="D79" s="37">
        <v>4</v>
      </c>
      <c r="E79" s="37"/>
      <c r="F79" s="37" t="s">
        <v>312</v>
      </c>
      <c r="G79" s="268"/>
      <c r="H79" s="23"/>
      <c r="I79" s="251"/>
      <c r="J79" s="263"/>
      <c r="K79" s="253" t="s">
        <v>309</v>
      </c>
      <c r="L79" s="36"/>
      <c r="M79" s="36"/>
      <c r="N79" s="36"/>
    </row>
    <row r="80" spans="1:14" ht="15" x14ac:dyDescent="0.25">
      <c r="A80" s="23"/>
      <c r="B80" s="23"/>
      <c r="C80" s="23"/>
      <c r="D80" s="23"/>
      <c r="E80" s="23"/>
      <c r="F80" s="23"/>
      <c r="G80" s="284"/>
      <c r="K80" s="267"/>
      <c r="L80" s="254" t="s">
        <v>310</v>
      </c>
    </row>
    <row r="81" spans="1:12" ht="15" x14ac:dyDescent="0.25">
      <c r="K81" s="36"/>
      <c r="L81" s="254"/>
    </row>
    <row r="82" spans="1:12" ht="15" x14ac:dyDescent="0.25">
      <c r="K82" s="36"/>
      <c r="L82" s="254"/>
    </row>
    <row r="83" spans="1:12" ht="15" x14ac:dyDescent="0.25">
      <c r="A83" t="s">
        <v>215</v>
      </c>
      <c r="E83" t="s">
        <v>81</v>
      </c>
      <c r="F83" s="4" t="s">
        <v>30</v>
      </c>
      <c r="I83" t="s">
        <v>90</v>
      </c>
    </row>
    <row r="84" spans="1:12" ht="15.75" thickBot="1" x14ac:dyDescent="0.3">
      <c r="A84" s="125" t="str">
        <f>verzamelblad!D3</f>
        <v>VSR</v>
      </c>
      <c r="B84" s="125"/>
      <c r="C84" s="125"/>
      <c r="D84" s="125"/>
      <c r="E84" s="192">
        <f>VLOOKUP($H$5,verzamelblad!$A$5:$EP$54,100,0)</f>
        <v>0</v>
      </c>
      <c r="F84" s="126">
        <f>VLOOKUP($H$5,verzamelblad!$A$5:$EP$54,101,0)</f>
        <v>0</v>
      </c>
      <c r="G84" s="125"/>
      <c r="H84" s="125"/>
      <c r="I84" s="192">
        <f>SUM(E84*F84)</f>
        <v>0</v>
      </c>
      <c r="J84" s="251"/>
      <c r="K84" s="251"/>
    </row>
    <row r="85" spans="1:12" ht="15" hidden="1" thickTop="1" x14ac:dyDescent="0.3"/>
    <row r="86" spans="1:12" ht="15" hidden="1" thickTop="1" x14ac:dyDescent="0.3"/>
    <row r="87" spans="1:12" ht="15" hidden="1" thickTop="1" x14ac:dyDescent="0.3">
      <c r="A87" t="s">
        <v>105</v>
      </c>
      <c r="D87" t="s">
        <v>197</v>
      </c>
      <c r="E87" t="s">
        <v>198</v>
      </c>
    </row>
    <row r="88" spans="1:12" ht="15" hidden="1" thickTop="1" x14ac:dyDescent="0.3">
      <c r="A88" t="e">
        <f t="shared" ref="A88:A102" ca="1" si="8">IF(M19=0,"",M19)</f>
        <v>#REF!</v>
      </c>
      <c r="D88" t="e">
        <f t="shared" ref="D88:D102" ca="1" si="9">IF(A88="",0,VLOOKUP(A88,INDIRECT("'"&amp;$H$6&amp;"'!C500:M515"),11,0))</f>
        <v>#REF!</v>
      </c>
      <c r="E88" t="str">
        <f>IF(N19="","",SUM(D88/N19)*uurtariefopbouw!$E$37)</f>
        <v/>
      </c>
    </row>
    <row r="89" spans="1:12" ht="15" hidden="1" thickTop="1" x14ac:dyDescent="0.3">
      <c r="A89" t="e">
        <f t="shared" ca="1" si="8"/>
        <v>#REF!</v>
      </c>
      <c r="D89" t="e">
        <f t="shared" ca="1" si="9"/>
        <v>#REF!</v>
      </c>
      <c r="E89" t="str">
        <f>IF(N20="","",SUM(D89/N20)*uurtariefopbouw!$E$37)</f>
        <v/>
      </c>
    </row>
    <row r="90" spans="1:12" ht="15" hidden="1" thickTop="1" x14ac:dyDescent="0.3">
      <c r="A90" t="e">
        <f t="shared" ca="1" si="8"/>
        <v>#REF!</v>
      </c>
      <c r="D90" t="e">
        <f t="shared" ca="1" si="9"/>
        <v>#REF!</v>
      </c>
      <c r="E90" t="str">
        <f>IF(N21="","",SUM(D90/N21)*uurtariefopbouw!$E$37)</f>
        <v/>
      </c>
    </row>
    <row r="91" spans="1:12" ht="15" hidden="1" thickTop="1" x14ac:dyDescent="0.3">
      <c r="A91" t="e">
        <f t="shared" ca="1" si="8"/>
        <v>#REF!</v>
      </c>
      <c r="D91" t="e">
        <f t="shared" ca="1" si="9"/>
        <v>#REF!</v>
      </c>
      <c r="E91" t="str">
        <f>IF(N22="","",SUM(D91/N22)*uurtariefopbouw!$E$37)</f>
        <v/>
      </c>
    </row>
    <row r="92" spans="1:12" ht="15" hidden="1" thickTop="1" x14ac:dyDescent="0.3">
      <c r="A92" t="e">
        <f t="shared" ca="1" si="8"/>
        <v>#REF!</v>
      </c>
      <c r="D92" t="e">
        <f t="shared" ca="1" si="9"/>
        <v>#REF!</v>
      </c>
      <c r="E92" t="str">
        <f>IF(N23="","",SUM(D92/N23)*uurtariefopbouw!$E$37)</f>
        <v/>
      </c>
    </row>
    <row r="93" spans="1:12" ht="15" hidden="1" thickTop="1" x14ac:dyDescent="0.3">
      <c r="A93" t="e">
        <f t="shared" ca="1" si="8"/>
        <v>#REF!</v>
      </c>
      <c r="D93" t="e">
        <f t="shared" ca="1" si="9"/>
        <v>#REF!</v>
      </c>
      <c r="E93" t="str">
        <f>IF(N24="","",SUM(D93/N24)*uurtariefopbouw!$E$37)</f>
        <v/>
      </c>
    </row>
    <row r="94" spans="1:12" ht="15" hidden="1" thickTop="1" x14ac:dyDescent="0.3">
      <c r="A94" t="e">
        <f t="shared" ca="1" si="8"/>
        <v>#REF!</v>
      </c>
      <c r="D94" t="e">
        <f t="shared" ca="1" si="9"/>
        <v>#REF!</v>
      </c>
      <c r="E94" t="str">
        <f>IF(N25="","",SUM(D94/N25)*uurtariefopbouw!$E$37)</f>
        <v/>
      </c>
    </row>
    <row r="95" spans="1:12" ht="15" hidden="1" thickTop="1" x14ac:dyDescent="0.3">
      <c r="A95" t="str">
        <f t="shared" si="8"/>
        <v/>
      </c>
      <c r="D95">
        <f t="shared" ca="1" si="9"/>
        <v>0</v>
      </c>
      <c r="E95" t="str">
        <f>IF(N26="","",SUM(D95/N26)*uurtariefopbouw!$E$37)</f>
        <v/>
      </c>
    </row>
    <row r="96" spans="1:12" ht="15" hidden="1" thickTop="1" x14ac:dyDescent="0.3">
      <c r="A96" t="str">
        <f t="shared" si="8"/>
        <v/>
      </c>
      <c r="D96">
        <f t="shared" ca="1" si="9"/>
        <v>0</v>
      </c>
      <c r="E96" t="str">
        <f>IF(N27="","",SUM(D96/N27)*uurtariefopbouw!$E$37)</f>
        <v/>
      </c>
    </row>
    <row r="97" spans="1:5" ht="15" hidden="1" thickTop="1" x14ac:dyDescent="0.3">
      <c r="A97" t="str">
        <f t="shared" si="8"/>
        <v/>
      </c>
      <c r="D97">
        <f t="shared" ca="1" si="9"/>
        <v>0</v>
      </c>
      <c r="E97" t="str">
        <f>IF(N28="","",SUM(D97/N28)*uurtariefopbouw!$E$37)</f>
        <v/>
      </c>
    </row>
    <row r="98" spans="1:5" ht="15" hidden="1" thickTop="1" x14ac:dyDescent="0.3">
      <c r="A98" t="str">
        <f t="shared" si="8"/>
        <v/>
      </c>
      <c r="D98">
        <f t="shared" ca="1" si="9"/>
        <v>0</v>
      </c>
      <c r="E98" t="str">
        <f>IF(N29="","",SUM(D98/N29)*uurtariefopbouw!$E$37)</f>
        <v/>
      </c>
    </row>
    <row r="99" spans="1:5" ht="15" hidden="1" thickTop="1" x14ac:dyDescent="0.3">
      <c r="A99" t="str">
        <f t="shared" si="8"/>
        <v/>
      </c>
      <c r="D99">
        <f t="shared" ca="1" si="9"/>
        <v>0</v>
      </c>
      <c r="E99" t="str">
        <f>IF(N30="","",SUM(D99/N30)*uurtariefopbouw!$E$37)</f>
        <v/>
      </c>
    </row>
    <row r="100" spans="1:5" ht="15" hidden="1" thickTop="1" x14ac:dyDescent="0.3">
      <c r="A100" t="str">
        <f t="shared" si="8"/>
        <v/>
      </c>
      <c r="D100">
        <f t="shared" ca="1" si="9"/>
        <v>0</v>
      </c>
      <c r="E100" t="str">
        <f>IF(N31="","",SUM(D100/N31)*uurtariefopbouw!$E$37)</f>
        <v/>
      </c>
    </row>
    <row r="101" spans="1:5" ht="15" hidden="1" thickTop="1" x14ac:dyDescent="0.3">
      <c r="A101" t="str">
        <f t="shared" si="8"/>
        <v/>
      </c>
      <c r="D101">
        <f t="shared" ca="1" si="9"/>
        <v>0</v>
      </c>
      <c r="E101" t="str">
        <f>IF(N32="","",SUM(D101/N32)*uurtariefopbouw!$E$37)</f>
        <v/>
      </c>
    </row>
    <row r="102" spans="1:5" ht="15" hidden="1" thickTop="1" x14ac:dyDescent="0.3">
      <c r="A102" t="str">
        <f t="shared" si="8"/>
        <v/>
      </c>
      <c r="D102">
        <f t="shared" ca="1" si="9"/>
        <v>0</v>
      </c>
      <c r="E102" t="str">
        <f>IF(N33="","",SUM(D102/N33)*uurtariefopbouw!$E$37)</f>
        <v/>
      </c>
    </row>
    <row r="103" spans="1:5" ht="15.6" hidden="1" thickTop="1" thickBot="1" x14ac:dyDescent="0.35">
      <c r="A103" s="5" t="s">
        <v>200</v>
      </c>
      <c r="B103" s="5"/>
      <c r="C103" s="5"/>
      <c r="D103" s="5" t="e">
        <f ca="1">SUM(D88:D102)</f>
        <v>#REF!</v>
      </c>
      <c r="E103" s="5">
        <f>SUM(E88:E102)</f>
        <v>0</v>
      </c>
    </row>
    <row r="104" spans="1:5" ht="15" hidden="1" thickTop="1" x14ac:dyDescent="0.3"/>
    <row r="105" spans="1:5" ht="15" hidden="1" thickTop="1" x14ac:dyDescent="0.3"/>
    <row r="106" spans="1:5" ht="15" hidden="1" thickTop="1" x14ac:dyDescent="0.3"/>
    <row r="107" spans="1:5" ht="15" hidden="1" thickTop="1" x14ac:dyDescent="0.3"/>
    <row r="108" spans="1:5" ht="15" hidden="1" thickTop="1" x14ac:dyDescent="0.3"/>
    <row r="109" spans="1:5" ht="15" hidden="1" thickTop="1" x14ac:dyDescent="0.3"/>
    <row r="110" spans="1:5" ht="15" hidden="1" thickTop="1" x14ac:dyDescent="0.3"/>
    <row r="111" spans="1:5" ht="15" hidden="1" thickTop="1" x14ac:dyDescent="0.3"/>
    <row r="112" spans="1:5" ht="15" hidden="1" thickTop="1" x14ac:dyDescent="0.3"/>
    <row r="113" ht="15" hidden="1" thickTop="1" x14ac:dyDescent="0.3"/>
    <row r="114" ht="15" hidden="1" thickTop="1" x14ac:dyDescent="0.3"/>
    <row r="115" ht="15" hidden="1" thickTop="1" x14ac:dyDescent="0.3"/>
    <row r="116" ht="15" hidden="1" thickTop="1" x14ac:dyDescent="0.3"/>
    <row r="117" ht="15" hidden="1" thickTop="1" x14ac:dyDescent="0.3"/>
    <row r="118" ht="15" hidden="1" thickTop="1" x14ac:dyDescent="0.3"/>
    <row r="119" ht="15" hidden="1" thickTop="1" x14ac:dyDescent="0.3"/>
    <row r="120" ht="15" hidden="1" thickTop="1" x14ac:dyDescent="0.3"/>
    <row r="121" ht="15" hidden="1" thickTop="1" x14ac:dyDescent="0.3"/>
    <row r="122" ht="15" hidden="1" thickTop="1" x14ac:dyDescent="0.3"/>
    <row r="123" ht="15" hidden="1" thickTop="1" x14ac:dyDescent="0.3"/>
    <row r="124" ht="15" hidden="1" thickTop="1" x14ac:dyDescent="0.3"/>
    <row r="127" ht="0" hidden="1" customHeight="1" x14ac:dyDescent="0.3"/>
  </sheetData>
  <conditionalFormatting sqref="M14">
    <cfRule type="cellIs" dxfId="6" priority="4" operator="equal">
      <formula>"Geen 100%"</formula>
    </cfRule>
  </conditionalFormatting>
  <conditionalFormatting sqref="G12">
    <cfRule type="containsText" dxfId="5" priority="2" operator="containsText" text="te laag">
      <formula>NOT(ISERROR(SEARCH("te laag",G12)))</formula>
    </cfRule>
  </conditionalFormatting>
  <conditionalFormatting sqref="G13">
    <cfRule type="containsText" dxfId="4" priority="1" operator="containsText" text="te laag">
      <formula>NOT(ISERROR(SEARCH("te laag",G13)))</formula>
    </cfRule>
  </conditionalFormatting>
  <pageMargins left="0.7" right="0.7" top="0.75" bottom="0.75" header="0.3" footer="0.3"/>
  <pageSetup paperSize="9" scale="49" orientation="portrait" r:id="rId1"/>
  <headerFooter>
    <oddHeader>&amp;L&amp;G</oddHeader>
    <oddFooter>&amp;L* Alle bedragen zijn excl. btw&amp;R® Alpha Adviesbureau</oddFooter>
  </headerFooter>
  <colBreaks count="1" manualBreakCount="1">
    <brk id="15" max="81" man="1"/>
  </colBreak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B90FEC93-789C-49FB-9A07-63DEE6AB1728}">
            <xm:f>NOT(ISERROR(SEARCH("te laag",G11)))</xm:f>
            <xm:f>"te laag"</xm:f>
            <x14:dxf>
              <fill>
                <patternFill>
                  <bgColor rgb="FFFF0000"/>
                </patternFill>
              </fill>
            </x14:dxf>
          </x14:cfRule>
          <xm:sqref>G11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2">
    <tabColor rgb="FF1F1770"/>
  </sheetPr>
  <dimension ref="A1:DK37"/>
  <sheetViews>
    <sheetView showGridLines="0" showZeros="0" zoomScaleNormal="100" workbookViewId="0">
      <selection activeCell="CI22" sqref="CI22"/>
    </sheetView>
  </sheetViews>
  <sheetFormatPr defaultColWidth="9.140625" defaultRowHeight="15" zeroHeight="1" x14ac:dyDescent="0.25"/>
  <cols>
    <col min="1" max="1" width="3.5703125" customWidth="1"/>
    <col min="2" max="2" width="27.28515625" customWidth="1"/>
    <col min="3" max="5" width="12.7109375" customWidth="1"/>
    <col min="6" max="6" width="13.42578125" customWidth="1"/>
    <col min="7" max="7" width="12.7109375" customWidth="1"/>
    <col min="8" max="8" width="16.140625" customWidth="1"/>
    <col min="9" max="11" width="12.7109375" customWidth="1"/>
    <col min="12" max="12" width="15.5703125" customWidth="1"/>
    <col min="13" max="13" width="13.5703125" customWidth="1"/>
    <col min="14" max="14" width="9.42578125" customWidth="1"/>
    <col min="15" max="15" width="10.28515625" customWidth="1"/>
    <col min="16" max="16" width="16.7109375" customWidth="1"/>
    <col min="17" max="17" width="13.5703125" customWidth="1"/>
    <col min="18" max="18" width="4" customWidth="1"/>
    <col min="19" max="24" width="9.140625" customWidth="1"/>
    <col min="25" max="25" width="15.28515625" customWidth="1"/>
    <col min="26" max="82" width="9.140625" customWidth="1"/>
    <col min="83" max="83" width="17.7109375" customWidth="1"/>
    <col min="84" max="84" width="17.140625" customWidth="1"/>
  </cols>
  <sheetData>
    <row r="1" spans="1:115" ht="14.45" x14ac:dyDescent="0.3"/>
    <row r="2" spans="1:115" ht="23.45" x14ac:dyDescent="0.45">
      <c r="D2" s="40" t="str">
        <f>CONCATENATE("Totaalblad, ",opdrachtnemer,", onderdeel van ",bestekcontract," ",besteknr,)</f>
        <v>Totaalblad, , onderdeel van bestek 2016-S2800</v>
      </c>
      <c r="E2" s="13"/>
      <c r="F2" s="13"/>
      <c r="G2" s="13"/>
      <c r="H2" s="22"/>
      <c r="I2" s="13"/>
      <c r="J2" s="243"/>
      <c r="K2" s="37"/>
      <c r="L2" s="37"/>
      <c r="M2" s="37"/>
      <c r="N2" s="41"/>
      <c r="O2" s="23"/>
      <c r="P2" s="23"/>
      <c r="DJ2" t="s">
        <v>306</v>
      </c>
    </row>
    <row r="3" spans="1:115" ht="23.45" x14ac:dyDescent="0.45">
      <c r="D3" s="14"/>
      <c r="U3" t="s">
        <v>241</v>
      </c>
      <c r="Z3" t="s">
        <v>242</v>
      </c>
      <c r="AA3" t="s">
        <v>242</v>
      </c>
      <c r="AB3" t="s">
        <v>243</v>
      </c>
      <c r="AD3" t="s">
        <v>244</v>
      </c>
      <c r="AF3" t="s">
        <v>245</v>
      </c>
      <c r="AH3" t="s">
        <v>246</v>
      </c>
      <c r="AJ3" t="s">
        <v>247</v>
      </c>
      <c r="AL3" t="s">
        <v>248</v>
      </c>
      <c r="AN3" t="s">
        <v>249</v>
      </c>
      <c r="AP3" t="s">
        <v>250</v>
      </c>
      <c r="AR3" t="s">
        <v>251</v>
      </c>
      <c r="AT3" t="s">
        <v>252</v>
      </c>
      <c r="AV3" t="s">
        <v>253</v>
      </c>
      <c r="AX3" t="s">
        <v>254</v>
      </c>
      <c r="AZ3" t="s">
        <v>255</v>
      </c>
      <c r="BB3" t="s">
        <v>256</v>
      </c>
      <c r="BD3" t="s">
        <v>257</v>
      </c>
      <c r="BF3" t="s">
        <v>258</v>
      </c>
      <c r="BH3" t="s">
        <v>259</v>
      </c>
      <c r="BJ3" t="s">
        <v>260</v>
      </c>
      <c r="BL3" t="s">
        <v>261</v>
      </c>
      <c r="BN3" t="s">
        <v>262</v>
      </c>
      <c r="BP3" t="s">
        <v>263</v>
      </c>
      <c r="BR3" t="s">
        <v>264</v>
      </c>
      <c r="BT3" t="s">
        <v>265</v>
      </c>
      <c r="BV3" t="s">
        <v>266</v>
      </c>
      <c r="BX3" t="s">
        <v>267</v>
      </c>
      <c r="BZ3" t="s">
        <v>268</v>
      </c>
      <c r="CB3" t="s">
        <v>269</v>
      </c>
      <c r="DJ3" t="s">
        <v>307</v>
      </c>
    </row>
    <row r="4" spans="1:115" s="33" customFormat="1" ht="30" customHeight="1" x14ac:dyDescent="0.3">
      <c r="B4" s="209" t="s">
        <v>274</v>
      </c>
      <c r="C4" s="209" t="s">
        <v>196</v>
      </c>
      <c r="D4" s="209" t="s">
        <v>190</v>
      </c>
      <c r="E4" s="209" t="s">
        <v>191</v>
      </c>
      <c r="F4" s="209" t="s">
        <v>186</v>
      </c>
      <c r="G4" s="209" t="s">
        <v>192</v>
      </c>
      <c r="H4" s="209" t="s">
        <v>80</v>
      </c>
      <c r="I4" s="209" t="s">
        <v>102</v>
      </c>
      <c r="J4" s="209" t="s">
        <v>193</v>
      </c>
      <c r="K4" s="209" t="s">
        <v>187</v>
      </c>
      <c r="L4" s="209" t="s">
        <v>188</v>
      </c>
      <c r="M4" s="209" t="s">
        <v>194</v>
      </c>
      <c r="N4" s="209" t="s">
        <v>195</v>
      </c>
      <c r="O4" s="209" t="s">
        <v>189</v>
      </c>
      <c r="P4" s="209" t="s">
        <v>297</v>
      </c>
      <c r="Q4" s="241"/>
      <c r="S4" s="33" t="s">
        <v>298</v>
      </c>
      <c r="T4" s="33" t="s">
        <v>299</v>
      </c>
      <c r="U4" s="33" t="s">
        <v>150</v>
      </c>
      <c r="V4" s="33" t="s">
        <v>221</v>
      </c>
      <c r="W4" s="33" t="s">
        <v>151</v>
      </c>
      <c r="X4" s="33" t="s">
        <v>270</v>
      </c>
      <c r="Y4" s="33" t="s">
        <v>222</v>
      </c>
      <c r="AA4" s="33" t="s">
        <v>87</v>
      </c>
      <c r="AC4" s="33" t="s">
        <v>87</v>
      </c>
      <c r="AD4" s="33">
        <v>0</v>
      </c>
      <c r="AE4" s="33" t="s">
        <v>87</v>
      </c>
      <c r="AF4" s="33">
        <v>0</v>
      </c>
      <c r="AG4" s="33" t="s">
        <v>87</v>
      </c>
      <c r="AH4" s="33">
        <v>0</v>
      </c>
      <c r="AI4" s="33" t="s">
        <v>87</v>
      </c>
      <c r="AJ4" s="33">
        <v>0</v>
      </c>
      <c r="AK4" s="33" t="s">
        <v>87</v>
      </c>
      <c r="AL4" s="33">
        <v>0</v>
      </c>
      <c r="AM4" s="33" t="s">
        <v>87</v>
      </c>
      <c r="AN4" s="33">
        <v>0</v>
      </c>
      <c r="AO4" s="33" t="s">
        <v>87</v>
      </c>
      <c r="AP4" s="33">
        <v>0</v>
      </c>
      <c r="AQ4" s="33" t="s">
        <v>87</v>
      </c>
      <c r="AR4" s="33">
        <v>0</v>
      </c>
      <c r="AS4" s="33" t="s">
        <v>87</v>
      </c>
      <c r="AT4" s="33">
        <v>0</v>
      </c>
      <c r="AU4" s="33" t="s">
        <v>87</v>
      </c>
      <c r="AV4" s="33" t="s">
        <v>66</v>
      </c>
      <c r="AW4" s="33" t="s">
        <v>87</v>
      </c>
      <c r="AX4" s="33" t="s">
        <v>67</v>
      </c>
      <c r="AY4" s="33" t="s">
        <v>87</v>
      </c>
      <c r="AZ4" s="33" t="s">
        <v>68</v>
      </c>
      <c r="BA4" s="33" t="s">
        <v>87</v>
      </c>
      <c r="BB4" s="33">
        <v>0</v>
      </c>
      <c r="BC4" s="33" t="s">
        <v>87</v>
      </c>
      <c r="BD4" s="33">
        <v>0</v>
      </c>
      <c r="BE4" s="33" t="s">
        <v>87</v>
      </c>
      <c r="BF4" s="33">
        <v>0</v>
      </c>
      <c r="BG4" s="33" t="s">
        <v>87</v>
      </c>
      <c r="BH4" s="33">
        <v>0</v>
      </c>
      <c r="BI4" s="33" t="s">
        <v>87</v>
      </c>
      <c r="BK4" s="33" t="s">
        <v>87</v>
      </c>
      <c r="BM4" s="33" t="s">
        <v>87</v>
      </c>
      <c r="BO4" s="33" t="s">
        <v>87</v>
      </c>
      <c r="BQ4" s="33" t="s">
        <v>87</v>
      </c>
      <c r="BR4" s="33">
        <v>0</v>
      </c>
      <c r="BS4" s="33" t="s">
        <v>87</v>
      </c>
      <c r="BT4" s="33">
        <v>0</v>
      </c>
      <c r="BU4" s="33" t="s">
        <v>87</v>
      </c>
      <c r="BV4" s="33">
        <v>0</v>
      </c>
      <c r="BW4" s="33" t="s">
        <v>87</v>
      </c>
      <c r="BX4" s="33">
        <v>0</v>
      </c>
      <c r="BY4" s="33" t="s">
        <v>87</v>
      </c>
      <c r="BZ4" s="33">
        <v>0</v>
      </c>
      <c r="CA4" s="33" t="s">
        <v>87</v>
      </c>
      <c r="CB4" s="33">
        <v>0</v>
      </c>
      <c r="CC4" s="33" t="s">
        <v>87</v>
      </c>
      <c r="CD4" s="33" t="s">
        <v>104</v>
      </c>
      <c r="CE4" s="33" t="s">
        <v>223</v>
      </c>
      <c r="CF4" s="33" t="s">
        <v>224</v>
      </c>
      <c r="CG4" s="33" t="s">
        <v>225</v>
      </c>
      <c r="CH4" s="33" t="s">
        <v>226</v>
      </c>
      <c r="CI4" s="33" t="s">
        <v>227</v>
      </c>
      <c r="CK4" s="33" t="s">
        <v>228</v>
      </c>
      <c r="CM4" s="33" t="s">
        <v>229</v>
      </c>
      <c r="CO4" s="33" t="s">
        <v>230</v>
      </c>
      <c r="CQ4" s="33" t="s">
        <v>231</v>
      </c>
      <c r="CS4" s="33" t="s">
        <v>232</v>
      </c>
      <c r="CU4" s="33" t="s">
        <v>233</v>
      </c>
      <c r="CW4" s="33" t="s">
        <v>234</v>
      </c>
      <c r="CY4" s="33" t="s">
        <v>235</v>
      </c>
      <c r="DA4" s="33" t="s">
        <v>236</v>
      </c>
      <c r="DC4" s="33" t="s">
        <v>237</v>
      </c>
      <c r="DE4" s="33" t="s">
        <v>238</v>
      </c>
      <c r="DG4" s="33" t="s">
        <v>239</v>
      </c>
      <c r="DI4" s="33" t="s">
        <v>240</v>
      </c>
      <c r="DJ4" s="33" t="s">
        <v>305</v>
      </c>
    </row>
    <row r="5" spans="1:115" ht="14.45" x14ac:dyDescent="0.3">
      <c r="A5">
        <v>1</v>
      </c>
      <c r="B5" s="21" t="str">
        <f ca="1">INDIRECT("'" &amp; A5 &amp; "'!$B$4")</f>
        <v>RSG Ter Apel</v>
      </c>
      <c r="C5" s="39">
        <f ca="1">INDIRECT("'" &amp; A5 &amp; "'!$F$11")</f>
        <v>0</v>
      </c>
      <c r="D5" s="39">
        <f ca="1">INDIRECT("'" &amp; A5 &amp; "'!$I$11")</f>
        <v>0</v>
      </c>
      <c r="E5" s="39">
        <f ca="1">INDIRECT("'" &amp; A5 &amp; "'!$F$12")</f>
        <v>0</v>
      </c>
      <c r="F5" s="39">
        <f ca="1">INDIRECT("'" &amp; A5 &amp; "'!$I$12")</f>
        <v>0</v>
      </c>
      <c r="G5" s="39">
        <f ca="1">INDIRECT("'" &amp; A5 &amp; "'!$F$13")</f>
        <v>0</v>
      </c>
      <c r="H5" s="39">
        <f ca="1">INDIRECT("'" &amp; A5 &amp; "'!$I$33")</f>
        <v>0</v>
      </c>
      <c r="I5" s="39">
        <f ca="1">INDIRECT("'" &amp; A5 &amp; "'!$I$44")</f>
        <v>0</v>
      </c>
      <c r="J5" s="39">
        <f ca="1">INDIRECT("'" &amp; A5 &amp; "'!$I$57")</f>
        <v>0</v>
      </c>
      <c r="K5" s="39"/>
      <c r="L5" s="38">
        <f ca="1">INDIRECT("'" &amp; A5 &amp; "'!$L$11")</f>
        <v>0</v>
      </c>
      <c r="M5" s="38">
        <f ca="1">INDIRECT("'" &amp; A5 &amp; "'!$L$12")</f>
        <v>0</v>
      </c>
      <c r="N5" s="38">
        <f ca="1">INDIRECT("'" &amp; A5 &amp; "'!$L$13")</f>
        <v>0</v>
      </c>
      <c r="O5" s="38">
        <f ca="1">INDIRECT("'" &amp; A5 &amp; "'!$F$16")</f>
        <v>0</v>
      </c>
      <c r="P5" s="39">
        <f ca="1">INDIRECT("'" &amp; A5 &amp; "'!$I$76")</f>
        <v>0</v>
      </c>
      <c r="Q5" s="214"/>
      <c r="S5" s="285">
        <f ca="1">L5</f>
        <v>0</v>
      </c>
      <c r="T5" s="285">
        <f ca="1">M5</f>
        <v>0</v>
      </c>
      <c r="U5">
        <f t="shared" ref="U5:U34" si="0">offertetarief</f>
        <v>22</v>
      </c>
      <c r="V5">
        <f t="shared" ref="V5:V34" si="1">regietarief</f>
        <v>0</v>
      </c>
      <c r="W5">
        <f t="shared" ref="W5:W34" si="2">spectarief</f>
        <v>0</v>
      </c>
      <c r="X5">
        <f ca="1">INDIRECT("'" &amp; A5 &amp; "'!$I$14")</f>
        <v>0</v>
      </c>
      <c r="Y5" t="e">
        <f ca="1">INDIRECT("'" &amp; A5 &amp; "'!$I$19")</f>
        <v>#DIV/0!</v>
      </c>
      <c r="Z5">
        <f ca="1">INDIRECT("'" &amp; A5 &amp; "'!$I$22")</f>
        <v>0</v>
      </c>
      <c r="AA5">
        <f ca="1">INDIRECT("'" &amp; A5 &amp; "'!$F$22")</f>
        <v>0</v>
      </c>
      <c r="AB5">
        <f ca="1">INDIRECT("'" &amp; A5 &amp; "'!$I$23")</f>
        <v>0</v>
      </c>
      <c r="AC5">
        <f ca="1">INDIRECT("'" &amp; A5 &amp; "'!$F$23")</f>
        <v>0</v>
      </c>
      <c r="AD5">
        <f ca="1">INDIRECT("'" &amp; A5 &amp; "'!$I$24")</f>
        <v>0</v>
      </c>
      <c r="AE5">
        <f ca="1">INDIRECT("'" &amp; A5 &amp; "'!$F$24")</f>
        <v>0</v>
      </c>
      <c r="AF5">
        <f ca="1">INDIRECT("'" &amp; A5 &amp; "'!$I$25")</f>
        <v>0</v>
      </c>
      <c r="AG5">
        <f ca="1">INDIRECT("'" &amp; A5 &amp; "'!$F$25")</f>
        <v>0</v>
      </c>
      <c r="AH5">
        <f ca="1">INDIRECT("'" &amp; A5 &amp; "'!$I$26")</f>
        <v>0</v>
      </c>
      <c r="AI5">
        <f ca="1">INDIRECT("'" &amp; A5 &amp; "'!$F$26")</f>
        <v>0</v>
      </c>
      <c r="AJ5">
        <f ca="1">INDIRECT("'" &amp; A5 &amp; "'!$I$27")</f>
        <v>0</v>
      </c>
      <c r="AK5">
        <f ca="1">INDIRECT("'" &amp; A5 &amp; "'!$F$27")</f>
        <v>0</v>
      </c>
      <c r="AL5">
        <f ca="1">INDIRECT("'" &amp; A5 &amp; "'!$I$28")</f>
        <v>0</v>
      </c>
      <c r="AM5">
        <f ca="1">INDIRECT("'" &amp; A5 &amp; "'!$F$28")</f>
        <v>0</v>
      </c>
      <c r="AN5">
        <f ca="1">INDIRECT("'" &amp; A5 &amp; "'!$I$29")</f>
        <v>0</v>
      </c>
      <c r="AO5">
        <f ca="1">INDIRECT("'" &amp; A5 &amp; "'!$F$29")</f>
        <v>0</v>
      </c>
      <c r="AP5">
        <f ca="1">INDIRECT("'" &amp; A5 &amp; "'!$I$30")</f>
        <v>0</v>
      </c>
      <c r="AQ5">
        <f ca="1">INDIRECT("'" &amp; A5 &amp; "'!$F$30")</f>
        <v>0</v>
      </c>
      <c r="AR5">
        <f ca="1">INDIRECT("'" &amp; A5 &amp; "'!$I$31")</f>
        <v>0</v>
      </c>
      <c r="AS5">
        <f ca="1">INDIRECT("'" &amp; A5 &amp; "'!$F$31")</f>
        <v>0</v>
      </c>
      <c r="AT5">
        <f ca="1">INDIRECT("'" &amp; A5 &amp; "'!$I$32")</f>
        <v>0</v>
      </c>
      <c r="AU5">
        <f ca="1">INDIRECT("'" &amp; A5 &amp; "'!$F$32")</f>
        <v>0</v>
      </c>
      <c r="AV5">
        <f ca="1">INDIRECT("'" &amp; A5 &amp; "'!$I$36")</f>
        <v>0</v>
      </c>
      <c r="AW5">
        <f ca="1">INDIRECT("'" &amp; A5 &amp; "'!$F$36")</f>
        <v>0</v>
      </c>
      <c r="AX5">
        <f ca="1">INDIRECT("'" &amp; A5 &amp; "'!$I$37")</f>
        <v>0</v>
      </c>
      <c r="AY5">
        <f ca="1">INDIRECT("'" &amp; A5 &amp; "'!$F$37")</f>
        <v>0</v>
      </c>
      <c r="AZ5">
        <f ca="1">INDIRECT("'" &amp; A5 &amp; "'!$I$38")</f>
        <v>0</v>
      </c>
      <c r="BA5">
        <f ca="1">INDIRECT("'" &amp; A5 &amp; "'!$F$38")</f>
        <v>0</v>
      </c>
      <c r="BB5" t="str">
        <f ca="1">INDIRECT("'" &amp; A5 &amp; "'!$I$39")</f>
        <v/>
      </c>
      <c r="BC5">
        <f ca="1">INDIRECT("'" &amp; A5 &amp; "'!$F$39")</f>
        <v>0</v>
      </c>
      <c r="BD5" t="str">
        <f ca="1">INDIRECT("'" &amp; A5 &amp; "'!$I$40")</f>
        <v/>
      </c>
      <c r="BE5">
        <f ca="1">INDIRECT("'" &amp; A5 &amp; "'!$F$40")</f>
        <v>0</v>
      </c>
      <c r="BF5">
        <f ca="1">INDIRECT("'" &amp; A5 &amp; "'!$I$41")</f>
        <v>0</v>
      </c>
      <c r="BG5">
        <f ca="1">INDIRECT("'" &amp; A5 &amp; "'!$F$41")</f>
        <v>0</v>
      </c>
      <c r="BH5">
        <f ca="1">INDIRECT("'" &amp; A5 &amp; "'!$I$42")</f>
        <v>0</v>
      </c>
      <c r="BI5">
        <f ca="1">INDIRECT("'" &amp; A5 &amp; "'!$F$42")</f>
        <v>0</v>
      </c>
      <c r="BJ5">
        <f ca="1">INDIRECT("'" &amp; A5 &amp; "'!$I$47")</f>
        <v>0</v>
      </c>
      <c r="BK5">
        <f ca="1">INDIRECT("'" &amp; A5 &amp; "'!$F$47")</f>
        <v>0</v>
      </c>
      <c r="BL5">
        <f ca="1">INDIRECT("'" &amp; A5 &amp; "'!$I$48")</f>
        <v>0</v>
      </c>
      <c r="BM5">
        <f ca="1">INDIRECT("'" &amp; A5 &amp; "'!$F$48")</f>
        <v>0</v>
      </c>
      <c r="BN5">
        <f ca="1">INDIRECT("'" &amp; A5 &amp; "'!$I$49")</f>
        <v>0</v>
      </c>
      <c r="BO5">
        <f ca="1">INDIRECT("'" &amp; A5 &amp; "'!$F$49")</f>
        <v>0</v>
      </c>
      <c r="BP5" t="str">
        <f ca="1">INDIRECT("'" &amp; A5 &amp; "'!$I$50")</f>
        <v/>
      </c>
      <c r="BQ5">
        <f ca="1">INDIRECT("'" &amp; A5 &amp; "'!$F$50")</f>
        <v>0</v>
      </c>
      <c r="BR5">
        <f ca="1">INDIRECT("'" &amp; A5 &amp; "'!$I$51")</f>
        <v>0</v>
      </c>
      <c r="BS5">
        <f ca="1">INDIRECT("'" &amp; A5 &amp; "'!$F$51")</f>
        <v>0</v>
      </c>
      <c r="BT5">
        <f ca="1">INDIRECT("'" &amp; A5 &amp; "'!$I$52")</f>
        <v>0</v>
      </c>
      <c r="BU5">
        <f ca="1">INDIRECT("'" &amp; A5 &amp; "'!$F$52")</f>
        <v>0</v>
      </c>
      <c r="BV5">
        <f ca="1">INDIRECT("'" &amp; A5 &amp; "'!$I$53")</f>
        <v>0</v>
      </c>
      <c r="BW5">
        <f ca="1">INDIRECT("'" &amp; A5 &amp; "'!$F$53")</f>
        <v>0</v>
      </c>
      <c r="BX5">
        <f ca="1">INDIRECT("'" &amp; A5 &amp; "'!$I$54")</f>
        <v>0</v>
      </c>
      <c r="BY5">
        <f ca="1">INDIRECT("'" &amp; A5 &amp; "'!$F$54")</f>
        <v>0</v>
      </c>
      <c r="BZ5">
        <f ca="1">INDIRECT("'" &amp; A5 &amp; "'!$I$55")</f>
        <v>0</v>
      </c>
      <c r="CA5">
        <f ca="1">INDIRECT("'" &amp; A5 &amp; "'!$F$55")</f>
        <v>0</v>
      </c>
      <c r="CB5">
        <f ca="1">INDIRECT("'" &amp; A5 &amp; "'!$I$56")</f>
        <v>0</v>
      </c>
      <c r="CC5">
        <f ca="1">INDIRECT("'" &amp; A5 &amp; "'!$F$56")</f>
        <v>0</v>
      </c>
      <c r="CD5">
        <f ca="1">INDIRECT("'" &amp; A5 &amp; "'!$I$76")</f>
        <v>0</v>
      </c>
      <c r="CE5">
        <f ca="1">INDIRECT("'" &amp; A5 &amp; "'!$G$19")</f>
        <v>8044.4759999999997</v>
      </c>
      <c r="CF5">
        <f ca="1">INDIRECT("'" &amp; A5 &amp; "'!$D$19")</f>
        <v>1608895.2</v>
      </c>
      <c r="CG5" t="str">
        <f ca="1">INDIRECT("'" &amp; A5 &amp; "'!$M$19")</f>
        <v>A</v>
      </c>
      <c r="CH5">
        <f ca="1">INDIRECT("'" &amp; A5 &amp; "'!$N$19")</f>
        <v>0</v>
      </c>
      <c r="CI5" t="str">
        <f ca="1">INDIRECT("'" &amp; A5 &amp; "'!$M$20")</f>
        <v>A1</v>
      </c>
      <c r="CJ5">
        <f ca="1">INDIRECT("'" &amp; A5 &amp; "'!$N$20")</f>
        <v>0</v>
      </c>
      <c r="CK5" t="str">
        <f ca="1">INDIRECT("'" &amp; A5 &amp; "'!$M$21")</f>
        <v>A2</v>
      </c>
      <c r="CL5">
        <f ca="1">INDIRECT("'" &amp; A5 &amp; "'!$N$21")</f>
        <v>0</v>
      </c>
      <c r="CM5" t="str">
        <f ca="1">INDIRECT("'" &amp; A5 &amp; "'!$M$22")</f>
        <v>B</v>
      </c>
      <c r="CN5">
        <f ca="1">INDIRECT("'" &amp; A5 &amp; "'!$N$22")</f>
        <v>0</v>
      </c>
      <c r="CO5" t="str">
        <f ca="1">INDIRECT("'" &amp; A5 &amp; "'!$M$23")</f>
        <v>B1</v>
      </c>
      <c r="CP5">
        <f ca="1">INDIRECT("'" &amp; A5 &amp; "'!$N$23")</f>
        <v>0</v>
      </c>
      <c r="CQ5" t="str">
        <f ca="1">INDIRECT("'" &amp; A5 &amp; "'!$M$24")</f>
        <v>C</v>
      </c>
      <c r="CR5">
        <f ca="1">INDIRECT("'" &amp; A5 &amp; "'!$N$24")</f>
        <v>0</v>
      </c>
      <c r="CS5" t="str">
        <f ca="1">INDIRECT("'" &amp; A5 &amp; "'!$M$25")</f>
        <v>C1</v>
      </c>
      <c r="CT5">
        <f ca="1">INDIRECT("'" &amp; A5 &amp; "'!$N$25")</f>
        <v>0</v>
      </c>
      <c r="CU5" t="str">
        <f ca="1">INDIRECT("'" &amp; A5 &amp; "'!$M$26")</f>
        <v>D</v>
      </c>
      <c r="CV5">
        <f ca="1">INDIRECT("'" &amp; A5 &amp; "'!$N$26")</f>
        <v>0</v>
      </c>
      <c r="CW5" t="str">
        <f ca="1">INDIRECT("'" &amp; A5 &amp; "'!$M$27")</f>
        <v>D1</v>
      </c>
      <c r="CX5">
        <f ca="1">INDIRECT("'" &amp; A5 &amp; "'!$N$27")</f>
        <v>0</v>
      </c>
      <c r="CY5" t="str">
        <f ca="1">INDIRECT("'" &amp; A5 &amp; "'!$M$28")</f>
        <v>E</v>
      </c>
      <c r="CZ5">
        <f ca="1">INDIRECT("'" &amp; A5 &amp; "'!$N$28")</f>
        <v>0</v>
      </c>
      <c r="DA5" t="str">
        <f ca="1">INDIRECT("'" &amp; A5 &amp; "'!$M$29")</f>
        <v>F</v>
      </c>
      <c r="DB5">
        <f ca="1">INDIRECT("'" &amp; A5 &amp; "'!$N$29")</f>
        <v>0</v>
      </c>
      <c r="DC5" t="str">
        <f ca="1">INDIRECT("'" &amp; A5 &amp; "'!$M$30")</f>
        <v>F1</v>
      </c>
      <c r="DD5">
        <f ca="1">INDIRECT("'" &amp; A5 &amp; "'!$N$30")</f>
        <v>0</v>
      </c>
      <c r="DE5" t="str">
        <f ca="1">INDIRECT("'" &amp; A5 &amp; "'!$M$31")</f>
        <v>G</v>
      </c>
      <c r="DF5">
        <f ca="1">INDIRECT("'" &amp; A5 &amp; "'!$N$31")</f>
        <v>0</v>
      </c>
      <c r="DG5">
        <f ca="1">INDIRECT("'" &amp; A5 &amp; "'!$M$32")</f>
        <v>0</v>
      </c>
      <c r="DH5">
        <f ca="1">INDIRECT("'" &amp; A5 &amp; "'!$N$32")</f>
        <v>0</v>
      </c>
      <c r="DI5">
        <f ca="1">INDIRECT("'" &amp; A5 &amp; "'!$M$33")</f>
        <v>0</v>
      </c>
      <c r="DJ5">
        <f ca="1">INDIRECT("'" &amp; A5 &amp; "'!$N$33")</f>
        <v>0</v>
      </c>
      <c r="DK5">
        <f ca="1">SUM(CD5/CE5)</f>
        <v>0</v>
      </c>
    </row>
    <row r="6" spans="1:115" ht="14.45" x14ac:dyDescent="0.3">
      <c r="A6">
        <f>verzamelblad!A6</f>
        <v>2</v>
      </c>
      <c r="B6" s="21"/>
      <c r="C6" s="39"/>
      <c r="D6" s="39"/>
      <c r="E6" s="39"/>
      <c r="F6" s="39"/>
      <c r="G6" s="39"/>
      <c r="H6" s="39"/>
      <c r="I6" s="39"/>
      <c r="J6" s="39"/>
      <c r="K6" s="39"/>
      <c r="L6" s="38"/>
      <c r="M6" s="38"/>
      <c r="N6" s="38"/>
      <c r="O6" s="38"/>
      <c r="P6" s="39"/>
      <c r="Q6" s="214"/>
      <c r="S6" s="285">
        <f t="shared" ref="S6:S34" si="3">L6</f>
        <v>0</v>
      </c>
      <c r="T6" s="285">
        <f t="shared" ref="T6:T34" si="4">M6</f>
        <v>0</v>
      </c>
      <c r="U6">
        <f t="shared" si="0"/>
        <v>22</v>
      </c>
      <c r="V6">
        <f t="shared" si="1"/>
        <v>0</v>
      </c>
      <c r="W6">
        <f t="shared" si="2"/>
        <v>0</v>
      </c>
      <c r="X6">
        <f t="shared" ref="X6:X34" ca="1" si="5">INDIRECT("'" &amp; A6 &amp; "'!$I$14")</f>
        <v>0</v>
      </c>
      <c r="Y6" t="e">
        <f t="shared" ref="Y6:Y34" ca="1" si="6">INDIRECT("'" &amp; A6 &amp; "'!$I$19")</f>
        <v>#REF!</v>
      </c>
      <c r="Z6">
        <f t="shared" ref="Z6:Z34" ca="1" si="7">INDIRECT("'" &amp; A6 &amp; "'!$I$22")</f>
        <v>0</v>
      </c>
      <c r="AA6">
        <f t="shared" ref="AA6:AA34" ca="1" si="8">INDIRECT("'" &amp; A6 &amp; "'!$F$22")</f>
        <v>0</v>
      </c>
      <c r="AB6">
        <f t="shared" ref="AB6:AB34" ca="1" si="9">INDIRECT("'" &amp; A6 &amp; "'!$I$23")</f>
        <v>0</v>
      </c>
      <c r="AC6">
        <f t="shared" ref="AC6:AC34" ca="1" si="10">INDIRECT("'" &amp; A6 &amp; "'!$F$23")</f>
        <v>0</v>
      </c>
      <c r="AD6">
        <f t="shared" ref="AD6:AD34" ca="1" si="11">INDIRECT("'" &amp; A6 &amp; "'!$I$24")</f>
        <v>0</v>
      </c>
      <c r="AE6">
        <f t="shared" ref="AE6:AE34" ca="1" si="12">INDIRECT("'" &amp; A6 &amp; "'!$F$24")</f>
        <v>0</v>
      </c>
      <c r="AF6">
        <f t="shared" ref="AF6:AF34" ca="1" si="13">INDIRECT("'" &amp; A6 &amp; "'!$I$25")</f>
        <v>0</v>
      </c>
      <c r="AG6">
        <f t="shared" ref="AG6:AG34" ca="1" si="14">INDIRECT("'" &amp; A6 &amp; "'!$F$25")</f>
        <v>0</v>
      </c>
      <c r="AH6">
        <f t="shared" ref="AH6:AH34" ca="1" si="15">INDIRECT("'" &amp; A6 &amp; "'!$I$26")</f>
        <v>0</v>
      </c>
      <c r="AI6">
        <f t="shared" ref="AI6:AI34" ca="1" si="16">INDIRECT("'" &amp; A6 &amp; "'!$F$26")</f>
        <v>0</v>
      </c>
      <c r="AJ6">
        <f t="shared" ref="AJ6:AJ34" ca="1" si="17">INDIRECT("'" &amp; A6 &amp; "'!$I$27")</f>
        <v>0</v>
      </c>
      <c r="AK6">
        <f t="shared" ref="AK6:AK34" ca="1" si="18">INDIRECT("'" &amp; A6 &amp; "'!$F$27")</f>
        <v>0</v>
      </c>
      <c r="AL6">
        <f t="shared" ref="AL6:AL34" ca="1" si="19">INDIRECT("'" &amp; A6 &amp; "'!$I$28")</f>
        <v>0</v>
      </c>
      <c r="AM6">
        <f t="shared" ref="AM6:AM34" ca="1" si="20">INDIRECT("'" &amp; A6 &amp; "'!$F$28")</f>
        <v>0</v>
      </c>
      <c r="AN6">
        <f t="shared" ref="AN6:AN34" ca="1" si="21">INDIRECT("'" &amp; A6 &amp; "'!$I$29")</f>
        <v>0</v>
      </c>
      <c r="AO6">
        <f t="shared" ref="AO6:AO34" ca="1" si="22">INDIRECT("'" &amp; A6 &amp; "'!$F$29")</f>
        <v>0</v>
      </c>
      <c r="AP6">
        <f t="shared" ref="AP6:AP34" ca="1" si="23">INDIRECT("'" &amp; A6 &amp; "'!$I$30")</f>
        <v>0</v>
      </c>
      <c r="AQ6">
        <f t="shared" ref="AQ6:AQ34" ca="1" si="24">INDIRECT("'" &amp; A6 &amp; "'!$F$30")</f>
        <v>0</v>
      </c>
      <c r="AR6">
        <f t="shared" ref="AR6:AR34" ca="1" si="25">INDIRECT("'" &amp; A6 &amp; "'!$I$31")</f>
        <v>0</v>
      </c>
      <c r="AS6">
        <f t="shared" ref="AS6:AS34" ca="1" si="26">INDIRECT("'" &amp; A6 &amp; "'!$F$31")</f>
        <v>0</v>
      </c>
      <c r="AT6">
        <f t="shared" ref="AT6:AT34" ca="1" si="27">INDIRECT("'" &amp; A6 &amp; "'!$I$32")</f>
        <v>0</v>
      </c>
      <c r="AU6">
        <f t="shared" ref="AU6:AU34" ca="1" si="28">INDIRECT("'" &amp; A6 &amp; "'!$F$32")</f>
        <v>0</v>
      </c>
      <c r="AV6">
        <f t="shared" ref="AV6:AV34" ca="1" si="29">INDIRECT("'" &amp; A6 &amp; "'!$I$36")</f>
        <v>0</v>
      </c>
      <c r="AW6">
        <f t="shared" ref="AW6:AW34" ca="1" si="30">INDIRECT("'" &amp; A6 &amp; "'!$F$36")</f>
        <v>0</v>
      </c>
      <c r="AX6">
        <f t="shared" ref="AX6:AX34" ca="1" si="31">INDIRECT("'" &amp; A6 &amp; "'!$I$37")</f>
        <v>0</v>
      </c>
      <c r="AY6">
        <f t="shared" ref="AY6:AY34" ca="1" si="32">INDIRECT("'" &amp; A6 &amp; "'!$F$37")</f>
        <v>0</v>
      </c>
      <c r="AZ6">
        <f t="shared" ref="AZ6:AZ34" ca="1" si="33">INDIRECT("'" &amp; A6 &amp; "'!$I$38")</f>
        <v>0</v>
      </c>
      <c r="BA6">
        <f t="shared" ref="BA6:BA34" ca="1" si="34">INDIRECT("'" &amp; A6 &amp; "'!$F$38")</f>
        <v>0</v>
      </c>
      <c r="BB6">
        <f t="shared" ref="BB6:BB34" ca="1" si="35">INDIRECT("'" &amp; A6 &amp; "'!$I$39")</f>
        <v>0</v>
      </c>
      <c r="BC6">
        <f t="shared" ref="BC6:BC34" ca="1" si="36">INDIRECT("'" &amp; A6 &amp; "'!$F$39")</f>
        <v>0</v>
      </c>
      <c r="BD6" t="str">
        <f t="shared" ref="BD6:BD34" ca="1" si="37">INDIRECT("'" &amp; A6 &amp; "'!$I$40")</f>
        <v/>
      </c>
      <c r="BE6">
        <f t="shared" ref="BE6:BE34" ca="1" si="38">INDIRECT("'" &amp; A6 &amp; "'!$F$40")</f>
        <v>0</v>
      </c>
      <c r="BF6" t="str">
        <f t="shared" ref="BF6:BF34" ca="1" si="39">INDIRECT("'" &amp; A6 &amp; "'!$I$41")</f>
        <v/>
      </c>
      <c r="BG6">
        <f t="shared" ref="BG6:BG34" ca="1" si="40">INDIRECT("'" &amp; A6 &amp; "'!$F$41")</f>
        <v>0</v>
      </c>
      <c r="BH6">
        <f t="shared" ref="BH6:BH34" ca="1" si="41">INDIRECT("'" &amp; A6 &amp; "'!$I$42")</f>
        <v>0</v>
      </c>
      <c r="BI6">
        <f t="shared" ref="BI6:BI34" ca="1" si="42">INDIRECT("'" &amp; A6 &amp; "'!$F$42")</f>
        <v>0</v>
      </c>
      <c r="BJ6">
        <f t="shared" ref="BJ6:BJ34" ca="1" si="43">INDIRECT("'" &amp; A6 &amp; "'!$I$47")</f>
        <v>0</v>
      </c>
      <c r="BK6">
        <f t="shared" ref="BK6:BK34" ca="1" si="44">INDIRECT("'" &amp; A6 &amp; "'!$F$47")</f>
        <v>0</v>
      </c>
      <c r="BL6">
        <f t="shared" ref="BL6:BL34" ca="1" si="45">INDIRECT("'" &amp; A6 &amp; "'!$I$48")</f>
        <v>0</v>
      </c>
      <c r="BM6">
        <f t="shared" ref="BM6:BM34" ca="1" si="46">INDIRECT("'" &amp; A6 &amp; "'!$F$48")</f>
        <v>0</v>
      </c>
      <c r="BN6">
        <f t="shared" ref="BN6:BN34" ca="1" si="47">INDIRECT("'" &amp; A6 &amp; "'!$I$49")</f>
        <v>0</v>
      </c>
      <c r="BO6">
        <f t="shared" ref="BO6:BO34" ca="1" si="48">INDIRECT("'" &amp; A6 &amp; "'!$F$49")</f>
        <v>0</v>
      </c>
      <c r="BP6">
        <f t="shared" ref="BP6:BP34" ca="1" si="49">INDIRECT("'" &amp; A6 &amp; "'!$I$50")</f>
        <v>0</v>
      </c>
      <c r="BQ6">
        <f t="shared" ref="BQ6:BQ34" ca="1" si="50">INDIRECT("'" &amp; A6 &amp; "'!$F$50")</f>
        <v>0</v>
      </c>
      <c r="BR6">
        <f t="shared" ref="BR6:BR34" ca="1" si="51">INDIRECT("'" &amp; A6 &amp; "'!$I$51")</f>
        <v>0</v>
      </c>
      <c r="BS6">
        <f t="shared" ref="BS6:BS34" ca="1" si="52">INDIRECT("'" &amp; A6 &amp; "'!$F$51")</f>
        <v>0</v>
      </c>
      <c r="BT6">
        <f t="shared" ref="BT6:BT34" ca="1" si="53">INDIRECT("'" &amp; A6 &amp; "'!$I$52")</f>
        <v>0</v>
      </c>
      <c r="BU6">
        <f t="shared" ref="BU6:BU34" ca="1" si="54">INDIRECT("'" &amp; A6 &amp; "'!$F$52")</f>
        <v>0</v>
      </c>
      <c r="BV6">
        <f t="shared" ref="BV6:BV34" ca="1" si="55">INDIRECT("'" &amp; A6 &amp; "'!$I$53")</f>
        <v>0</v>
      </c>
      <c r="BW6">
        <f t="shared" ref="BW6:BW34" ca="1" si="56">INDIRECT("'" &amp; A6 &amp; "'!$F$53")</f>
        <v>0</v>
      </c>
      <c r="BX6">
        <f t="shared" ref="BX6:BX34" ca="1" si="57">INDIRECT("'" &amp; A6 &amp; "'!$I$54")</f>
        <v>0</v>
      </c>
      <c r="BY6">
        <f t="shared" ref="BY6:BY34" ca="1" si="58">INDIRECT("'" &amp; A6 &amp; "'!$F$54")</f>
        <v>0</v>
      </c>
      <c r="BZ6">
        <f t="shared" ref="BZ6:BZ34" ca="1" si="59">INDIRECT("'" &amp; A6 &amp; "'!$I$55")</f>
        <v>0</v>
      </c>
      <c r="CA6">
        <f t="shared" ref="CA6:CA34" ca="1" si="60">INDIRECT("'" &amp; A6 &amp; "'!$F$55")</f>
        <v>0</v>
      </c>
      <c r="CB6">
        <f t="shared" ref="CB6:CB34" ca="1" si="61">INDIRECT("'" &amp; A6 &amp; "'!$I$56")</f>
        <v>0</v>
      </c>
      <c r="CC6">
        <f t="shared" ref="CC6:CC34" ca="1" si="62">INDIRECT("'" &amp; A6 &amp; "'!$F$56")</f>
        <v>0</v>
      </c>
      <c r="CD6">
        <f t="shared" ref="CD6:CD34" ca="1" si="63">INDIRECT("'" &amp; A6 &amp; "'!$I$76")</f>
        <v>0</v>
      </c>
      <c r="CE6" t="e">
        <f t="shared" ref="CE6:CE34" ca="1" si="64">INDIRECT("'" &amp; A6 &amp; "'!$G$19")</f>
        <v>#REF!</v>
      </c>
      <c r="CF6" t="e">
        <f t="shared" ref="CF6:CF34" ca="1" si="65">INDIRECT("'" &amp; A6 &amp; "'!$D$19")</f>
        <v>#REF!</v>
      </c>
      <c r="CG6" t="e">
        <f t="shared" ref="CG6:CG34" ca="1" si="66">INDIRECT("'" &amp; A6 &amp; "'!$M$19")</f>
        <v>#REF!</v>
      </c>
      <c r="CH6">
        <f t="shared" ref="CH6:CH34" ca="1" si="67">INDIRECT("'" &amp; A6 &amp; "'!$N$19")</f>
        <v>0</v>
      </c>
      <c r="CI6" t="e">
        <f t="shared" ref="CI6:CI34" ca="1" si="68">INDIRECT("'" &amp; A6 &amp; "'!$M$20")</f>
        <v>#REF!</v>
      </c>
      <c r="CJ6">
        <f t="shared" ref="CJ6:CJ34" ca="1" si="69">INDIRECT("'" &amp; A6 &amp; "'!$N$20")</f>
        <v>0</v>
      </c>
      <c r="CK6" t="e">
        <f t="shared" ref="CK6:CK34" ca="1" si="70">INDIRECT("'" &amp; A6 &amp; "'!$M$21")</f>
        <v>#REF!</v>
      </c>
      <c r="CL6">
        <f t="shared" ref="CL6:CL34" ca="1" si="71">INDIRECT("'" &amp; A6 &amp; "'!$N$21")</f>
        <v>0</v>
      </c>
      <c r="CM6" t="e">
        <f t="shared" ref="CM6:CM34" ca="1" si="72">INDIRECT("'" &amp; A6 &amp; "'!$M$22")</f>
        <v>#REF!</v>
      </c>
      <c r="CN6">
        <f t="shared" ref="CN6:CN34" ca="1" si="73">INDIRECT("'" &amp; A6 &amp; "'!$N$22")</f>
        <v>0</v>
      </c>
      <c r="CO6" t="e">
        <f t="shared" ref="CO6:CO34" ca="1" si="74">INDIRECT("'" &amp; A6 &amp; "'!$M$23")</f>
        <v>#REF!</v>
      </c>
      <c r="CP6">
        <f t="shared" ref="CP6:CP34" ca="1" si="75">INDIRECT("'" &amp; A6 &amp; "'!$N$23")</f>
        <v>0</v>
      </c>
      <c r="CQ6" t="e">
        <f t="shared" ref="CQ6:CQ34" ca="1" si="76">INDIRECT("'" &amp; A6 &amp; "'!$M$24")</f>
        <v>#REF!</v>
      </c>
      <c r="CR6">
        <f t="shared" ref="CR6:CR34" ca="1" si="77">INDIRECT("'" &amp; A6 &amp; "'!$N$24")</f>
        <v>0</v>
      </c>
      <c r="CS6" t="e">
        <f t="shared" ref="CS6:CS34" ca="1" si="78">INDIRECT("'" &amp; A6 &amp; "'!$M$25")</f>
        <v>#REF!</v>
      </c>
      <c r="CT6">
        <f t="shared" ref="CT6:CT34" ca="1" si="79">INDIRECT("'" &amp; A6 &amp; "'!$N$25")</f>
        <v>0</v>
      </c>
      <c r="CU6">
        <f t="shared" ref="CU6:CU34" ca="1" si="80">INDIRECT("'" &amp; A6 &amp; "'!$M$26")</f>
        <v>0</v>
      </c>
      <c r="CV6">
        <f t="shared" ref="CV6:CV34" ca="1" si="81">INDIRECT("'" &amp; A6 &amp; "'!$N$26")</f>
        <v>0</v>
      </c>
      <c r="CW6">
        <f t="shared" ref="CW6:CW34" ca="1" si="82">INDIRECT("'" &amp; A6 &amp; "'!$M$27")</f>
        <v>0</v>
      </c>
      <c r="CX6">
        <f t="shared" ref="CX6:CX34" ca="1" si="83">INDIRECT("'" &amp; A6 &amp; "'!$N$27")</f>
        <v>0</v>
      </c>
      <c r="CY6">
        <f t="shared" ref="CY6:CY34" ca="1" si="84">INDIRECT("'" &amp; A6 &amp; "'!$M$28")</f>
        <v>0</v>
      </c>
      <c r="CZ6">
        <f t="shared" ref="CZ6:CZ34" ca="1" si="85">INDIRECT("'" &amp; A6 &amp; "'!$N$28")</f>
        <v>0</v>
      </c>
      <c r="DA6">
        <f t="shared" ref="DA6:DA34" ca="1" si="86">INDIRECT("'" &amp; A6 &amp; "'!$M$29")</f>
        <v>0</v>
      </c>
      <c r="DB6">
        <f t="shared" ref="DB6:DB34" ca="1" si="87">INDIRECT("'" &amp; A6 &amp; "'!$N$29")</f>
        <v>0</v>
      </c>
      <c r="DC6">
        <f t="shared" ref="DC6:DC34" ca="1" si="88">INDIRECT("'" &amp; A6 &amp; "'!$M$30")</f>
        <v>0</v>
      </c>
      <c r="DD6">
        <f t="shared" ref="DD6:DD34" ca="1" si="89">INDIRECT("'" &amp; A6 &amp; "'!$N$30")</f>
        <v>0</v>
      </c>
      <c r="DE6">
        <f t="shared" ref="DE6:DE34" ca="1" si="90">INDIRECT("'" &amp; A6 &amp; "'!$M$31")</f>
        <v>0</v>
      </c>
      <c r="DF6">
        <f t="shared" ref="DF6:DF34" ca="1" si="91">INDIRECT("'" &amp; A6 &amp; "'!$N$31")</f>
        <v>0</v>
      </c>
      <c r="DG6">
        <f t="shared" ref="DG6:DG34" ca="1" si="92">INDIRECT("'" &amp; A6 &amp; "'!$M$32")</f>
        <v>0</v>
      </c>
      <c r="DH6">
        <f t="shared" ref="DH6:DH34" ca="1" si="93">INDIRECT("'" &amp; A6 &amp; "'!$N$32")</f>
        <v>0</v>
      </c>
      <c r="DI6">
        <f t="shared" ref="DI6:DI34" ca="1" si="94">INDIRECT("'" &amp; A6 &amp; "'!$M$33")</f>
        <v>0</v>
      </c>
      <c r="DJ6">
        <f t="shared" ref="DJ6:DJ34" ca="1" si="95">INDIRECT("'" &amp; A6 &amp; "'!$N$33")</f>
        <v>0</v>
      </c>
      <c r="DK6" t="e">
        <f t="shared" ref="DK6:DK34" ca="1" si="96">SUM(CD6/CE6)</f>
        <v>#REF!</v>
      </c>
    </row>
    <row r="7" spans="1:115" ht="14.45" x14ac:dyDescent="0.3">
      <c r="A7">
        <f>verzamelblad!A7</f>
        <v>3</v>
      </c>
      <c r="B7" s="21"/>
      <c r="C7" s="39"/>
      <c r="D7" s="39"/>
      <c r="E7" s="39"/>
      <c r="F7" s="39"/>
      <c r="G7" s="39"/>
      <c r="H7" s="39"/>
      <c r="I7" s="39"/>
      <c r="J7" s="39"/>
      <c r="K7" s="39"/>
      <c r="L7" s="38"/>
      <c r="M7" s="38"/>
      <c r="N7" s="38"/>
      <c r="O7" s="38"/>
      <c r="P7" s="39"/>
      <c r="Q7" s="214"/>
      <c r="S7" s="285">
        <f t="shared" si="3"/>
        <v>0</v>
      </c>
      <c r="T7" s="285">
        <f t="shared" si="4"/>
        <v>0</v>
      </c>
      <c r="U7">
        <f t="shared" si="0"/>
        <v>22</v>
      </c>
      <c r="V7">
        <f t="shared" si="1"/>
        <v>0</v>
      </c>
      <c r="W7">
        <f t="shared" si="2"/>
        <v>0</v>
      </c>
      <c r="X7" t="e">
        <f t="shared" ca="1" si="5"/>
        <v>#REF!</v>
      </c>
      <c r="Y7" t="e">
        <f t="shared" ca="1" si="6"/>
        <v>#REF!</v>
      </c>
      <c r="Z7" t="e">
        <f t="shared" ca="1" si="7"/>
        <v>#REF!</v>
      </c>
      <c r="AA7" t="e">
        <f t="shared" ca="1" si="8"/>
        <v>#REF!</v>
      </c>
      <c r="AB7" t="e">
        <f t="shared" ca="1" si="9"/>
        <v>#REF!</v>
      </c>
      <c r="AC7" t="e">
        <f t="shared" ca="1" si="10"/>
        <v>#REF!</v>
      </c>
      <c r="AD7" t="e">
        <f t="shared" ca="1" si="11"/>
        <v>#REF!</v>
      </c>
      <c r="AE7" t="e">
        <f t="shared" ca="1" si="12"/>
        <v>#REF!</v>
      </c>
      <c r="AF7" t="e">
        <f t="shared" ca="1" si="13"/>
        <v>#REF!</v>
      </c>
      <c r="AG7" t="e">
        <f t="shared" ca="1" si="14"/>
        <v>#REF!</v>
      </c>
      <c r="AH7" t="e">
        <f t="shared" ca="1" si="15"/>
        <v>#REF!</v>
      </c>
      <c r="AI7" t="e">
        <f t="shared" ca="1" si="16"/>
        <v>#REF!</v>
      </c>
      <c r="AJ7" t="e">
        <f t="shared" ca="1" si="17"/>
        <v>#REF!</v>
      </c>
      <c r="AK7" t="e">
        <f t="shared" ca="1" si="18"/>
        <v>#REF!</v>
      </c>
      <c r="AL7" t="e">
        <f t="shared" ca="1" si="19"/>
        <v>#REF!</v>
      </c>
      <c r="AM7" t="e">
        <f t="shared" ca="1" si="20"/>
        <v>#REF!</v>
      </c>
      <c r="AN7" t="e">
        <f t="shared" ca="1" si="21"/>
        <v>#REF!</v>
      </c>
      <c r="AO7" t="e">
        <f t="shared" ca="1" si="22"/>
        <v>#REF!</v>
      </c>
      <c r="AP7" t="e">
        <f t="shared" ca="1" si="23"/>
        <v>#REF!</v>
      </c>
      <c r="AQ7" t="e">
        <f t="shared" ca="1" si="24"/>
        <v>#REF!</v>
      </c>
      <c r="AR7" t="e">
        <f t="shared" ca="1" si="25"/>
        <v>#REF!</v>
      </c>
      <c r="AS7" t="e">
        <f t="shared" ca="1" si="26"/>
        <v>#REF!</v>
      </c>
      <c r="AT7" t="e">
        <f t="shared" ca="1" si="27"/>
        <v>#REF!</v>
      </c>
      <c r="AU7" t="e">
        <f t="shared" ca="1" si="28"/>
        <v>#REF!</v>
      </c>
      <c r="AV7" t="e">
        <f t="shared" ca="1" si="29"/>
        <v>#REF!</v>
      </c>
      <c r="AW7" t="e">
        <f t="shared" ca="1" si="30"/>
        <v>#REF!</v>
      </c>
      <c r="AX7" t="e">
        <f t="shared" ca="1" si="31"/>
        <v>#REF!</v>
      </c>
      <c r="AY7" t="e">
        <f t="shared" ca="1" si="32"/>
        <v>#REF!</v>
      </c>
      <c r="AZ7" t="e">
        <f t="shared" ca="1" si="33"/>
        <v>#REF!</v>
      </c>
      <c r="BA7" t="e">
        <f t="shared" ca="1" si="34"/>
        <v>#REF!</v>
      </c>
      <c r="BB7" t="e">
        <f t="shared" ca="1" si="35"/>
        <v>#REF!</v>
      </c>
      <c r="BC7" t="e">
        <f t="shared" ca="1" si="36"/>
        <v>#REF!</v>
      </c>
      <c r="BD7" t="e">
        <f t="shared" ca="1" si="37"/>
        <v>#REF!</v>
      </c>
      <c r="BE7" t="e">
        <f t="shared" ca="1" si="38"/>
        <v>#REF!</v>
      </c>
      <c r="BF7" t="e">
        <f t="shared" ca="1" si="39"/>
        <v>#REF!</v>
      </c>
      <c r="BG7" t="e">
        <f t="shared" ca="1" si="40"/>
        <v>#REF!</v>
      </c>
      <c r="BH7" t="e">
        <f t="shared" ca="1" si="41"/>
        <v>#REF!</v>
      </c>
      <c r="BI7" t="e">
        <f t="shared" ca="1" si="42"/>
        <v>#REF!</v>
      </c>
      <c r="BJ7" t="e">
        <f t="shared" ca="1" si="43"/>
        <v>#REF!</v>
      </c>
      <c r="BK7" t="e">
        <f t="shared" ca="1" si="44"/>
        <v>#REF!</v>
      </c>
      <c r="BL7" t="e">
        <f t="shared" ca="1" si="45"/>
        <v>#REF!</v>
      </c>
      <c r="BM7" t="e">
        <f t="shared" ca="1" si="46"/>
        <v>#REF!</v>
      </c>
      <c r="BN7" t="e">
        <f t="shared" ca="1" si="47"/>
        <v>#REF!</v>
      </c>
      <c r="BO7" t="e">
        <f t="shared" ca="1" si="48"/>
        <v>#REF!</v>
      </c>
      <c r="BP7" t="e">
        <f t="shared" ca="1" si="49"/>
        <v>#REF!</v>
      </c>
      <c r="BQ7" t="e">
        <f t="shared" ca="1" si="50"/>
        <v>#REF!</v>
      </c>
      <c r="BR7" t="e">
        <f t="shared" ca="1" si="51"/>
        <v>#REF!</v>
      </c>
      <c r="BS7" t="e">
        <f t="shared" ca="1" si="52"/>
        <v>#REF!</v>
      </c>
      <c r="BT7" t="e">
        <f t="shared" ca="1" si="53"/>
        <v>#REF!</v>
      </c>
      <c r="BU7" t="e">
        <f t="shared" ca="1" si="54"/>
        <v>#REF!</v>
      </c>
      <c r="BV7" t="e">
        <f t="shared" ca="1" si="55"/>
        <v>#REF!</v>
      </c>
      <c r="BW7" t="e">
        <f t="shared" ca="1" si="56"/>
        <v>#REF!</v>
      </c>
      <c r="BX7" t="e">
        <f t="shared" ca="1" si="57"/>
        <v>#REF!</v>
      </c>
      <c r="BY7" t="e">
        <f t="shared" ca="1" si="58"/>
        <v>#REF!</v>
      </c>
      <c r="BZ7" t="e">
        <f t="shared" ca="1" si="59"/>
        <v>#REF!</v>
      </c>
      <c r="CA7" t="e">
        <f t="shared" ca="1" si="60"/>
        <v>#REF!</v>
      </c>
      <c r="CB7" t="e">
        <f t="shared" ca="1" si="61"/>
        <v>#REF!</v>
      </c>
      <c r="CC7" t="e">
        <f t="shared" ca="1" si="62"/>
        <v>#REF!</v>
      </c>
      <c r="CD7" t="e">
        <f t="shared" ca="1" si="63"/>
        <v>#REF!</v>
      </c>
      <c r="CE7" t="e">
        <f t="shared" ca="1" si="64"/>
        <v>#REF!</v>
      </c>
      <c r="CF7" t="e">
        <f t="shared" ca="1" si="65"/>
        <v>#REF!</v>
      </c>
      <c r="CG7" t="e">
        <f t="shared" ca="1" si="66"/>
        <v>#REF!</v>
      </c>
      <c r="CH7" t="e">
        <f t="shared" ca="1" si="67"/>
        <v>#REF!</v>
      </c>
      <c r="CI7" t="e">
        <f t="shared" ca="1" si="68"/>
        <v>#REF!</v>
      </c>
      <c r="CJ7" t="e">
        <f t="shared" ca="1" si="69"/>
        <v>#REF!</v>
      </c>
      <c r="CK7" t="e">
        <f t="shared" ca="1" si="70"/>
        <v>#REF!</v>
      </c>
      <c r="CL7" t="e">
        <f t="shared" ca="1" si="71"/>
        <v>#REF!</v>
      </c>
      <c r="CM7" t="e">
        <f t="shared" ca="1" si="72"/>
        <v>#REF!</v>
      </c>
      <c r="CN7" t="e">
        <f t="shared" ca="1" si="73"/>
        <v>#REF!</v>
      </c>
      <c r="CO7" t="e">
        <f t="shared" ca="1" si="74"/>
        <v>#REF!</v>
      </c>
      <c r="CP7" t="e">
        <f t="shared" ca="1" si="75"/>
        <v>#REF!</v>
      </c>
      <c r="CQ7" t="e">
        <f t="shared" ca="1" si="76"/>
        <v>#REF!</v>
      </c>
      <c r="CR7" t="e">
        <f t="shared" ca="1" si="77"/>
        <v>#REF!</v>
      </c>
      <c r="CS7" t="e">
        <f t="shared" ca="1" si="78"/>
        <v>#REF!</v>
      </c>
      <c r="CT7" t="e">
        <f t="shared" ca="1" si="79"/>
        <v>#REF!</v>
      </c>
      <c r="CU7" t="e">
        <f t="shared" ca="1" si="80"/>
        <v>#REF!</v>
      </c>
      <c r="CV7" t="e">
        <f t="shared" ca="1" si="81"/>
        <v>#REF!</v>
      </c>
      <c r="CW7" t="e">
        <f t="shared" ca="1" si="82"/>
        <v>#REF!</v>
      </c>
      <c r="CX7" t="e">
        <f t="shared" ca="1" si="83"/>
        <v>#REF!</v>
      </c>
      <c r="CY7" t="e">
        <f t="shared" ca="1" si="84"/>
        <v>#REF!</v>
      </c>
      <c r="CZ7" t="e">
        <f t="shared" ca="1" si="85"/>
        <v>#REF!</v>
      </c>
      <c r="DA7" t="e">
        <f t="shared" ca="1" si="86"/>
        <v>#REF!</v>
      </c>
      <c r="DB7" t="e">
        <f t="shared" ca="1" si="87"/>
        <v>#REF!</v>
      </c>
      <c r="DC7" t="e">
        <f t="shared" ca="1" si="88"/>
        <v>#REF!</v>
      </c>
      <c r="DD7" t="e">
        <f t="shared" ca="1" si="89"/>
        <v>#REF!</v>
      </c>
      <c r="DE7" t="e">
        <f t="shared" ca="1" si="90"/>
        <v>#REF!</v>
      </c>
      <c r="DF7" t="e">
        <f t="shared" ca="1" si="91"/>
        <v>#REF!</v>
      </c>
      <c r="DG7" t="e">
        <f t="shared" ca="1" si="92"/>
        <v>#REF!</v>
      </c>
      <c r="DH7" t="e">
        <f t="shared" ca="1" si="93"/>
        <v>#REF!</v>
      </c>
      <c r="DI7" t="e">
        <f t="shared" ca="1" si="94"/>
        <v>#REF!</v>
      </c>
      <c r="DJ7" t="e">
        <f t="shared" ca="1" si="95"/>
        <v>#REF!</v>
      </c>
      <c r="DK7" t="e">
        <f t="shared" ca="1" si="96"/>
        <v>#REF!</v>
      </c>
    </row>
    <row r="8" spans="1:115" ht="14.45" x14ac:dyDescent="0.3">
      <c r="A8">
        <f>verzamelblad!A8</f>
        <v>4</v>
      </c>
      <c r="B8" s="21"/>
      <c r="C8" s="39"/>
      <c r="D8" s="39"/>
      <c r="E8" s="39"/>
      <c r="F8" s="39"/>
      <c r="G8" s="39"/>
      <c r="H8" s="39"/>
      <c r="I8" s="39"/>
      <c r="J8" s="39"/>
      <c r="K8" s="39"/>
      <c r="L8" s="38"/>
      <c r="M8" s="38"/>
      <c r="N8" s="38"/>
      <c r="O8" s="38"/>
      <c r="P8" s="39"/>
      <c r="Q8" s="214"/>
      <c r="S8" s="285">
        <f t="shared" si="3"/>
        <v>0</v>
      </c>
      <c r="T8" s="285">
        <f t="shared" si="4"/>
        <v>0</v>
      </c>
      <c r="U8">
        <f t="shared" si="0"/>
        <v>22</v>
      </c>
      <c r="V8">
        <f t="shared" si="1"/>
        <v>0</v>
      </c>
      <c r="W8">
        <f t="shared" si="2"/>
        <v>0</v>
      </c>
      <c r="X8" t="e">
        <f t="shared" ca="1" si="5"/>
        <v>#REF!</v>
      </c>
      <c r="Y8" t="e">
        <f t="shared" ca="1" si="6"/>
        <v>#REF!</v>
      </c>
      <c r="Z8" t="e">
        <f t="shared" ca="1" si="7"/>
        <v>#REF!</v>
      </c>
      <c r="AA8" t="e">
        <f t="shared" ca="1" si="8"/>
        <v>#REF!</v>
      </c>
      <c r="AB8" t="e">
        <f t="shared" ca="1" si="9"/>
        <v>#REF!</v>
      </c>
      <c r="AC8" t="e">
        <f t="shared" ca="1" si="10"/>
        <v>#REF!</v>
      </c>
      <c r="AD8" t="e">
        <f t="shared" ca="1" si="11"/>
        <v>#REF!</v>
      </c>
      <c r="AE8" t="e">
        <f t="shared" ca="1" si="12"/>
        <v>#REF!</v>
      </c>
      <c r="AF8" t="e">
        <f t="shared" ca="1" si="13"/>
        <v>#REF!</v>
      </c>
      <c r="AG8" t="e">
        <f t="shared" ca="1" si="14"/>
        <v>#REF!</v>
      </c>
      <c r="AH8" t="e">
        <f t="shared" ca="1" si="15"/>
        <v>#REF!</v>
      </c>
      <c r="AI8" t="e">
        <f t="shared" ca="1" si="16"/>
        <v>#REF!</v>
      </c>
      <c r="AJ8" t="e">
        <f t="shared" ca="1" si="17"/>
        <v>#REF!</v>
      </c>
      <c r="AK8" t="e">
        <f t="shared" ca="1" si="18"/>
        <v>#REF!</v>
      </c>
      <c r="AL8" t="e">
        <f t="shared" ca="1" si="19"/>
        <v>#REF!</v>
      </c>
      <c r="AM8" t="e">
        <f t="shared" ca="1" si="20"/>
        <v>#REF!</v>
      </c>
      <c r="AN8" t="e">
        <f t="shared" ca="1" si="21"/>
        <v>#REF!</v>
      </c>
      <c r="AO8" t="e">
        <f t="shared" ca="1" si="22"/>
        <v>#REF!</v>
      </c>
      <c r="AP8" t="e">
        <f t="shared" ca="1" si="23"/>
        <v>#REF!</v>
      </c>
      <c r="AQ8" t="e">
        <f t="shared" ca="1" si="24"/>
        <v>#REF!</v>
      </c>
      <c r="AR8" t="e">
        <f t="shared" ca="1" si="25"/>
        <v>#REF!</v>
      </c>
      <c r="AS8" t="e">
        <f t="shared" ca="1" si="26"/>
        <v>#REF!</v>
      </c>
      <c r="AT8" t="e">
        <f t="shared" ca="1" si="27"/>
        <v>#REF!</v>
      </c>
      <c r="AU8" t="e">
        <f t="shared" ca="1" si="28"/>
        <v>#REF!</v>
      </c>
      <c r="AV8" t="e">
        <f t="shared" ca="1" si="29"/>
        <v>#REF!</v>
      </c>
      <c r="AW8" t="e">
        <f t="shared" ca="1" si="30"/>
        <v>#REF!</v>
      </c>
      <c r="AX8" t="e">
        <f t="shared" ca="1" si="31"/>
        <v>#REF!</v>
      </c>
      <c r="AY8" t="e">
        <f t="shared" ca="1" si="32"/>
        <v>#REF!</v>
      </c>
      <c r="AZ8" t="e">
        <f t="shared" ca="1" si="33"/>
        <v>#REF!</v>
      </c>
      <c r="BA8" t="e">
        <f t="shared" ca="1" si="34"/>
        <v>#REF!</v>
      </c>
      <c r="BB8" t="e">
        <f t="shared" ca="1" si="35"/>
        <v>#REF!</v>
      </c>
      <c r="BC8" t="e">
        <f t="shared" ca="1" si="36"/>
        <v>#REF!</v>
      </c>
      <c r="BD8" t="e">
        <f t="shared" ca="1" si="37"/>
        <v>#REF!</v>
      </c>
      <c r="BE8" t="e">
        <f t="shared" ca="1" si="38"/>
        <v>#REF!</v>
      </c>
      <c r="BF8" t="e">
        <f t="shared" ca="1" si="39"/>
        <v>#REF!</v>
      </c>
      <c r="BG8" t="e">
        <f t="shared" ca="1" si="40"/>
        <v>#REF!</v>
      </c>
      <c r="BH8" t="e">
        <f t="shared" ca="1" si="41"/>
        <v>#REF!</v>
      </c>
      <c r="BI8" t="e">
        <f t="shared" ca="1" si="42"/>
        <v>#REF!</v>
      </c>
      <c r="BJ8" t="e">
        <f t="shared" ca="1" si="43"/>
        <v>#REF!</v>
      </c>
      <c r="BK8" t="e">
        <f t="shared" ca="1" si="44"/>
        <v>#REF!</v>
      </c>
      <c r="BL8" t="e">
        <f t="shared" ca="1" si="45"/>
        <v>#REF!</v>
      </c>
      <c r="BM8" t="e">
        <f t="shared" ca="1" si="46"/>
        <v>#REF!</v>
      </c>
      <c r="BN8" t="e">
        <f t="shared" ca="1" si="47"/>
        <v>#REF!</v>
      </c>
      <c r="BO8" t="e">
        <f t="shared" ca="1" si="48"/>
        <v>#REF!</v>
      </c>
      <c r="BP8" t="e">
        <f t="shared" ca="1" si="49"/>
        <v>#REF!</v>
      </c>
      <c r="BQ8" t="e">
        <f t="shared" ca="1" si="50"/>
        <v>#REF!</v>
      </c>
      <c r="BR8" t="e">
        <f t="shared" ca="1" si="51"/>
        <v>#REF!</v>
      </c>
      <c r="BS8" t="e">
        <f t="shared" ca="1" si="52"/>
        <v>#REF!</v>
      </c>
      <c r="BT8" t="e">
        <f t="shared" ca="1" si="53"/>
        <v>#REF!</v>
      </c>
      <c r="BU8" t="e">
        <f t="shared" ca="1" si="54"/>
        <v>#REF!</v>
      </c>
      <c r="BV8" t="e">
        <f t="shared" ca="1" si="55"/>
        <v>#REF!</v>
      </c>
      <c r="BW8" t="e">
        <f t="shared" ca="1" si="56"/>
        <v>#REF!</v>
      </c>
      <c r="BX8" t="e">
        <f t="shared" ca="1" si="57"/>
        <v>#REF!</v>
      </c>
      <c r="BY8" t="e">
        <f t="shared" ca="1" si="58"/>
        <v>#REF!</v>
      </c>
      <c r="BZ8" t="e">
        <f t="shared" ca="1" si="59"/>
        <v>#REF!</v>
      </c>
      <c r="CA8" t="e">
        <f t="shared" ca="1" si="60"/>
        <v>#REF!</v>
      </c>
      <c r="CB8" t="e">
        <f t="shared" ca="1" si="61"/>
        <v>#REF!</v>
      </c>
      <c r="CC8" t="e">
        <f t="shared" ca="1" si="62"/>
        <v>#REF!</v>
      </c>
      <c r="CD8" t="e">
        <f t="shared" ca="1" si="63"/>
        <v>#REF!</v>
      </c>
      <c r="CE8" t="e">
        <f t="shared" ca="1" si="64"/>
        <v>#REF!</v>
      </c>
      <c r="CF8" t="e">
        <f t="shared" ca="1" si="65"/>
        <v>#REF!</v>
      </c>
      <c r="CG8" t="e">
        <f t="shared" ca="1" si="66"/>
        <v>#REF!</v>
      </c>
      <c r="CH8" t="e">
        <f t="shared" ca="1" si="67"/>
        <v>#REF!</v>
      </c>
      <c r="CI8" t="e">
        <f t="shared" ca="1" si="68"/>
        <v>#REF!</v>
      </c>
      <c r="CJ8" t="e">
        <f t="shared" ca="1" si="69"/>
        <v>#REF!</v>
      </c>
      <c r="CK8" t="e">
        <f t="shared" ca="1" si="70"/>
        <v>#REF!</v>
      </c>
      <c r="CL8" t="e">
        <f t="shared" ca="1" si="71"/>
        <v>#REF!</v>
      </c>
      <c r="CM8" t="e">
        <f t="shared" ca="1" si="72"/>
        <v>#REF!</v>
      </c>
      <c r="CN8" t="e">
        <f t="shared" ca="1" si="73"/>
        <v>#REF!</v>
      </c>
      <c r="CO8" t="e">
        <f t="shared" ca="1" si="74"/>
        <v>#REF!</v>
      </c>
      <c r="CP8" t="e">
        <f t="shared" ca="1" si="75"/>
        <v>#REF!</v>
      </c>
      <c r="CQ8" t="e">
        <f t="shared" ca="1" si="76"/>
        <v>#REF!</v>
      </c>
      <c r="CR8" t="e">
        <f t="shared" ca="1" si="77"/>
        <v>#REF!</v>
      </c>
      <c r="CS8" t="e">
        <f t="shared" ca="1" si="78"/>
        <v>#REF!</v>
      </c>
      <c r="CT8" t="e">
        <f t="shared" ca="1" si="79"/>
        <v>#REF!</v>
      </c>
      <c r="CU8" t="e">
        <f t="shared" ca="1" si="80"/>
        <v>#REF!</v>
      </c>
      <c r="CV8" t="e">
        <f t="shared" ca="1" si="81"/>
        <v>#REF!</v>
      </c>
      <c r="CW8" t="e">
        <f t="shared" ca="1" si="82"/>
        <v>#REF!</v>
      </c>
      <c r="CX8" t="e">
        <f t="shared" ca="1" si="83"/>
        <v>#REF!</v>
      </c>
      <c r="CY8" t="e">
        <f t="shared" ca="1" si="84"/>
        <v>#REF!</v>
      </c>
      <c r="CZ8" t="e">
        <f t="shared" ca="1" si="85"/>
        <v>#REF!</v>
      </c>
      <c r="DA8" t="e">
        <f t="shared" ca="1" si="86"/>
        <v>#REF!</v>
      </c>
      <c r="DB8" t="e">
        <f t="shared" ca="1" si="87"/>
        <v>#REF!</v>
      </c>
      <c r="DC8" t="e">
        <f t="shared" ca="1" si="88"/>
        <v>#REF!</v>
      </c>
      <c r="DD8" t="e">
        <f t="shared" ca="1" si="89"/>
        <v>#REF!</v>
      </c>
      <c r="DE8" t="e">
        <f t="shared" ca="1" si="90"/>
        <v>#REF!</v>
      </c>
      <c r="DF8" t="e">
        <f t="shared" ca="1" si="91"/>
        <v>#REF!</v>
      </c>
      <c r="DG8" t="e">
        <f t="shared" ca="1" si="92"/>
        <v>#REF!</v>
      </c>
      <c r="DH8" t="e">
        <f t="shared" ca="1" si="93"/>
        <v>#REF!</v>
      </c>
      <c r="DI8" t="e">
        <f t="shared" ca="1" si="94"/>
        <v>#REF!</v>
      </c>
      <c r="DJ8" t="e">
        <f t="shared" ca="1" si="95"/>
        <v>#REF!</v>
      </c>
      <c r="DK8" t="e">
        <f t="shared" ca="1" si="96"/>
        <v>#REF!</v>
      </c>
    </row>
    <row r="9" spans="1:115" ht="14.45" x14ac:dyDescent="0.3">
      <c r="A9">
        <f>verzamelblad!A9</f>
        <v>5</v>
      </c>
      <c r="B9" s="21"/>
      <c r="C9" s="39"/>
      <c r="D9" s="39"/>
      <c r="E9" s="39"/>
      <c r="F9" s="39"/>
      <c r="G9" s="39"/>
      <c r="H9" s="39"/>
      <c r="I9" s="39"/>
      <c r="J9" s="39"/>
      <c r="K9" s="39"/>
      <c r="L9" s="38"/>
      <c r="M9" s="38"/>
      <c r="N9" s="38"/>
      <c r="O9" s="38"/>
      <c r="P9" s="39"/>
      <c r="Q9" s="214"/>
      <c r="S9" s="285">
        <f t="shared" si="3"/>
        <v>0</v>
      </c>
      <c r="T9" s="285">
        <f t="shared" si="4"/>
        <v>0</v>
      </c>
      <c r="U9">
        <f t="shared" si="0"/>
        <v>22</v>
      </c>
      <c r="V9">
        <f t="shared" si="1"/>
        <v>0</v>
      </c>
      <c r="W9">
        <f t="shared" si="2"/>
        <v>0</v>
      </c>
      <c r="X9" t="e">
        <f t="shared" ca="1" si="5"/>
        <v>#REF!</v>
      </c>
      <c r="Y9" t="e">
        <f t="shared" ca="1" si="6"/>
        <v>#REF!</v>
      </c>
      <c r="Z9" t="e">
        <f t="shared" ca="1" si="7"/>
        <v>#REF!</v>
      </c>
      <c r="AA9" t="e">
        <f t="shared" ca="1" si="8"/>
        <v>#REF!</v>
      </c>
      <c r="AB9" t="e">
        <f t="shared" ca="1" si="9"/>
        <v>#REF!</v>
      </c>
      <c r="AC9" t="e">
        <f t="shared" ca="1" si="10"/>
        <v>#REF!</v>
      </c>
      <c r="AD9" t="e">
        <f t="shared" ca="1" si="11"/>
        <v>#REF!</v>
      </c>
      <c r="AE9" t="e">
        <f t="shared" ca="1" si="12"/>
        <v>#REF!</v>
      </c>
      <c r="AF9" t="e">
        <f t="shared" ca="1" si="13"/>
        <v>#REF!</v>
      </c>
      <c r="AG9" t="e">
        <f t="shared" ca="1" si="14"/>
        <v>#REF!</v>
      </c>
      <c r="AH9" t="e">
        <f t="shared" ca="1" si="15"/>
        <v>#REF!</v>
      </c>
      <c r="AI9" t="e">
        <f t="shared" ca="1" si="16"/>
        <v>#REF!</v>
      </c>
      <c r="AJ9" t="e">
        <f t="shared" ca="1" si="17"/>
        <v>#REF!</v>
      </c>
      <c r="AK9" t="e">
        <f t="shared" ca="1" si="18"/>
        <v>#REF!</v>
      </c>
      <c r="AL9" t="e">
        <f t="shared" ca="1" si="19"/>
        <v>#REF!</v>
      </c>
      <c r="AM9" t="e">
        <f t="shared" ca="1" si="20"/>
        <v>#REF!</v>
      </c>
      <c r="AN9" t="e">
        <f t="shared" ca="1" si="21"/>
        <v>#REF!</v>
      </c>
      <c r="AO9" t="e">
        <f t="shared" ca="1" si="22"/>
        <v>#REF!</v>
      </c>
      <c r="AP9" t="e">
        <f t="shared" ca="1" si="23"/>
        <v>#REF!</v>
      </c>
      <c r="AQ9" t="e">
        <f t="shared" ca="1" si="24"/>
        <v>#REF!</v>
      </c>
      <c r="AR9" t="e">
        <f t="shared" ca="1" si="25"/>
        <v>#REF!</v>
      </c>
      <c r="AS9" t="e">
        <f t="shared" ca="1" si="26"/>
        <v>#REF!</v>
      </c>
      <c r="AT9" t="e">
        <f t="shared" ca="1" si="27"/>
        <v>#REF!</v>
      </c>
      <c r="AU9" t="e">
        <f t="shared" ca="1" si="28"/>
        <v>#REF!</v>
      </c>
      <c r="AV9" t="e">
        <f t="shared" ca="1" si="29"/>
        <v>#REF!</v>
      </c>
      <c r="AW9" t="e">
        <f t="shared" ca="1" si="30"/>
        <v>#REF!</v>
      </c>
      <c r="AX9" t="e">
        <f t="shared" ca="1" si="31"/>
        <v>#REF!</v>
      </c>
      <c r="AY9" t="e">
        <f t="shared" ca="1" si="32"/>
        <v>#REF!</v>
      </c>
      <c r="AZ9" t="e">
        <f t="shared" ca="1" si="33"/>
        <v>#REF!</v>
      </c>
      <c r="BA9" t="e">
        <f t="shared" ca="1" si="34"/>
        <v>#REF!</v>
      </c>
      <c r="BB9" t="e">
        <f t="shared" ca="1" si="35"/>
        <v>#REF!</v>
      </c>
      <c r="BC9" t="e">
        <f t="shared" ca="1" si="36"/>
        <v>#REF!</v>
      </c>
      <c r="BD9" t="e">
        <f t="shared" ca="1" si="37"/>
        <v>#REF!</v>
      </c>
      <c r="BE9" t="e">
        <f t="shared" ca="1" si="38"/>
        <v>#REF!</v>
      </c>
      <c r="BF9" t="e">
        <f t="shared" ca="1" si="39"/>
        <v>#REF!</v>
      </c>
      <c r="BG9" t="e">
        <f t="shared" ca="1" si="40"/>
        <v>#REF!</v>
      </c>
      <c r="BH9" t="e">
        <f t="shared" ca="1" si="41"/>
        <v>#REF!</v>
      </c>
      <c r="BI9" t="e">
        <f t="shared" ca="1" si="42"/>
        <v>#REF!</v>
      </c>
      <c r="BJ9" t="e">
        <f t="shared" ca="1" si="43"/>
        <v>#REF!</v>
      </c>
      <c r="BK9" t="e">
        <f t="shared" ca="1" si="44"/>
        <v>#REF!</v>
      </c>
      <c r="BL9" t="e">
        <f t="shared" ca="1" si="45"/>
        <v>#REF!</v>
      </c>
      <c r="BM9" t="e">
        <f t="shared" ca="1" si="46"/>
        <v>#REF!</v>
      </c>
      <c r="BN9" t="e">
        <f t="shared" ca="1" si="47"/>
        <v>#REF!</v>
      </c>
      <c r="BO9" t="e">
        <f t="shared" ca="1" si="48"/>
        <v>#REF!</v>
      </c>
      <c r="BP9" t="e">
        <f t="shared" ca="1" si="49"/>
        <v>#REF!</v>
      </c>
      <c r="BQ9" t="e">
        <f t="shared" ca="1" si="50"/>
        <v>#REF!</v>
      </c>
      <c r="BR9" t="e">
        <f t="shared" ca="1" si="51"/>
        <v>#REF!</v>
      </c>
      <c r="BS9" t="e">
        <f t="shared" ca="1" si="52"/>
        <v>#REF!</v>
      </c>
      <c r="BT9" t="e">
        <f t="shared" ca="1" si="53"/>
        <v>#REF!</v>
      </c>
      <c r="BU9" t="e">
        <f t="shared" ca="1" si="54"/>
        <v>#REF!</v>
      </c>
      <c r="BV9" t="e">
        <f t="shared" ca="1" si="55"/>
        <v>#REF!</v>
      </c>
      <c r="BW9" t="e">
        <f t="shared" ca="1" si="56"/>
        <v>#REF!</v>
      </c>
      <c r="BX9" t="e">
        <f t="shared" ca="1" si="57"/>
        <v>#REF!</v>
      </c>
      <c r="BY9" t="e">
        <f t="shared" ca="1" si="58"/>
        <v>#REF!</v>
      </c>
      <c r="BZ9" t="e">
        <f t="shared" ca="1" si="59"/>
        <v>#REF!</v>
      </c>
      <c r="CA9" t="e">
        <f t="shared" ca="1" si="60"/>
        <v>#REF!</v>
      </c>
      <c r="CB9" t="e">
        <f t="shared" ca="1" si="61"/>
        <v>#REF!</v>
      </c>
      <c r="CC9" t="e">
        <f t="shared" ca="1" si="62"/>
        <v>#REF!</v>
      </c>
      <c r="CD9" t="e">
        <f t="shared" ca="1" si="63"/>
        <v>#REF!</v>
      </c>
      <c r="CE9" t="e">
        <f t="shared" ca="1" si="64"/>
        <v>#REF!</v>
      </c>
      <c r="CF9" t="e">
        <f t="shared" ca="1" si="65"/>
        <v>#REF!</v>
      </c>
      <c r="CG9" t="e">
        <f t="shared" ca="1" si="66"/>
        <v>#REF!</v>
      </c>
      <c r="CH9" t="e">
        <f t="shared" ca="1" si="67"/>
        <v>#REF!</v>
      </c>
      <c r="CI9" t="e">
        <f t="shared" ca="1" si="68"/>
        <v>#REF!</v>
      </c>
      <c r="CJ9" t="e">
        <f t="shared" ca="1" si="69"/>
        <v>#REF!</v>
      </c>
      <c r="CK9" t="e">
        <f t="shared" ca="1" si="70"/>
        <v>#REF!</v>
      </c>
      <c r="CL9" t="e">
        <f t="shared" ca="1" si="71"/>
        <v>#REF!</v>
      </c>
      <c r="CM9" t="e">
        <f t="shared" ca="1" si="72"/>
        <v>#REF!</v>
      </c>
      <c r="CN9" t="e">
        <f t="shared" ca="1" si="73"/>
        <v>#REF!</v>
      </c>
      <c r="CO9" t="e">
        <f t="shared" ca="1" si="74"/>
        <v>#REF!</v>
      </c>
      <c r="CP9" t="e">
        <f t="shared" ca="1" si="75"/>
        <v>#REF!</v>
      </c>
      <c r="CQ9" t="e">
        <f t="shared" ca="1" si="76"/>
        <v>#REF!</v>
      </c>
      <c r="CR9" t="e">
        <f t="shared" ca="1" si="77"/>
        <v>#REF!</v>
      </c>
      <c r="CS9" t="e">
        <f t="shared" ca="1" si="78"/>
        <v>#REF!</v>
      </c>
      <c r="CT9" t="e">
        <f t="shared" ca="1" si="79"/>
        <v>#REF!</v>
      </c>
      <c r="CU9" t="e">
        <f t="shared" ca="1" si="80"/>
        <v>#REF!</v>
      </c>
      <c r="CV9" t="e">
        <f t="shared" ca="1" si="81"/>
        <v>#REF!</v>
      </c>
      <c r="CW9" t="e">
        <f t="shared" ca="1" si="82"/>
        <v>#REF!</v>
      </c>
      <c r="CX9" t="e">
        <f t="shared" ca="1" si="83"/>
        <v>#REF!</v>
      </c>
      <c r="CY9" t="e">
        <f t="shared" ca="1" si="84"/>
        <v>#REF!</v>
      </c>
      <c r="CZ9" t="e">
        <f t="shared" ca="1" si="85"/>
        <v>#REF!</v>
      </c>
      <c r="DA9" t="e">
        <f t="shared" ca="1" si="86"/>
        <v>#REF!</v>
      </c>
      <c r="DB9" t="e">
        <f t="shared" ca="1" si="87"/>
        <v>#REF!</v>
      </c>
      <c r="DC9" t="e">
        <f t="shared" ca="1" si="88"/>
        <v>#REF!</v>
      </c>
      <c r="DD9" t="e">
        <f t="shared" ca="1" si="89"/>
        <v>#REF!</v>
      </c>
      <c r="DE9" t="e">
        <f t="shared" ca="1" si="90"/>
        <v>#REF!</v>
      </c>
      <c r="DF9" t="e">
        <f t="shared" ca="1" si="91"/>
        <v>#REF!</v>
      </c>
      <c r="DG9" t="e">
        <f t="shared" ca="1" si="92"/>
        <v>#REF!</v>
      </c>
      <c r="DH9" t="e">
        <f t="shared" ca="1" si="93"/>
        <v>#REF!</v>
      </c>
      <c r="DI9" t="e">
        <f t="shared" ca="1" si="94"/>
        <v>#REF!</v>
      </c>
      <c r="DJ9" t="e">
        <f t="shared" ca="1" si="95"/>
        <v>#REF!</v>
      </c>
      <c r="DK9" t="e">
        <f t="shared" ca="1" si="96"/>
        <v>#REF!</v>
      </c>
    </row>
    <row r="10" spans="1:115" ht="14.45" x14ac:dyDescent="0.3">
      <c r="A10">
        <f>verzamelblad!A10</f>
        <v>6</v>
      </c>
      <c r="B10" s="21"/>
      <c r="C10" s="39"/>
      <c r="D10" s="39"/>
      <c r="E10" s="39"/>
      <c r="F10" s="39"/>
      <c r="G10" s="39"/>
      <c r="H10" s="39"/>
      <c r="I10" s="39"/>
      <c r="J10" s="39"/>
      <c r="K10" s="39"/>
      <c r="L10" s="38"/>
      <c r="M10" s="38"/>
      <c r="N10" s="38"/>
      <c r="O10" s="38"/>
      <c r="P10" s="39"/>
      <c r="Q10" s="214"/>
      <c r="S10" s="285">
        <f t="shared" si="3"/>
        <v>0</v>
      </c>
      <c r="T10" s="285">
        <f t="shared" si="4"/>
        <v>0</v>
      </c>
      <c r="U10">
        <f t="shared" si="0"/>
        <v>22</v>
      </c>
      <c r="V10">
        <f t="shared" si="1"/>
        <v>0</v>
      </c>
      <c r="W10">
        <f t="shared" si="2"/>
        <v>0</v>
      </c>
      <c r="X10" t="e">
        <f t="shared" ca="1" si="5"/>
        <v>#REF!</v>
      </c>
      <c r="Y10" t="e">
        <f t="shared" ca="1" si="6"/>
        <v>#REF!</v>
      </c>
      <c r="Z10" t="e">
        <f t="shared" ca="1" si="7"/>
        <v>#REF!</v>
      </c>
      <c r="AA10" t="e">
        <f t="shared" ca="1" si="8"/>
        <v>#REF!</v>
      </c>
      <c r="AB10" t="e">
        <f t="shared" ca="1" si="9"/>
        <v>#REF!</v>
      </c>
      <c r="AC10" t="e">
        <f t="shared" ca="1" si="10"/>
        <v>#REF!</v>
      </c>
      <c r="AD10" t="e">
        <f t="shared" ca="1" si="11"/>
        <v>#REF!</v>
      </c>
      <c r="AE10" t="e">
        <f t="shared" ca="1" si="12"/>
        <v>#REF!</v>
      </c>
      <c r="AF10" t="e">
        <f t="shared" ca="1" si="13"/>
        <v>#REF!</v>
      </c>
      <c r="AG10" t="e">
        <f t="shared" ca="1" si="14"/>
        <v>#REF!</v>
      </c>
      <c r="AH10" t="e">
        <f t="shared" ca="1" si="15"/>
        <v>#REF!</v>
      </c>
      <c r="AI10" t="e">
        <f t="shared" ca="1" si="16"/>
        <v>#REF!</v>
      </c>
      <c r="AJ10" t="e">
        <f t="shared" ca="1" si="17"/>
        <v>#REF!</v>
      </c>
      <c r="AK10" t="e">
        <f t="shared" ca="1" si="18"/>
        <v>#REF!</v>
      </c>
      <c r="AL10" t="e">
        <f t="shared" ca="1" si="19"/>
        <v>#REF!</v>
      </c>
      <c r="AM10" t="e">
        <f t="shared" ca="1" si="20"/>
        <v>#REF!</v>
      </c>
      <c r="AN10" t="e">
        <f t="shared" ca="1" si="21"/>
        <v>#REF!</v>
      </c>
      <c r="AO10" t="e">
        <f t="shared" ca="1" si="22"/>
        <v>#REF!</v>
      </c>
      <c r="AP10" t="e">
        <f t="shared" ca="1" si="23"/>
        <v>#REF!</v>
      </c>
      <c r="AQ10" t="e">
        <f t="shared" ca="1" si="24"/>
        <v>#REF!</v>
      </c>
      <c r="AR10" t="e">
        <f t="shared" ca="1" si="25"/>
        <v>#REF!</v>
      </c>
      <c r="AS10" t="e">
        <f t="shared" ca="1" si="26"/>
        <v>#REF!</v>
      </c>
      <c r="AT10" t="e">
        <f t="shared" ca="1" si="27"/>
        <v>#REF!</v>
      </c>
      <c r="AU10" t="e">
        <f t="shared" ca="1" si="28"/>
        <v>#REF!</v>
      </c>
      <c r="AV10" t="e">
        <f t="shared" ca="1" si="29"/>
        <v>#REF!</v>
      </c>
      <c r="AW10" t="e">
        <f t="shared" ca="1" si="30"/>
        <v>#REF!</v>
      </c>
      <c r="AX10" t="e">
        <f t="shared" ca="1" si="31"/>
        <v>#REF!</v>
      </c>
      <c r="AY10" t="e">
        <f t="shared" ca="1" si="32"/>
        <v>#REF!</v>
      </c>
      <c r="AZ10" t="e">
        <f t="shared" ca="1" si="33"/>
        <v>#REF!</v>
      </c>
      <c r="BA10" t="e">
        <f t="shared" ca="1" si="34"/>
        <v>#REF!</v>
      </c>
      <c r="BB10" t="e">
        <f t="shared" ca="1" si="35"/>
        <v>#REF!</v>
      </c>
      <c r="BC10" t="e">
        <f t="shared" ca="1" si="36"/>
        <v>#REF!</v>
      </c>
      <c r="BD10" t="e">
        <f t="shared" ca="1" si="37"/>
        <v>#REF!</v>
      </c>
      <c r="BE10" t="e">
        <f t="shared" ca="1" si="38"/>
        <v>#REF!</v>
      </c>
      <c r="BF10" t="e">
        <f t="shared" ca="1" si="39"/>
        <v>#REF!</v>
      </c>
      <c r="BG10" t="e">
        <f t="shared" ca="1" si="40"/>
        <v>#REF!</v>
      </c>
      <c r="BH10" t="e">
        <f t="shared" ca="1" si="41"/>
        <v>#REF!</v>
      </c>
      <c r="BI10" t="e">
        <f t="shared" ca="1" si="42"/>
        <v>#REF!</v>
      </c>
      <c r="BJ10" t="e">
        <f t="shared" ca="1" si="43"/>
        <v>#REF!</v>
      </c>
      <c r="BK10" t="e">
        <f t="shared" ca="1" si="44"/>
        <v>#REF!</v>
      </c>
      <c r="BL10" t="e">
        <f t="shared" ca="1" si="45"/>
        <v>#REF!</v>
      </c>
      <c r="BM10" t="e">
        <f t="shared" ca="1" si="46"/>
        <v>#REF!</v>
      </c>
      <c r="BN10" t="e">
        <f t="shared" ca="1" si="47"/>
        <v>#REF!</v>
      </c>
      <c r="BO10" t="e">
        <f t="shared" ca="1" si="48"/>
        <v>#REF!</v>
      </c>
      <c r="BP10" t="e">
        <f t="shared" ca="1" si="49"/>
        <v>#REF!</v>
      </c>
      <c r="BQ10" t="e">
        <f t="shared" ca="1" si="50"/>
        <v>#REF!</v>
      </c>
      <c r="BR10" t="e">
        <f t="shared" ca="1" si="51"/>
        <v>#REF!</v>
      </c>
      <c r="BS10" t="e">
        <f t="shared" ca="1" si="52"/>
        <v>#REF!</v>
      </c>
      <c r="BT10" t="e">
        <f t="shared" ca="1" si="53"/>
        <v>#REF!</v>
      </c>
      <c r="BU10" t="e">
        <f t="shared" ca="1" si="54"/>
        <v>#REF!</v>
      </c>
      <c r="BV10" t="e">
        <f t="shared" ca="1" si="55"/>
        <v>#REF!</v>
      </c>
      <c r="BW10" t="e">
        <f t="shared" ca="1" si="56"/>
        <v>#REF!</v>
      </c>
      <c r="BX10" t="e">
        <f t="shared" ca="1" si="57"/>
        <v>#REF!</v>
      </c>
      <c r="BY10" t="e">
        <f t="shared" ca="1" si="58"/>
        <v>#REF!</v>
      </c>
      <c r="BZ10" t="e">
        <f t="shared" ca="1" si="59"/>
        <v>#REF!</v>
      </c>
      <c r="CA10" t="e">
        <f t="shared" ca="1" si="60"/>
        <v>#REF!</v>
      </c>
      <c r="CB10" t="e">
        <f t="shared" ca="1" si="61"/>
        <v>#REF!</v>
      </c>
      <c r="CC10" t="e">
        <f t="shared" ca="1" si="62"/>
        <v>#REF!</v>
      </c>
      <c r="CD10" t="e">
        <f t="shared" ca="1" si="63"/>
        <v>#REF!</v>
      </c>
      <c r="CE10" t="e">
        <f t="shared" ca="1" si="64"/>
        <v>#REF!</v>
      </c>
      <c r="CF10" t="e">
        <f t="shared" ca="1" si="65"/>
        <v>#REF!</v>
      </c>
      <c r="CG10" t="e">
        <f t="shared" ca="1" si="66"/>
        <v>#REF!</v>
      </c>
      <c r="CH10" t="e">
        <f t="shared" ca="1" si="67"/>
        <v>#REF!</v>
      </c>
      <c r="CI10" t="e">
        <f t="shared" ca="1" si="68"/>
        <v>#REF!</v>
      </c>
      <c r="CJ10" t="e">
        <f t="shared" ca="1" si="69"/>
        <v>#REF!</v>
      </c>
      <c r="CK10" t="e">
        <f t="shared" ca="1" si="70"/>
        <v>#REF!</v>
      </c>
      <c r="CL10" t="e">
        <f t="shared" ca="1" si="71"/>
        <v>#REF!</v>
      </c>
      <c r="CM10" t="e">
        <f t="shared" ca="1" si="72"/>
        <v>#REF!</v>
      </c>
      <c r="CN10" t="e">
        <f t="shared" ca="1" si="73"/>
        <v>#REF!</v>
      </c>
      <c r="CO10" t="e">
        <f t="shared" ca="1" si="74"/>
        <v>#REF!</v>
      </c>
      <c r="CP10" t="e">
        <f t="shared" ca="1" si="75"/>
        <v>#REF!</v>
      </c>
      <c r="CQ10" t="e">
        <f t="shared" ca="1" si="76"/>
        <v>#REF!</v>
      </c>
      <c r="CR10" t="e">
        <f t="shared" ca="1" si="77"/>
        <v>#REF!</v>
      </c>
      <c r="CS10" t="e">
        <f t="shared" ca="1" si="78"/>
        <v>#REF!</v>
      </c>
      <c r="CT10" t="e">
        <f t="shared" ca="1" si="79"/>
        <v>#REF!</v>
      </c>
      <c r="CU10" t="e">
        <f t="shared" ca="1" si="80"/>
        <v>#REF!</v>
      </c>
      <c r="CV10" t="e">
        <f t="shared" ca="1" si="81"/>
        <v>#REF!</v>
      </c>
      <c r="CW10" t="e">
        <f t="shared" ca="1" si="82"/>
        <v>#REF!</v>
      </c>
      <c r="CX10" t="e">
        <f t="shared" ca="1" si="83"/>
        <v>#REF!</v>
      </c>
      <c r="CY10" t="e">
        <f t="shared" ca="1" si="84"/>
        <v>#REF!</v>
      </c>
      <c r="CZ10" t="e">
        <f t="shared" ca="1" si="85"/>
        <v>#REF!</v>
      </c>
      <c r="DA10" t="e">
        <f t="shared" ca="1" si="86"/>
        <v>#REF!</v>
      </c>
      <c r="DB10" t="e">
        <f t="shared" ca="1" si="87"/>
        <v>#REF!</v>
      </c>
      <c r="DC10" t="e">
        <f t="shared" ca="1" si="88"/>
        <v>#REF!</v>
      </c>
      <c r="DD10" t="e">
        <f t="shared" ca="1" si="89"/>
        <v>#REF!</v>
      </c>
      <c r="DE10" t="e">
        <f t="shared" ca="1" si="90"/>
        <v>#REF!</v>
      </c>
      <c r="DF10" t="e">
        <f t="shared" ca="1" si="91"/>
        <v>#REF!</v>
      </c>
      <c r="DG10" t="e">
        <f t="shared" ca="1" si="92"/>
        <v>#REF!</v>
      </c>
      <c r="DH10" t="e">
        <f t="shared" ca="1" si="93"/>
        <v>#REF!</v>
      </c>
      <c r="DI10" t="e">
        <f t="shared" ca="1" si="94"/>
        <v>#REF!</v>
      </c>
      <c r="DJ10" t="e">
        <f t="shared" ca="1" si="95"/>
        <v>#REF!</v>
      </c>
      <c r="DK10" t="e">
        <f t="shared" ca="1" si="96"/>
        <v>#REF!</v>
      </c>
    </row>
    <row r="11" spans="1:115" ht="14.45" x14ac:dyDescent="0.3">
      <c r="A11">
        <f>verzamelblad!A11</f>
        <v>7</v>
      </c>
      <c r="B11" s="21"/>
      <c r="C11" s="39"/>
      <c r="D11" s="39"/>
      <c r="E11" s="39"/>
      <c r="F11" s="39"/>
      <c r="G11" s="39"/>
      <c r="H11" s="39"/>
      <c r="I11" s="39"/>
      <c r="J11" s="39"/>
      <c r="K11" s="39"/>
      <c r="L11" s="38"/>
      <c r="M11" s="38"/>
      <c r="N11" s="38"/>
      <c r="O11" s="38"/>
      <c r="P11" s="39"/>
      <c r="Q11" s="214"/>
      <c r="S11" s="285">
        <f t="shared" si="3"/>
        <v>0</v>
      </c>
      <c r="T11" s="285">
        <f t="shared" si="4"/>
        <v>0</v>
      </c>
      <c r="U11">
        <f t="shared" si="0"/>
        <v>22</v>
      </c>
      <c r="V11">
        <f t="shared" si="1"/>
        <v>0</v>
      </c>
      <c r="W11">
        <f t="shared" si="2"/>
        <v>0</v>
      </c>
      <c r="X11" t="e">
        <f t="shared" ca="1" si="5"/>
        <v>#REF!</v>
      </c>
      <c r="Y11" t="e">
        <f t="shared" ca="1" si="6"/>
        <v>#REF!</v>
      </c>
      <c r="Z11" t="e">
        <f t="shared" ca="1" si="7"/>
        <v>#REF!</v>
      </c>
      <c r="AA11" t="e">
        <f t="shared" ca="1" si="8"/>
        <v>#REF!</v>
      </c>
      <c r="AB11" t="e">
        <f t="shared" ca="1" si="9"/>
        <v>#REF!</v>
      </c>
      <c r="AC11" t="e">
        <f t="shared" ca="1" si="10"/>
        <v>#REF!</v>
      </c>
      <c r="AD11" t="e">
        <f t="shared" ca="1" si="11"/>
        <v>#REF!</v>
      </c>
      <c r="AE11" t="e">
        <f t="shared" ca="1" si="12"/>
        <v>#REF!</v>
      </c>
      <c r="AF11" t="e">
        <f t="shared" ca="1" si="13"/>
        <v>#REF!</v>
      </c>
      <c r="AG11" t="e">
        <f t="shared" ca="1" si="14"/>
        <v>#REF!</v>
      </c>
      <c r="AH11" t="e">
        <f t="shared" ca="1" si="15"/>
        <v>#REF!</v>
      </c>
      <c r="AI11" t="e">
        <f t="shared" ca="1" si="16"/>
        <v>#REF!</v>
      </c>
      <c r="AJ11" t="e">
        <f t="shared" ca="1" si="17"/>
        <v>#REF!</v>
      </c>
      <c r="AK11" t="e">
        <f t="shared" ca="1" si="18"/>
        <v>#REF!</v>
      </c>
      <c r="AL11" t="e">
        <f t="shared" ca="1" si="19"/>
        <v>#REF!</v>
      </c>
      <c r="AM11" t="e">
        <f t="shared" ca="1" si="20"/>
        <v>#REF!</v>
      </c>
      <c r="AN11" t="e">
        <f t="shared" ca="1" si="21"/>
        <v>#REF!</v>
      </c>
      <c r="AO11" t="e">
        <f t="shared" ca="1" si="22"/>
        <v>#REF!</v>
      </c>
      <c r="AP11" t="e">
        <f t="shared" ca="1" si="23"/>
        <v>#REF!</v>
      </c>
      <c r="AQ11" t="e">
        <f t="shared" ca="1" si="24"/>
        <v>#REF!</v>
      </c>
      <c r="AR11" t="e">
        <f t="shared" ca="1" si="25"/>
        <v>#REF!</v>
      </c>
      <c r="AS11" t="e">
        <f t="shared" ca="1" si="26"/>
        <v>#REF!</v>
      </c>
      <c r="AT11" t="e">
        <f t="shared" ca="1" si="27"/>
        <v>#REF!</v>
      </c>
      <c r="AU11" t="e">
        <f t="shared" ca="1" si="28"/>
        <v>#REF!</v>
      </c>
      <c r="AV11" t="e">
        <f t="shared" ca="1" si="29"/>
        <v>#REF!</v>
      </c>
      <c r="AW11" t="e">
        <f t="shared" ca="1" si="30"/>
        <v>#REF!</v>
      </c>
      <c r="AX11" t="e">
        <f t="shared" ca="1" si="31"/>
        <v>#REF!</v>
      </c>
      <c r="AY11" t="e">
        <f t="shared" ca="1" si="32"/>
        <v>#REF!</v>
      </c>
      <c r="AZ11" t="e">
        <f t="shared" ca="1" si="33"/>
        <v>#REF!</v>
      </c>
      <c r="BA11" t="e">
        <f t="shared" ca="1" si="34"/>
        <v>#REF!</v>
      </c>
      <c r="BB11" t="e">
        <f t="shared" ca="1" si="35"/>
        <v>#REF!</v>
      </c>
      <c r="BC11" t="e">
        <f t="shared" ca="1" si="36"/>
        <v>#REF!</v>
      </c>
      <c r="BD11" t="e">
        <f t="shared" ca="1" si="37"/>
        <v>#REF!</v>
      </c>
      <c r="BE11" t="e">
        <f t="shared" ca="1" si="38"/>
        <v>#REF!</v>
      </c>
      <c r="BF11" t="e">
        <f t="shared" ca="1" si="39"/>
        <v>#REF!</v>
      </c>
      <c r="BG11" t="e">
        <f t="shared" ca="1" si="40"/>
        <v>#REF!</v>
      </c>
      <c r="BH11" t="e">
        <f t="shared" ca="1" si="41"/>
        <v>#REF!</v>
      </c>
      <c r="BI11" t="e">
        <f t="shared" ca="1" si="42"/>
        <v>#REF!</v>
      </c>
      <c r="BJ11" t="e">
        <f t="shared" ca="1" si="43"/>
        <v>#REF!</v>
      </c>
      <c r="BK11" t="e">
        <f t="shared" ca="1" si="44"/>
        <v>#REF!</v>
      </c>
      <c r="BL11" t="e">
        <f t="shared" ca="1" si="45"/>
        <v>#REF!</v>
      </c>
      <c r="BM11" t="e">
        <f t="shared" ca="1" si="46"/>
        <v>#REF!</v>
      </c>
      <c r="BN11" t="e">
        <f t="shared" ca="1" si="47"/>
        <v>#REF!</v>
      </c>
      <c r="BO11" t="e">
        <f t="shared" ca="1" si="48"/>
        <v>#REF!</v>
      </c>
      <c r="BP11" t="e">
        <f t="shared" ca="1" si="49"/>
        <v>#REF!</v>
      </c>
      <c r="BQ11" t="e">
        <f t="shared" ca="1" si="50"/>
        <v>#REF!</v>
      </c>
      <c r="BR11" t="e">
        <f t="shared" ca="1" si="51"/>
        <v>#REF!</v>
      </c>
      <c r="BS11" t="e">
        <f t="shared" ca="1" si="52"/>
        <v>#REF!</v>
      </c>
      <c r="BT11" t="e">
        <f t="shared" ca="1" si="53"/>
        <v>#REF!</v>
      </c>
      <c r="BU11" t="e">
        <f t="shared" ca="1" si="54"/>
        <v>#REF!</v>
      </c>
      <c r="BV11" t="e">
        <f t="shared" ca="1" si="55"/>
        <v>#REF!</v>
      </c>
      <c r="BW11" t="e">
        <f t="shared" ca="1" si="56"/>
        <v>#REF!</v>
      </c>
      <c r="BX11" t="e">
        <f t="shared" ca="1" si="57"/>
        <v>#REF!</v>
      </c>
      <c r="BY11" t="e">
        <f t="shared" ca="1" si="58"/>
        <v>#REF!</v>
      </c>
      <c r="BZ11" t="e">
        <f t="shared" ca="1" si="59"/>
        <v>#REF!</v>
      </c>
      <c r="CA11" t="e">
        <f t="shared" ca="1" si="60"/>
        <v>#REF!</v>
      </c>
      <c r="CB11" t="e">
        <f t="shared" ca="1" si="61"/>
        <v>#REF!</v>
      </c>
      <c r="CC11" t="e">
        <f t="shared" ca="1" si="62"/>
        <v>#REF!</v>
      </c>
      <c r="CD11" t="e">
        <f t="shared" ca="1" si="63"/>
        <v>#REF!</v>
      </c>
      <c r="CE11" t="e">
        <f t="shared" ca="1" si="64"/>
        <v>#REF!</v>
      </c>
      <c r="CF11" t="e">
        <f t="shared" ca="1" si="65"/>
        <v>#REF!</v>
      </c>
      <c r="CG11" t="e">
        <f t="shared" ca="1" si="66"/>
        <v>#REF!</v>
      </c>
      <c r="CH11" t="e">
        <f t="shared" ca="1" si="67"/>
        <v>#REF!</v>
      </c>
      <c r="CI11" t="e">
        <f t="shared" ca="1" si="68"/>
        <v>#REF!</v>
      </c>
      <c r="CJ11" t="e">
        <f t="shared" ca="1" si="69"/>
        <v>#REF!</v>
      </c>
      <c r="CK11" t="e">
        <f t="shared" ca="1" si="70"/>
        <v>#REF!</v>
      </c>
      <c r="CL11" t="e">
        <f t="shared" ca="1" si="71"/>
        <v>#REF!</v>
      </c>
      <c r="CM11" t="e">
        <f t="shared" ca="1" si="72"/>
        <v>#REF!</v>
      </c>
      <c r="CN11" t="e">
        <f t="shared" ca="1" si="73"/>
        <v>#REF!</v>
      </c>
      <c r="CO11" t="e">
        <f t="shared" ca="1" si="74"/>
        <v>#REF!</v>
      </c>
      <c r="CP11" t="e">
        <f t="shared" ca="1" si="75"/>
        <v>#REF!</v>
      </c>
      <c r="CQ11" t="e">
        <f t="shared" ca="1" si="76"/>
        <v>#REF!</v>
      </c>
      <c r="CR11" t="e">
        <f t="shared" ca="1" si="77"/>
        <v>#REF!</v>
      </c>
      <c r="CS11" t="e">
        <f t="shared" ca="1" si="78"/>
        <v>#REF!</v>
      </c>
      <c r="CT11" t="e">
        <f t="shared" ca="1" si="79"/>
        <v>#REF!</v>
      </c>
      <c r="CU11" t="e">
        <f t="shared" ca="1" si="80"/>
        <v>#REF!</v>
      </c>
      <c r="CV11" t="e">
        <f t="shared" ca="1" si="81"/>
        <v>#REF!</v>
      </c>
      <c r="CW11" t="e">
        <f t="shared" ca="1" si="82"/>
        <v>#REF!</v>
      </c>
      <c r="CX11" t="e">
        <f t="shared" ca="1" si="83"/>
        <v>#REF!</v>
      </c>
      <c r="CY11" t="e">
        <f t="shared" ca="1" si="84"/>
        <v>#REF!</v>
      </c>
      <c r="CZ11" t="e">
        <f t="shared" ca="1" si="85"/>
        <v>#REF!</v>
      </c>
      <c r="DA11" t="e">
        <f t="shared" ca="1" si="86"/>
        <v>#REF!</v>
      </c>
      <c r="DB11" t="e">
        <f t="shared" ca="1" si="87"/>
        <v>#REF!</v>
      </c>
      <c r="DC11" t="e">
        <f t="shared" ca="1" si="88"/>
        <v>#REF!</v>
      </c>
      <c r="DD11" t="e">
        <f t="shared" ca="1" si="89"/>
        <v>#REF!</v>
      </c>
      <c r="DE11" t="e">
        <f t="shared" ca="1" si="90"/>
        <v>#REF!</v>
      </c>
      <c r="DF11" t="e">
        <f t="shared" ca="1" si="91"/>
        <v>#REF!</v>
      </c>
      <c r="DG11" t="e">
        <f t="shared" ca="1" si="92"/>
        <v>#REF!</v>
      </c>
      <c r="DH11" t="e">
        <f t="shared" ca="1" si="93"/>
        <v>#REF!</v>
      </c>
      <c r="DI11" t="e">
        <f t="shared" ca="1" si="94"/>
        <v>#REF!</v>
      </c>
      <c r="DJ11" t="e">
        <f t="shared" ca="1" si="95"/>
        <v>#REF!</v>
      </c>
      <c r="DK11" t="e">
        <f t="shared" ca="1" si="96"/>
        <v>#REF!</v>
      </c>
    </row>
    <row r="12" spans="1:115" ht="14.45" x14ac:dyDescent="0.3">
      <c r="A12">
        <f>verzamelblad!A12</f>
        <v>8</v>
      </c>
      <c r="B12" s="21"/>
      <c r="C12" s="39"/>
      <c r="D12" s="39"/>
      <c r="E12" s="39"/>
      <c r="F12" s="39"/>
      <c r="G12" s="39"/>
      <c r="H12" s="39"/>
      <c r="I12" s="39"/>
      <c r="J12" s="39"/>
      <c r="K12" s="39"/>
      <c r="L12" s="38"/>
      <c r="M12" s="38"/>
      <c r="N12" s="38"/>
      <c r="O12" s="38"/>
      <c r="P12" s="39"/>
      <c r="Q12" s="214"/>
      <c r="S12" s="285">
        <f t="shared" si="3"/>
        <v>0</v>
      </c>
      <c r="T12" s="285">
        <f t="shared" si="4"/>
        <v>0</v>
      </c>
      <c r="U12">
        <f t="shared" si="0"/>
        <v>22</v>
      </c>
      <c r="V12">
        <f t="shared" si="1"/>
        <v>0</v>
      </c>
      <c r="W12">
        <f t="shared" si="2"/>
        <v>0</v>
      </c>
      <c r="X12" t="e">
        <f t="shared" ca="1" si="5"/>
        <v>#REF!</v>
      </c>
      <c r="Y12" t="e">
        <f t="shared" ca="1" si="6"/>
        <v>#REF!</v>
      </c>
      <c r="Z12" t="e">
        <f t="shared" ca="1" si="7"/>
        <v>#REF!</v>
      </c>
      <c r="AA12" t="e">
        <f t="shared" ca="1" si="8"/>
        <v>#REF!</v>
      </c>
      <c r="AB12" t="e">
        <f t="shared" ca="1" si="9"/>
        <v>#REF!</v>
      </c>
      <c r="AC12" t="e">
        <f t="shared" ca="1" si="10"/>
        <v>#REF!</v>
      </c>
      <c r="AD12" t="e">
        <f t="shared" ca="1" si="11"/>
        <v>#REF!</v>
      </c>
      <c r="AE12" t="e">
        <f t="shared" ca="1" si="12"/>
        <v>#REF!</v>
      </c>
      <c r="AF12" t="e">
        <f t="shared" ca="1" si="13"/>
        <v>#REF!</v>
      </c>
      <c r="AG12" t="e">
        <f t="shared" ca="1" si="14"/>
        <v>#REF!</v>
      </c>
      <c r="AH12" t="e">
        <f t="shared" ca="1" si="15"/>
        <v>#REF!</v>
      </c>
      <c r="AI12" t="e">
        <f t="shared" ca="1" si="16"/>
        <v>#REF!</v>
      </c>
      <c r="AJ12" t="e">
        <f t="shared" ca="1" si="17"/>
        <v>#REF!</v>
      </c>
      <c r="AK12" t="e">
        <f t="shared" ca="1" si="18"/>
        <v>#REF!</v>
      </c>
      <c r="AL12" t="e">
        <f t="shared" ca="1" si="19"/>
        <v>#REF!</v>
      </c>
      <c r="AM12" t="e">
        <f t="shared" ca="1" si="20"/>
        <v>#REF!</v>
      </c>
      <c r="AN12" t="e">
        <f t="shared" ca="1" si="21"/>
        <v>#REF!</v>
      </c>
      <c r="AO12" t="e">
        <f t="shared" ca="1" si="22"/>
        <v>#REF!</v>
      </c>
      <c r="AP12" t="e">
        <f t="shared" ca="1" si="23"/>
        <v>#REF!</v>
      </c>
      <c r="AQ12" t="e">
        <f t="shared" ca="1" si="24"/>
        <v>#REF!</v>
      </c>
      <c r="AR12" t="e">
        <f t="shared" ca="1" si="25"/>
        <v>#REF!</v>
      </c>
      <c r="AS12" t="e">
        <f t="shared" ca="1" si="26"/>
        <v>#REF!</v>
      </c>
      <c r="AT12" t="e">
        <f t="shared" ca="1" si="27"/>
        <v>#REF!</v>
      </c>
      <c r="AU12" t="e">
        <f t="shared" ca="1" si="28"/>
        <v>#REF!</v>
      </c>
      <c r="AV12" t="e">
        <f t="shared" ca="1" si="29"/>
        <v>#REF!</v>
      </c>
      <c r="AW12" t="e">
        <f t="shared" ca="1" si="30"/>
        <v>#REF!</v>
      </c>
      <c r="AX12" t="e">
        <f t="shared" ca="1" si="31"/>
        <v>#REF!</v>
      </c>
      <c r="AY12" t="e">
        <f t="shared" ca="1" si="32"/>
        <v>#REF!</v>
      </c>
      <c r="AZ12" t="e">
        <f t="shared" ca="1" si="33"/>
        <v>#REF!</v>
      </c>
      <c r="BA12" t="e">
        <f t="shared" ca="1" si="34"/>
        <v>#REF!</v>
      </c>
      <c r="BB12" t="e">
        <f t="shared" ca="1" si="35"/>
        <v>#REF!</v>
      </c>
      <c r="BC12" t="e">
        <f t="shared" ca="1" si="36"/>
        <v>#REF!</v>
      </c>
      <c r="BD12" t="e">
        <f t="shared" ca="1" si="37"/>
        <v>#REF!</v>
      </c>
      <c r="BE12" t="e">
        <f t="shared" ca="1" si="38"/>
        <v>#REF!</v>
      </c>
      <c r="BF12" t="e">
        <f t="shared" ca="1" si="39"/>
        <v>#REF!</v>
      </c>
      <c r="BG12" t="e">
        <f t="shared" ca="1" si="40"/>
        <v>#REF!</v>
      </c>
      <c r="BH12" t="e">
        <f t="shared" ca="1" si="41"/>
        <v>#REF!</v>
      </c>
      <c r="BI12" t="e">
        <f t="shared" ca="1" si="42"/>
        <v>#REF!</v>
      </c>
      <c r="BJ12" t="e">
        <f t="shared" ca="1" si="43"/>
        <v>#REF!</v>
      </c>
      <c r="BK12" t="e">
        <f t="shared" ca="1" si="44"/>
        <v>#REF!</v>
      </c>
      <c r="BL12" t="e">
        <f t="shared" ca="1" si="45"/>
        <v>#REF!</v>
      </c>
      <c r="BM12" t="e">
        <f t="shared" ca="1" si="46"/>
        <v>#REF!</v>
      </c>
      <c r="BN12" t="e">
        <f t="shared" ca="1" si="47"/>
        <v>#REF!</v>
      </c>
      <c r="BO12" t="e">
        <f t="shared" ca="1" si="48"/>
        <v>#REF!</v>
      </c>
      <c r="BP12" t="e">
        <f t="shared" ca="1" si="49"/>
        <v>#REF!</v>
      </c>
      <c r="BQ12" t="e">
        <f t="shared" ca="1" si="50"/>
        <v>#REF!</v>
      </c>
      <c r="BR12" t="e">
        <f t="shared" ca="1" si="51"/>
        <v>#REF!</v>
      </c>
      <c r="BS12" t="e">
        <f t="shared" ca="1" si="52"/>
        <v>#REF!</v>
      </c>
      <c r="BT12" t="e">
        <f t="shared" ca="1" si="53"/>
        <v>#REF!</v>
      </c>
      <c r="BU12" t="e">
        <f t="shared" ca="1" si="54"/>
        <v>#REF!</v>
      </c>
      <c r="BV12" t="e">
        <f t="shared" ca="1" si="55"/>
        <v>#REF!</v>
      </c>
      <c r="BW12" t="e">
        <f t="shared" ca="1" si="56"/>
        <v>#REF!</v>
      </c>
      <c r="BX12" t="e">
        <f t="shared" ca="1" si="57"/>
        <v>#REF!</v>
      </c>
      <c r="BY12" t="e">
        <f t="shared" ca="1" si="58"/>
        <v>#REF!</v>
      </c>
      <c r="BZ12" t="e">
        <f t="shared" ca="1" si="59"/>
        <v>#REF!</v>
      </c>
      <c r="CA12" t="e">
        <f t="shared" ca="1" si="60"/>
        <v>#REF!</v>
      </c>
      <c r="CB12" t="e">
        <f t="shared" ca="1" si="61"/>
        <v>#REF!</v>
      </c>
      <c r="CC12" t="e">
        <f t="shared" ca="1" si="62"/>
        <v>#REF!</v>
      </c>
      <c r="CD12" t="e">
        <f t="shared" ca="1" si="63"/>
        <v>#REF!</v>
      </c>
      <c r="CE12" t="e">
        <f t="shared" ca="1" si="64"/>
        <v>#REF!</v>
      </c>
      <c r="CF12" t="e">
        <f t="shared" ca="1" si="65"/>
        <v>#REF!</v>
      </c>
      <c r="CG12" t="e">
        <f t="shared" ca="1" si="66"/>
        <v>#REF!</v>
      </c>
      <c r="CH12" t="e">
        <f t="shared" ca="1" si="67"/>
        <v>#REF!</v>
      </c>
      <c r="CI12" t="e">
        <f t="shared" ca="1" si="68"/>
        <v>#REF!</v>
      </c>
      <c r="CJ12" t="e">
        <f t="shared" ca="1" si="69"/>
        <v>#REF!</v>
      </c>
      <c r="CK12" t="e">
        <f t="shared" ca="1" si="70"/>
        <v>#REF!</v>
      </c>
      <c r="CL12" t="e">
        <f t="shared" ca="1" si="71"/>
        <v>#REF!</v>
      </c>
      <c r="CM12" t="e">
        <f t="shared" ca="1" si="72"/>
        <v>#REF!</v>
      </c>
      <c r="CN12" t="e">
        <f t="shared" ca="1" si="73"/>
        <v>#REF!</v>
      </c>
      <c r="CO12" t="e">
        <f t="shared" ca="1" si="74"/>
        <v>#REF!</v>
      </c>
      <c r="CP12" t="e">
        <f t="shared" ca="1" si="75"/>
        <v>#REF!</v>
      </c>
      <c r="CQ12" t="e">
        <f t="shared" ca="1" si="76"/>
        <v>#REF!</v>
      </c>
      <c r="CR12" t="e">
        <f t="shared" ca="1" si="77"/>
        <v>#REF!</v>
      </c>
      <c r="CS12" t="e">
        <f t="shared" ca="1" si="78"/>
        <v>#REF!</v>
      </c>
      <c r="CT12" t="e">
        <f t="shared" ca="1" si="79"/>
        <v>#REF!</v>
      </c>
      <c r="CU12" t="e">
        <f t="shared" ca="1" si="80"/>
        <v>#REF!</v>
      </c>
      <c r="CV12" t="e">
        <f t="shared" ca="1" si="81"/>
        <v>#REF!</v>
      </c>
      <c r="CW12" t="e">
        <f t="shared" ca="1" si="82"/>
        <v>#REF!</v>
      </c>
      <c r="CX12" t="e">
        <f t="shared" ca="1" si="83"/>
        <v>#REF!</v>
      </c>
      <c r="CY12" t="e">
        <f t="shared" ca="1" si="84"/>
        <v>#REF!</v>
      </c>
      <c r="CZ12" t="e">
        <f t="shared" ca="1" si="85"/>
        <v>#REF!</v>
      </c>
      <c r="DA12" t="e">
        <f t="shared" ca="1" si="86"/>
        <v>#REF!</v>
      </c>
      <c r="DB12" t="e">
        <f t="shared" ca="1" si="87"/>
        <v>#REF!</v>
      </c>
      <c r="DC12" t="e">
        <f t="shared" ca="1" si="88"/>
        <v>#REF!</v>
      </c>
      <c r="DD12" t="e">
        <f t="shared" ca="1" si="89"/>
        <v>#REF!</v>
      </c>
      <c r="DE12" t="e">
        <f t="shared" ca="1" si="90"/>
        <v>#REF!</v>
      </c>
      <c r="DF12" t="e">
        <f t="shared" ca="1" si="91"/>
        <v>#REF!</v>
      </c>
      <c r="DG12" t="e">
        <f t="shared" ca="1" si="92"/>
        <v>#REF!</v>
      </c>
      <c r="DH12" t="e">
        <f t="shared" ca="1" si="93"/>
        <v>#REF!</v>
      </c>
      <c r="DI12" t="e">
        <f t="shared" ca="1" si="94"/>
        <v>#REF!</v>
      </c>
      <c r="DJ12" t="e">
        <f t="shared" ca="1" si="95"/>
        <v>#REF!</v>
      </c>
      <c r="DK12" t="e">
        <f t="shared" ca="1" si="96"/>
        <v>#REF!</v>
      </c>
    </row>
    <row r="13" spans="1:115" ht="14.45" x14ac:dyDescent="0.3">
      <c r="A13">
        <f>verzamelblad!A13</f>
        <v>9</v>
      </c>
      <c r="B13" s="21"/>
      <c r="C13" s="39"/>
      <c r="D13" s="39"/>
      <c r="E13" s="39"/>
      <c r="F13" s="39"/>
      <c r="G13" s="39"/>
      <c r="H13" s="39"/>
      <c r="I13" s="39"/>
      <c r="J13" s="39"/>
      <c r="K13" s="39"/>
      <c r="L13" s="38"/>
      <c r="M13" s="38"/>
      <c r="N13" s="38"/>
      <c r="O13" s="38"/>
      <c r="P13" s="39"/>
      <c r="Q13" s="214"/>
      <c r="S13" s="285">
        <f t="shared" si="3"/>
        <v>0</v>
      </c>
      <c r="T13" s="285">
        <f t="shared" si="4"/>
        <v>0</v>
      </c>
      <c r="U13">
        <f t="shared" si="0"/>
        <v>22</v>
      </c>
      <c r="V13">
        <f t="shared" si="1"/>
        <v>0</v>
      </c>
      <c r="W13">
        <f t="shared" si="2"/>
        <v>0</v>
      </c>
      <c r="X13" t="e">
        <f t="shared" ca="1" si="5"/>
        <v>#REF!</v>
      </c>
      <c r="Y13" t="e">
        <f t="shared" ca="1" si="6"/>
        <v>#REF!</v>
      </c>
      <c r="Z13" t="e">
        <f t="shared" ca="1" si="7"/>
        <v>#REF!</v>
      </c>
      <c r="AA13" t="e">
        <f t="shared" ca="1" si="8"/>
        <v>#REF!</v>
      </c>
      <c r="AB13" t="e">
        <f t="shared" ca="1" si="9"/>
        <v>#REF!</v>
      </c>
      <c r="AC13" t="e">
        <f t="shared" ca="1" si="10"/>
        <v>#REF!</v>
      </c>
      <c r="AD13" t="e">
        <f t="shared" ca="1" si="11"/>
        <v>#REF!</v>
      </c>
      <c r="AE13" t="e">
        <f t="shared" ca="1" si="12"/>
        <v>#REF!</v>
      </c>
      <c r="AF13" t="e">
        <f t="shared" ca="1" si="13"/>
        <v>#REF!</v>
      </c>
      <c r="AG13" t="e">
        <f t="shared" ca="1" si="14"/>
        <v>#REF!</v>
      </c>
      <c r="AH13" t="e">
        <f t="shared" ca="1" si="15"/>
        <v>#REF!</v>
      </c>
      <c r="AI13" t="e">
        <f t="shared" ca="1" si="16"/>
        <v>#REF!</v>
      </c>
      <c r="AJ13" t="e">
        <f t="shared" ca="1" si="17"/>
        <v>#REF!</v>
      </c>
      <c r="AK13" t="e">
        <f t="shared" ca="1" si="18"/>
        <v>#REF!</v>
      </c>
      <c r="AL13" t="e">
        <f t="shared" ca="1" si="19"/>
        <v>#REF!</v>
      </c>
      <c r="AM13" t="e">
        <f t="shared" ca="1" si="20"/>
        <v>#REF!</v>
      </c>
      <c r="AN13" t="e">
        <f t="shared" ca="1" si="21"/>
        <v>#REF!</v>
      </c>
      <c r="AO13" t="e">
        <f t="shared" ca="1" si="22"/>
        <v>#REF!</v>
      </c>
      <c r="AP13" t="e">
        <f t="shared" ca="1" si="23"/>
        <v>#REF!</v>
      </c>
      <c r="AQ13" t="e">
        <f t="shared" ca="1" si="24"/>
        <v>#REF!</v>
      </c>
      <c r="AR13" t="e">
        <f t="shared" ca="1" si="25"/>
        <v>#REF!</v>
      </c>
      <c r="AS13" t="e">
        <f t="shared" ca="1" si="26"/>
        <v>#REF!</v>
      </c>
      <c r="AT13" t="e">
        <f t="shared" ca="1" si="27"/>
        <v>#REF!</v>
      </c>
      <c r="AU13" t="e">
        <f t="shared" ca="1" si="28"/>
        <v>#REF!</v>
      </c>
      <c r="AV13" t="e">
        <f t="shared" ca="1" si="29"/>
        <v>#REF!</v>
      </c>
      <c r="AW13" t="e">
        <f t="shared" ca="1" si="30"/>
        <v>#REF!</v>
      </c>
      <c r="AX13" t="e">
        <f t="shared" ca="1" si="31"/>
        <v>#REF!</v>
      </c>
      <c r="AY13" t="e">
        <f t="shared" ca="1" si="32"/>
        <v>#REF!</v>
      </c>
      <c r="AZ13" t="e">
        <f t="shared" ca="1" si="33"/>
        <v>#REF!</v>
      </c>
      <c r="BA13" t="e">
        <f t="shared" ca="1" si="34"/>
        <v>#REF!</v>
      </c>
      <c r="BB13" t="e">
        <f t="shared" ca="1" si="35"/>
        <v>#REF!</v>
      </c>
      <c r="BC13" t="e">
        <f t="shared" ca="1" si="36"/>
        <v>#REF!</v>
      </c>
      <c r="BD13" t="e">
        <f t="shared" ca="1" si="37"/>
        <v>#REF!</v>
      </c>
      <c r="BE13" t="e">
        <f t="shared" ca="1" si="38"/>
        <v>#REF!</v>
      </c>
      <c r="BF13" t="e">
        <f t="shared" ca="1" si="39"/>
        <v>#REF!</v>
      </c>
      <c r="BG13" t="e">
        <f t="shared" ca="1" si="40"/>
        <v>#REF!</v>
      </c>
      <c r="BH13" t="e">
        <f t="shared" ca="1" si="41"/>
        <v>#REF!</v>
      </c>
      <c r="BI13" t="e">
        <f t="shared" ca="1" si="42"/>
        <v>#REF!</v>
      </c>
      <c r="BJ13" t="e">
        <f t="shared" ca="1" si="43"/>
        <v>#REF!</v>
      </c>
      <c r="BK13" t="e">
        <f t="shared" ca="1" si="44"/>
        <v>#REF!</v>
      </c>
      <c r="BL13" t="e">
        <f t="shared" ca="1" si="45"/>
        <v>#REF!</v>
      </c>
      <c r="BM13" t="e">
        <f t="shared" ca="1" si="46"/>
        <v>#REF!</v>
      </c>
      <c r="BN13" t="e">
        <f t="shared" ca="1" si="47"/>
        <v>#REF!</v>
      </c>
      <c r="BO13" t="e">
        <f t="shared" ca="1" si="48"/>
        <v>#REF!</v>
      </c>
      <c r="BP13" t="e">
        <f t="shared" ca="1" si="49"/>
        <v>#REF!</v>
      </c>
      <c r="BQ13" t="e">
        <f t="shared" ca="1" si="50"/>
        <v>#REF!</v>
      </c>
      <c r="BR13" t="e">
        <f t="shared" ca="1" si="51"/>
        <v>#REF!</v>
      </c>
      <c r="BS13" t="e">
        <f t="shared" ca="1" si="52"/>
        <v>#REF!</v>
      </c>
      <c r="BT13" t="e">
        <f t="shared" ca="1" si="53"/>
        <v>#REF!</v>
      </c>
      <c r="BU13" t="e">
        <f t="shared" ca="1" si="54"/>
        <v>#REF!</v>
      </c>
      <c r="BV13" t="e">
        <f t="shared" ca="1" si="55"/>
        <v>#REF!</v>
      </c>
      <c r="BW13" t="e">
        <f t="shared" ca="1" si="56"/>
        <v>#REF!</v>
      </c>
      <c r="BX13" t="e">
        <f t="shared" ca="1" si="57"/>
        <v>#REF!</v>
      </c>
      <c r="BY13" t="e">
        <f t="shared" ca="1" si="58"/>
        <v>#REF!</v>
      </c>
      <c r="BZ13" t="e">
        <f t="shared" ca="1" si="59"/>
        <v>#REF!</v>
      </c>
      <c r="CA13" t="e">
        <f t="shared" ca="1" si="60"/>
        <v>#REF!</v>
      </c>
      <c r="CB13" t="e">
        <f t="shared" ca="1" si="61"/>
        <v>#REF!</v>
      </c>
      <c r="CC13" t="e">
        <f t="shared" ca="1" si="62"/>
        <v>#REF!</v>
      </c>
      <c r="CD13" t="e">
        <f t="shared" ca="1" si="63"/>
        <v>#REF!</v>
      </c>
      <c r="CE13" t="e">
        <f t="shared" ca="1" si="64"/>
        <v>#REF!</v>
      </c>
      <c r="CF13" t="e">
        <f t="shared" ca="1" si="65"/>
        <v>#REF!</v>
      </c>
      <c r="CG13" t="e">
        <f t="shared" ca="1" si="66"/>
        <v>#REF!</v>
      </c>
      <c r="CH13" t="e">
        <f t="shared" ca="1" si="67"/>
        <v>#REF!</v>
      </c>
      <c r="CI13" t="e">
        <f t="shared" ca="1" si="68"/>
        <v>#REF!</v>
      </c>
      <c r="CJ13" t="e">
        <f t="shared" ca="1" si="69"/>
        <v>#REF!</v>
      </c>
      <c r="CK13" t="e">
        <f t="shared" ca="1" si="70"/>
        <v>#REF!</v>
      </c>
      <c r="CL13" t="e">
        <f t="shared" ca="1" si="71"/>
        <v>#REF!</v>
      </c>
      <c r="CM13" t="e">
        <f t="shared" ca="1" si="72"/>
        <v>#REF!</v>
      </c>
      <c r="CN13" t="e">
        <f t="shared" ca="1" si="73"/>
        <v>#REF!</v>
      </c>
      <c r="CO13" t="e">
        <f t="shared" ca="1" si="74"/>
        <v>#REF!</v>
      </c>
      <c r="CP13" t="e">
        <f t="shared" ca="1" si="75"/>
        <v>#REF!</v>
      </c>
      <c r="CQ13" t="e">
        <f t="shared" ca="1" si="76"/>
        <v>#REF!</v>
      </c>
      <c r="CR13" t="e">
        <f t="shared" ca="1" si="77"/>
        <v>#REF!</v>
      </c>
      <c r="CS13" t="e">
        <f t="shared" ca="1" si="78"/>
        <v>#REF!</v>
      </c>
      <c r="CT13" t="e">
        <f t="shared" ca="1" si="79"/>
        <v>#REF!</v>
      </c>
      <c r="CU13" t="e">
        <f t="shared" ca="1" si="80"/>
        <v>#REF!</v>
      </c>
      <c r="CV13" t="e">
        <f t="shared" ca="1" si="81"/>
        <v>#REF!</v>
      </c>
      <c r="CW13" t="e">
        <f t="shared" ca="1" si="82"/>
        <v>#REF!</v>
      </c>
      <c r="CX13" t="e">
        <f t="shared" ca="1" si="83"/>
        <v>#REF!</v>
      </c>
      <c r="CY13" t="e">
        <f t="shared" ca="1" si="84"/>
        <v>#REF!</v>
      </c>
      <c r="CZ13" t="e">
        <f t="shared" ca="1" si="85"/>
        <v>#REF!</v>
      </c>
      <c r="DA13" t="e">
        <f t="shared" ca="1" si="86"/>
        <v>#REF!</v>
      </c>
      <c r="DB13" t="e">
        <f t="shared" ca="1" si="87"/>
        <v>#REF!</v>
      </c>
      <c r="DC13" t="e">
        <f t="shared" ca="1" si="88"/>
        <v>#REF!</v>
      </c>
      <c r="DD13" t="e">
        <f t="shared" ca="1" si="89"/>
        <v>#REF!</v>
      </c>
      <c r="DE13" t="e">
        <f t="shared" ca="1" si="90"/>
        <v>#REF!</v>
      </c>
      <c r="DF13" t="e">
        <f t="shared" ca="1" si="91"/>
        <v>#REF!</v>
      </c>
      <c r="DG13" t="e">
        <f t="shared" ca="1" si="92"/>
        <v>#REF!</v>
      </c>
      <c r="DH13" t="e">
        <f t="shared" ca="1" si="93"/>
        <v>#REF!</v>
      </c>
      <c r="DI13" t="e">
        <f t="shared" ca="1" si="94"/>
        <v>#REF!</v>
      </c>
      <c r="DJ13" t="e">
        <f t="shared" ca="1" si="95"/>
        <v>#REF!</v>
      </c>
      <c r="DK13" t="e">
        <f t="shared" ca="1" si="96"/>
        <v>#REF!</v>
      </c>
    </row>
    <row r="14" spans="1:115" ht="14.45" x14ac:dyDescent="0.3">
      <c r="A14">
        <f>verzamelblad!A14</f>
        <v>10</v>
      </c>
      <c r="B14" s="21"/>
      <c r="C14" s="39"/>
      <c r="D14" s="39"/>
      <c r="E14" s="39"/>
      <c r="F14" s="39"/>
      <c r="G14" s="39"/>
      <c r="H14" s="39"/>
      <c r="I14" s="39"/>
      <c r="J14" s="39"/>
      <c r="K14" s="39"/>
      <c r="L14" s="38"/>
      <c r="M14" s="38"/>
      <c r="N14" s="38"/>
      <c r="O14" s="38"/>
      <c r="P14" s="39"/>
      <c r="Q14" s="214"/>
      <c r="S14" s="285">
        <f t="shared" si="3"/>
        <v>0</v>
      </c>
      <c r="T14" s="285">
        <f t="shared" si="4"/>
        <v>0</v>
      </c>
      <c r="U14">
        <f t="shared" si="0"/>
        <v>22</v>
      </c>
      <c r="V14">
        <f t="shared" si="1"/>
        <v>0</v>
      </c>
      <c r="W14">
        <f t="shared" si="2"/>
        <v>0</v>
      </c>
      <c r="X14" t="e">
        <f t="shared" ca="1" si="5"/>
        <v>#REF!</v>
      </c>
      <c r="Y14" t="e">
        <f t="shared" ca="1" si="6"/>
        <v>#REF!</v>
      </c>
      <c r="Z14" t="e">
        <f t="shared" ca="1" si="7"/>
        <v>#REF!</v>
      </c>
      <c r="AA14" t="e">
        <f t="shared" ca="1" si="8"/>
        <v>#REF!</v>
      </c>
      <c r="AB14" t="e">
        <f t="shared" ca="1" si="9"/>
        <v>#REF!</v>
      </c>
      <c r="AC14" t="e">
        <f t="shared" ca="1" si="10"/>
        <v>#REF!</v>
      </c>
      <c r="AD14" t="e">
        <f t="shared" ca="1" si="11"/>
        <v>#REF!</v>
      </c>
      <c r="AE14" t="e">
        <f t="shared" ca="1" si="12"/>
        <v>#REF!</v>
      </c>
      <c r="AF14" t="e">
        <f t="shared" ca="1" si="13"/>
        <v>#REF!</v>
      </c>
      <c r="AG14" t="e">
        <f t="shared" ca="1" si="14"/>
        <v>#REF!</v>
      </c>
      <c r="AH14" t="e">
        <f t="shared" ca="1" si="15"/>
        <v>#REF!</v>
      </c>
      <c r="AI14" t="e">
        <f t="shared" ca="1" si="16"/>
        <v>#REF!</v>
      </c>
      <c r="AJ14" t="e">
        <f t="shared" ca="1" si="17"/>
        <v>#REF!</v>
      </c>
      <c r="AK14" t="e">
        <f t="shared" ca="1" si="18"/>
        <v>#REF!</v>
      </c>
      <c r="AL14" t="e">
        <f t="shared" ca="1" si="19"/>
        <v>#REF!</v>
      </c>
      <c r="AM14" t="e">
        <f t="shared" ca="1" si="20"/>
        <v>#REF!</v>
      </c>
      <c r="AN14" t="e">
        <f t="shared" ca="1" si="21"/>
        <v>#REF!</v>
      </c>
      <c r="AO14" t="e">
        <f t="shared" ca="1" si="22"/>
        <v>#REF!</v>
      </c>
      <c r="AP14" t="e">
        <f t="shared" ca="1" si="23"/>
        <v>#REF!</v>
      </c>
      <c r="AQ14" t="e">
        <f t="shared" ca="1" si="24"/>
        <v>#REF!</v>
      </c>
      <c r="AR14" t="e">
        <f t="shared" ca="1" si="25"/>
        <v>#REF!</v>
      </c>
      <c r="AS14" t="e">
        <f t="shared" ca="1" si="26"/>
        <v>#REF!</v>
      </c>
      <c r="AT14" t="e">
        <f t="shared" ca="1" si="27"/>
        <v>#REF!</v>
      </c>
      <c r="AU14" t="e">
        <f t="shared" ca="1" si="28"/>
        <v>#REF!</v>
      </c>
      <c r="AV14" t="e">
        <f t="shared" ca="1" si="29"/>
        <v>#REF!</v>
      </c>
      <c r="AW14" t="e">
        <f t="shared" ca="1" si="30"/>
        <v>#REF!</v>
      </c>
      <c r="AX14" t="e">
        <f t="shared" ca="1" si="31"/>
        <v>#REF!</v>
      </c>
      <c r="AY14" t="e">
        <f t="shared" ca="1" si="32"/>
        <v>#REF!</v>
      </c>
      <c r="AZ14" t="e">
        <f t="shared" ca="1" si="33"/>
        <v>#REF!</v>
      </c>
      <c r="BA14" t="e">
        <f t="shared" ca="1" si="34"/>
        <v>#REF!</v>
      </c>
      <c r="BB14" t="e">
        <f t="shared" ca="1" si="35"/>
        <v>#REF!</v>
      </c>
      <c r="BC14" t="e">
        <f t="shared" ca="1" si="36"/>
        <v>#REF!</v>
      </c>
      <c r="BD14" t="e">
        <f t="shared" ca="1" si="37"/>
        <v>#REF!</v>
      </c>
      <c r="BE14" t="e">
        <f t="shared" ca="1" si="38"/>
        <v>#REF!</v>
      </c>
      <c r="BF14" t="e">
        <f t="shared" ca="1" si="39"/>
        <v>#REF!</v>
      </c>
      <c r="BG14" t="e">
        <f t="shared" ca="1" si="40"/>
        <v>#REF!</v>
      </c>
      <c r="BH14" t="e">
        <f t="shared" ca="1" si="41"/>
        <v>#REF!</v>
      </c>
      <c r="BI14" t="e">
        <f t="shared" ca="1" si="42"/>
        <v>#REF!</v>
      </c>
      <c r="BJ14" t="e">
        <f t="shared" ca="1" si="43"/>
        <v>#REF!</v>
      </c>
      <c r="BK14" t="e">
        <f t="shared" ca="1" si="44"/>
        <v>#REF!</v>
      </c>
      <c r="BL14" t="e">
        <f t="shared" ca="1" si="45"/>
        <v>#REF!</v>
      </c>
      <c r="BM14" t="e">
        <f t="shared" ca="1" si="46"/>
        <v>#REF!</v>
      </c>
      <c r="BN14" t="e">
        <f t="shared" ca="1" si="47"/>
        <v>#REF!</v>
      </c>
      <c r="BO14" t="e">
        <f t="shared" ca="1" si="48"/>
        <v>#REF!</v>
      </c>
      <c r="BP14" t="e">
        <f t="shared" ca="1" si="49"/>
        <v>#REF!</v>
      </c>
      <c r="BQ14" t="e">
        <f t="shared" ca="1" si="50"/>
        <v>#REF!</v>
      </c>
      <c r="BR14" t="e">
        <f t="shared" ca="1" si="51"/>
        <v>#REF!</v>
      </c>
      <c r="BS14" t="e">
        <f t="shared" ca="1" si="52"/>
        <v>#REF!</v>
      </c>
      <c r="BT14" t="e">
        <f t="shared" ca="1" si="53"/>
        <v>#REF!</v>
      </c>
      <c r="BU14" t="e">
        <f t="shared" ca="1" si="54"/>
        <v>#REF!</v>
      </c>
      <c r="BV14" t="e">
        <f t="shared" ca="1" si="55"/>
        <v>#REF!</v>
      </c>
      <c r="BW14" t="e">
        <f t="shared" ca="1" si="56"/>
        <v>#REF!</v>
      </c>
      <c r="BX14" t="e">
        <f t="shared" ca="1" si="57"/>
        <v>#REF!</v>
      </c>
      <c r="BY14" t="e">
        <f t="shared" ca="1" si="58"/>
        <v>#REF!</v>
      </c>
      <c r="BZ14" t="e">
        <f t="shared" ca="1" si="59"/>
        <v>#REF!</v>
      </c>
      <c r="CA14" t="e">
        <f t="shared" ca="1" si="60"/>
        <v>#REF!</v>
      </c>
      <c r="CB14" t="e">
        <f t="shared" ca="1" si="61"/>
        <v>#REF!</v>
      </c>
      <c r="CC14" t="e">
        <f t="shared" ca="1" si="62"/>
        <v>#REF!</v>
      </c>
      <c r="CD14" t="e">
        <f t="shared" ca="1" si="63"/>
        <v>#REF!</v>
      </c>
      <c r="CE14" t="e">
        <f t="shared" ca="1" si="64"/>
        <v>#REF!</v>
      </c>
      <c r="CF14" t="e">
        <f t="shared" ca="1" si="65"/>
        <v>#REF!</v>
      </c>
      <c r="CG14" t="e">
        <f t="shared" ca="1" si="66"/>
        <v>#REF!</v>
      </c>
      <c r="CH14" t="e">
        <f t="shared" ca="1" si="67"/>
        <v>#REF!</v>
      </c>
      <c r="CI14" t="e">
        <f t="shared" ca="1" si="68"/>
        <v>#REF!</v>
      </c>
      <c r="CJ14" t="e">
        <f t="shared" ca="1" si="69"/>
        <v>#REF!</v>
      </c>
      <c r="CK14" t="e">
        <f t="shared" ca="1" si="70"/>
        <v>#REF!</v>
      </c>
      <c r="CL14" t="e">
        <f t="shared" ca="1" si="71"/>
        <v>#REF!</v>
      </c>
      <c r="CM14" t="e">
        <f t="shared" ca="1" si="72"/>
        <v>#REF!</v>
      </c>
      <c r="CN14" t="e">
        <f t="shared" ca="1" si="73"/>
        <v>#REF!</v>
      </c>
      <c r="CO14" t="e">
        <f t="shared" ca="1" si="74"/>
        <v>#REF!</v>
      </c>
      <c r="CP14" t="e">
        <f t="shared" ca="1" si="75"/>
        <v>#REF!</v>
      </c>
      <c r="CQ14" t="e">
        <f t="shared" ca="1" si="76"/>
        <v>#REF!</v>
      </c>
      <c r="CR14" t="e">
        <f t="shared" ca="1" si="77"/>
        <v>#REF!</v>
      </c>
      <c r="CS14" t="e">
        <f t="shared" ca="1" si="78"/>
        <v>#REF!</v>
      </c>
      <c r="CT14" t="e">
        <f t="shared" ca="1" si="79"/>
        <v>#REF!</v>
      </c>
      <c r="CU14" t="e">
        <f t="shared" ca="1" si="80"/>
        <v>#REF!</v>
      </c>
      <c r="CV14" t="e">
        <f t="shared" ca="1" si="81"/>
        <v>#REF!</v>
      </c>
      <c r="CW14" t="e">
        <f t="shared" ca="1" si="82"/>
        <v>#REF!</v>
      </c>
      <c r="CX14" t="e">
        <f t="shared" ca="1" si="83"/>
        <v>#REF!</v>
      </c>
      <c r="CY14" t="e">
        <f t="shared" ca="1" si="84"/>
        <v>#REF!</v>
      </c>
      <c r="CZ14" t="e">
        <f t="shared" ca="1" si="85"/>
        <v>#REF!</v>
      </c>
      <c r="DA14" t="e">
        <f t="shared" ca="1" si="86"/>
        <v>#REF!</v>
      </c>
      <c r="DB14" t="e">
        <f t="shared" ca="1" si="87"/>
        <v>#REF!</v>
      </c>
      <c r="DC14" t="e">
        <f t="shared" ca="1" si="88"/>
        <v>#REF!</v>
      </c>
      <c r="DD14" t="e">
        <f t="shared" ca="1" si="89"/>
        <v>#REF!</v>
      </c>
      <c r="DE14" t="e">
        <f t="shared" ca="1" si="90"/>
        <v>#REF!</v>
      </c>
      <c r="DF14" t="e">
        <f t="shared" ca="1" si="91"/>
        <v>#REF!</v>
      </c>
      <c r="DG14" t="e">
        <f t="shared" ca="1" si="92"/>
        <v>#REF!</v>
      </c>
      <c r="DH14" t="e">
        <f t="shared" ca="1" si="93"/>
        <v>#REF!</v>
      </c>
      <c r="DI14" t="e">
        <f t="shared" ca="1" si="94"/>
        <v>#REF!</v>
      </c>
      <c r="DJ14" t="e">
        <f t="shared" ca="1" si="95"/>
        <v>#REF!</v>
      </c>
      <c r="DK14" t="e">
        <f t="shared" ca="1" si="96"/>
        <v>#REF!</v>
      </c>
    </row>
    <row r="15" spans="1:115" ht="14.45" x14ac:dyDescent="0.3">
      <c r="A15">
        <f>verzamelblad!A15</f>
        <v>11</v>
      </c>
      <c r="B15" s="21"/>
      <c r="C15" s="39"/>
      <c r="D15" s="39"/>
      <c r="E15" s="39"/>
      <c r="F15" s="39"/>
      <c r="G15" s="39"/>
      <c r="H15" s="39"/>
      <c r="I15" s="39"/>
      <c r="J15" s="39"/>
      <c r="K15" s="39"/>
      <c r="L15" s="38"/>
      <c r="M15" s="38"/>
      <c r="N15" s="38"/>
      <c r="O15" s="38"/>
      <c r="P15" s="39"/>
      <c r="Q15" s="214"/>
      <c r="S15" s="285">
        <f t="shared" si="3"/>
        <v>0</v>
      </c>
      <c r="T15" s="285">
        <f t="shared" si="4"/>
        <v>0</v>
      </c>
      <c r="U15">
        <f t="shared" si="0"/>
        <v>22</v>
      </c>
      <c r="V15">
        <f t="shared" si="1"/>
        <v>0</v>
      </c>
      <c r="W15">
        <f t="shared" si="2"/>
        <v>0</v>
      </c>
      <c r="X15" t="e">
        <f t="shared" ca="1" si="5"/>
        <v>#REF!</v>
      </c>
      <c r="Y15" t="e">
        <f t="shared" ca="1" si="6"/>
        <v>#REF!</v>
      </c>
      <c r="Z15" t="e">
        <f t="shared" ca="1" si="7"/>
        <v>#REF!</v>
      </c>
      <c r="AA15" t="e">
        <f t="shared" ca="1" si="8"/>
        <v>#REF!</v>
      </c>
      <c r="AB15" t="e">
        <f t="shared" ca="1" si="9"/>
        <v>#REF!</v>
      </c>
      <c r="AC15" t="e">
        <f t="shared" ca="1" si="10"/>
        <v>#REF!</v>
      </c>
      <c r="AD15" t="e">
        <f t="shared" ca="1" si="11"/>
        <v>#REF!</v>
      </c>
      <c r="AE15" t="e">
        <f t="shared" ca="1" si="12"/>
        <v>#REF!</v>
      </c>
      <c r="AF15" t="e">
        <f t="shared" ca="1" si="13"/>
        <v>#REF!</v>
      </c>
      <c r="AG15" t="e">
        <f t="shared" ca="1" si="14"/>
        <v>#REF!</v>
      </c>
      <c r="AH15" t="e">
        <f t="shared" ca="1" si="15"/>
        <v>#REF!</v>
      </c>
      <c r="AI15" t="e">
        <f t="shared" ca="1" si="16"/>
        <v>#REF!</v>
      </c>
      <c r="AJ15" t="e">
        <f t="shared" ca="1" si="17"/>
        <v>#REF!</v>
      </c>
      <c r="AK15" t="e">
        <f t="shared" ca="1" si="18"/>
        <v>#REF!</v>
      </c>
      <c r="AL15" t="e">
        <f t="shared" ca="1" si="19"/>
        <v>#REF!</v>
      </c>
      <c r="AM15" t="e">
        <f t="shared" ca="1" si="20"/>
        <v>#REF!</v>
      </c>
      <c r="AN15" t="e">
        <f t="shared" ca="1" si="21"/>
        <v>#REF!</v>
      </c>
      <c r="AO15" t="e">
        <f t="shared" ca="1" si="22"/>
        <v>#REF!</v>
      </c>
      <c r="AP15" t="e">
        <f t="shared" ca="1" si="23"/>
        <v>#REF!</v>
      </c>
      <c r="AQ15" t="e">
        <f t="shared" ca="1" si="24"/>
        <v>#REF!</v>
      </c>
      <c r="AR15" t="e">
        <f t="shared" ca="1" si="25"/>
        <v>#REF!</v>
      </c>
      <c r="AS15" t="e">
        <f t="shared" ca="1" si="26"/>
        <v>#REF!</v>
      </c>
      <c r="AT15" t="e">
        <f t="shared" ca="1" si="27"/>
        <v>#REF!</v>
      </c>
      <c r="AU15" t="e">
        <f t="shared" ca="1" si="28"/>
        <v>#REF!</v>
      </c>
      <c r="AV15" t="e">
        <f t="shared" ca="1" si="29"/>
        <v>#REF!</v>
      </c>
      <c r="AW15" t="e">
        <f t="shared" ca="1" si="30"/>
        <v>#REF!</v>
      </c>
      <c r="AX15" t="e">
        <f t="shared" ca="1" si="31"/>
        <v>#REF!</v>
      </c>
      <c r="AY15" t="e">
        <f t="shared" ca="1" si="32"/>
        <v>#REF!</v>
      </c>
      <c r="AZ15" t="e">
        <f t="shared" ca="1" si="33"/>
        <v>#REF!</v>
      </c>
      <c r="BA15" t="e">
        <f t="shared" ca="1" si="34"/>
        <v>#REF!</v>
      </c>
      <c r="BB15" t="e">
        <f t="shared" ca="1" si="35"/>
        <v>#REF!</v>
      </c>
      <c r="BC15" t="e">
        <f t="shared" ca="1" si="36"/>
        <v>#REF!</v>
      </c>
      <c r="BD15" t="e">
        <f t="shared" ca="1" si="37"/>
        <v>#REF!</v>
      </c>
      <c r="BE15" t="e">
        <f t="shared" ca="1" si="38"/>
        <v>#REF!</v>
      </c>
      <c r="BF15" t="e">
        <f t="shared" ca="1" si="39"/>
        <v>#REF!</v>
      </c>
      <c r="BG15" t="e">
        <f t="shared" ca="1" si="40"/>
        <v>#REF!</v>
      </c>
      <c r="BH15" t="e">
        <f t="shared" ca="1" si="41"/>
        <v>#REF!</v>
      </c>
      <c r="BI15" t="e">
        <f t="shared" ca="1" si="42"/>
        <v>#REF!</v>
      </c>
      <c r="BJ15" t="e">
        <f t="shared" ca="1" si="43"/>
        <v>#REF!</v>
      </c>
      <c r="BK15" t="e">
        <f t="shared" ca="1" si="44"/>
        <v>#REF!</v>
      </c>
      <c r="BL15" t="e">
        <f t="shared" ca="1" si="45"/>
        <v>#REF!</v>
      </c>
      <c r="BM15" t="e">
        <f t="shared" ca="1" si="46"/>
        <v>#REF!</v>
      </c>
      <c r="BN15" t="e">
        <f t="shared" ca="1" si="47"/>
        <v>#REF!</v>
      </c>
      <c r="BO15" t="e">
        <f t="shared" ca="1" si="48"/>
        <v>#REF!</v>
      </c>
      <c r="BP15" t="e">
        <f t="shared" ca="1" si="49"/>
        <v>#REF!</v>
      </c>
      <c r="BQ15" t="e">
        <f t="shared" ca="1" si="50"/>
        <v>#REF!</v>
      </c>
      <c r="BR15" t="e">
        <f t="shared" ca="1" si="51"/>
        <v>#REF!</v>
      </c>
      <c r="BS15" t="e">
        <f t="shared" ca="1" si="52"/>
        <v>#REF!</v>
      </c>
      <c r="BT15" t="e">
        <f t="shared" ca="1" si="53"/>
        <v>#REF!</v>
      </c>
      <c r="BU15" t="e">
        <f t="shared" ca="1" si="54"/>
        <v>#REF!</v>
      </c>
      <c r="BV15" t="e">
        <f t="shared" ca="1" si="55"/>
        <v>#REF!</v>
      </c>
      <c r="BW15" t="e">
        <f t="shared" ca="1" si="56"/>
        <v>#REF!</v>
      </c>
      <c r="BX15" t="e">
        <f t="shared" ca="1" si="57"/>
        <v>#REF!</v>
      </c>
      <c r="BY15" t="e">
        <f t="shared" ca="1" si="58"/>
        <v>#REF!</v>
      </c>
      <c r="BZ15" t="e">
        <f t="shared" ca="1" si="59"/>
        <v>#REF!</v>
      </c>
      <c r="CA15" t="e">
        <f t="shared" ca="1" si="60"/>
        <v>#REF!</v>
      </c>
      <c r="CB15" t="e">
        <f t="shared" ca="1" si="61"/>
        <v>#REF!</v>
      </c>
      <c r="CC15" t="e">
        <f t="shared" ca="1" si="62"/>
        <v>#REF!</v>
      </c>
      <c r="CD15" t="e">
        <f t="shared" ca="1" si="63"/>
        <v>#REF!</v>
      </c>
      <c r="CE15" t="e">
        <f t="shared" ca="1" si="64"/>
        <v>#REF!</v>
      </c>
      <c r="CF15" t="e">
        <f t="shared" ca="1" si="65"/>
        <v>#REF!</v>
      </c>
      <c r="CG15" t="e">
        <f t="shared" ca="1" si="66"/>
        <v>#REF!</v>
      </c>
      <c r="CH15" t="e">
        <f t="shared" ca="1" si="67"/>
        <v>#REF!</v>
      </c>
      <c r="CI15" t="e">
        <f t="shared" ca="1" si="68"/>
        <v>#REF!</v>
      </c>
      <c r="CJ15" t="e">
        <f t="shared" ca="1" si="69"/>
        <v>#REF!</v>
      </c>
      <c r="CK15" t="e">
        <f t="shared" ca="1" si="70"/>
        <v>#REF!</v>
      </c>
      <c r="CL15" t="e">
        <f t="shared" ca="1" si="71"/>
        <v>#REF!</v>
      </c>
      <c r="CM15" t="e">
        <f t="shared" ca="1" si="72"/>
        <v>#REF!</v>
      </c>
      <c r="CN15" t="e">
        <f t="shared" ca="1" si="73"/>
        <v>#REF!</v>
      </c>
      <c r="CO15" t="e">
        <f t="shared" ca="1" si="74"/>
        <v>#REF!</v>
      </c>
      <c r="CP15" t="e">
        <f t="shared" ca="1" si="75"/>
        <v>#REF!</v>
      </c>
      <c r="CQ15" t="e">
        <f t="shared" ca="1" si="76"/>
        <v>#REF!</v>
      </c>
      <c r="CR15" t="e">
        <f t="shared" ca="1" si="77"/>
        <v>#REF!</v>
      </c>
      <c r="CS15" t="e">
        <f t="shared" ca="1" si="78"/>
        <v>#REF!</v>
      </c>
      <c r="CT15" t="e">
        <f t="shared" ca="1" si="79"/>
        <v>#REF!</v>
      </c>
      <c r="CU15" t="e">
        <f t="shared" ca="1" si="80"/>
        <v>#REF!</v>
      </c>
      <c r="CV15" t="e">
        <f t="shared" ca="1" si="81"/>
        <v>#REF!</v>
      </c>
      <c r="CW15" t="e">
        <f t="shared" ca="1" si="82"/>
        <v>#REF!</v>
      </c>
      <c r="CX15" t="e">
        <f t="shared" ca="1" si="83"/>
        <v>#REF!</v>
      </c>
      <c r="CY15" t="e">
        <f t="shared" ca="1" si="84"/>
        <v>#REF!</v>
      </c>
      <c r="CZ15" t="e">
        <f t="shared" ca="1" si="85"/>
        <v>#REF!</v>
      </c>
      <c r="DA15" t="e">
        <f t="shared" ca="1" si="86"/>
        <v>#REF!</v>
      </c>
      <c r="DB15" t="e">
        <f t="shared" ca="1" si="87"/>
        <v>#REF!</v>
      </c>
      <c r="DC15" t="e">
        <f t="shared" ca="1" si="88"/>
        <v>#REF!</v>
      </c>
      <c r="DD15" t="e">
        <f t="shared" ca="1" si="89"/>
        <v>#REF!</v>
      </c>
      <c r="DE15" t="e">
        <f t="shared" ca="1" si="90"/>
        <v>#REF!</v>
      </c>
      <c r="DF15" t="e">
        <f t="shared" ca="1" si="91"/>
        <v>#REF!</v>
      </c>
      <c r="DG15" t="e">
        <f t="shared" ca="1" si="92"/>
        <v>#REF!</v>
      </c>
      <c r="DH15" t="e">
        <f t="shared" ca="1" si="93"/>
        <v>#REF!</v>
      </c>
      <c r="DI15" t="e">
        <f t="shared" ca="1" si="94"/>
        <v>#REF!</v>
      </c>
      <c r="DJ15" t="e">
        <f t="shared" ca="1" si="95"/>
        <v>#REF!</v>
      </c>
      <c r="DK15" t="e">
        <f t="shared" ca="1" si="96"/>
        <v>#REF!</v>
      </c>
    </row>
    <row r="16" spans="1:115" ht="14.45" x14ac:dyDescent="0.3">
      <c r="A16">
        <f>verzamelblad!A16</f>
        <v>12</v>
      </c>
      <c r="B16" s="21"/>
      <c r="C16" s="39"/>
      <c r="D16" s="39"/>
      <c r="E16" s="39"/>
      <c r="F16" s="39"/>
      <c r="G16" s="39"/>
      <c r="H16" s="39"/>
      <c r="I16" s="39"/>
      <c r="J16" s="39"/>
      <c r="K16" s="39"/>
      <c r="L16" s="38"/>
      <c r="M16" s="38"/>
      <c r="N16" s="38"/>
      <c r="O16" s="38"/>
      <c r="P16" s="39"/>
      <c r="Q16" s="214"/>
      <c r="S16" s="285">
        <f t="shared" si="3"/>
        <v>0</v>
      </c>
      <c r="T16" s="285">
        <f t="shared" si="4"/>
        <v>0</v>
      </c>
      <c r="U16">
        <f t="shared" si="0"/>
        <v>22</v>
      </c>
      <c r="V16">
        <f t="shared" si="1"/>
        <v>0</v>
      </c>
      <c r="W16">
        <f t="shared" si="2"/>
        <v>0</v>
      </c>
      <c r="X16" t="e">
        <f t="shared" ca="1" si="5"/>
        <v>#REF!</v>
      </c>
      <c r="Y16" t="e">
        <f t="shared" ca="1" si="6"/>
        <v>#REF!</v>
      </c>
      <c r="Z16" t="e">
        <f t="shared" ca="1" si="7"/>
        <v>#REF!</v>
      </c>
      <c r="AA16" t="e">
        <f t="shared" ca="1" si="8"/>
        <v>#REF!</v>
      </c>
      <c r="AB16" t="e">
        <f t="shared" ca="1" si="9"/>
        <v>#REF!</v>
      </c>
      <c r="AC16" t="e">
        <f t="shared" ca="1" si="10"/>
        <v>#REF!</v>
      </c>
      <c r="AD16" t="e">
        <f t="shared" ca="1" si="11"/>
        <v>#REF!</v>
      </c>
      <c r="AE16" t="e">
        <f t="shared" ca="1" si="12"/>
        <v>#REF!</v>
      </c>
      <c r="AF16" t="e">
        <f t="shared" ca="1" si="13"/>
        <v>#REF!</v>
      </c>
      <c r="AG16" t="e">
        <f t="shared" ca="1" si="14"/>
        <v>#REF!</v>
      </c>
      <c r="AH16" t="e">
        <f t="shared" ca="1" si="15"/>
        <v>#REF!</v>
      </c>
      <c r="AI16" t="e">
        <f t="shared" ca="1" si="16"/>
        <v>#REF!</v>
      </c>
      <c r="AJ16" t="e">
        <f t="shared" ca="1" si="17"/>
        <v>#REF!</v>
      </c>
      <c r="AK16" t="e">
        <f t="shared" ca="1" si="18"/>
        <v>#REF!</v>
      </c>
      <c r="AL16" t="e">
        <f t="shared" ca="1" si="19"/>
        <v>#REF!</v>
      </c>
      <c r="AM16" t="e">
        <f t="shared" ca="1" si="20"/>
        <v>#REF!</v>
      </c>
      <c r="AN16" t="e">
        <f t="shared" ca="1" si="21"/>
        <v>#REF!</v>
      </c>
      <c r="AO16" t="e">
        <f t="shared" ca="1" si="22"/>
        <v>#REF!</v>
      </c>
      <c r="AP16" t="e">
        <f t="shared" ca="1" si="23"/>
        <v>#REF!</v>
      </c>
      <c r="AQ16" t="e">
        <f t="shared" ca="1" si="24"/>
        <v>#REF!</v>
      </c>
      <c r="AR16" t="e">
        <f t="shared" ca="1" si="25"/>
        <v>#REF!</v>
      </c>
      <c r="AS16" t="e">
        <f t="shared" ca="1" si="26"/>
        <v>#REF!</v>
      </c>
      <c r="AT16" t="e">
        <f t="shared" ca="1" si="27"/>
        <v>#REF!</v>
      </c>
      <c r="AU16" t="e">
        <f t="shared" ca="1" si="28"/>
        <v>#REF!</v>
      </c>
      <c r="AV16" t="e">
        <f t="shared" ca="1" si="29"/>
        <v>#REF!</v>
      </c>
      <c r="AW16" t="e">
        <f t="shared" ca="1" si="30"/>
        <v>#REF!</v>
      </c>
      <c r="AX16" t="e">
        <f t="shared" ca="1" si="31"/>
        <v>#REF!</v>
      </c>
      <c r="AY16" t="e">
        <f t="shared" ca="1" si="32"/>
        <v>#REF!</v>
      </c>
      <c r="AZ16" t="e">
        <f t="shared" ca="1" si="33"/>
        <v>#REF!</v>
      </c>
      <c r="BA16" t="e">
        <f t="shared" ca="1" si="34"/>
        <v>#REF!</v>
      </c>
      <c r="BB16" t="e">
        <f t="shared" ca="1" si="35"/>
        <v>#REF!</v>
      </c>
      <c r="BC16" t="e">
        <f t="shared" ca="1" si="36"/>
        <v>#REF!</v>
      </c>
      <c r="BD16" t="e">
        <f t="shared" ca="1" si="37"/>
        <v>#REF!</v>
      </c>
      <c r="BE16" t="e">
        <f t="shared" ca="1" si="38"/>
        <v>#REF!</v>
      </c>
      <c r="BF16" t="e">
        <f t="shared" ca="1" si="39"/>
        <v>#REF!</v>
      </c>
      <c r="BG16" t="e">
        <f t="shared" ca="1" si="40"/>
        <v>#REF!</v>
      </c>
      <c r="BH16" t="e">
        <f t="shared" ca="1" si="41"/>
        <v>#REF!</v>
      </c>
      <c r="BI16" t="e">
        <f t="shared" ca="1" si="42"/>
        <v>#REF!</v>
      </c>
      <c r="BJ16" t="e">
        <f t="shared" ca="1" si="43"/>
        <v>#REF!</v>
      </c>
      <c r="BK16" t="e">
        <f t="shared" ca="1" si="44"/>
        <v>#REF!</v>
      </c>
      <c r="BL16" t="e">
        <f t="shared" ca="1" si="45"/>
        <v>#REF!</v>
      </c>
      <c r="BM16" t="e">
        <f t="shared" ca="1" si="46"/>
        <v>#REF!</v>
      </c>
      <c r="BN16" t="e">
        <f t="shared" ca="1" si="47"/>
        <v>#REF!</v>
      </c>
      <c r="BO16" t="e">
        <f t="shared" ca="1" si="48"/>
        <v>#REF!</v>
      </c>
      <c r="BP16" t="e">
        <f t="shared" ca="1" si="49"/>
        <v>#REF!</v>
      </c>
      <c r="BQ16" t="e">
        <f t="shared" ca="1" si="50"/>
        <v>#REF!</v>
      </c>
      <c r="BR16" t="e">
        <f t="shared" ca="1" si="51"/>
        <v>#REF!</v>
      </c>
      <c r="BS16" t="e">
        <f t="shared" ca="1" si="52"/>
        <v>#REF!</v>
      </c>
      <c r="BT16" t="e">
        <f t="shared" ca="1" si="53"/>
        <v>#REF!</v>
      </c>
      <c r="BU16" t="e">
        <f t="shared" ca="1" si="54"/>
        <v>#REF!</v>
      </c>
      <c r="BV16" t="e">
        <f t="shared" ca="1" si="55"/>
        <v>#REF!</v>
      </c>
      <c r="BW16" t="e">
        <f t="shared" ca="1" si="56"/>
        <v>#REF!</v>
      </c>
      <c r="BX16" t="e">
        <f t="shared" ca="1" si="57"/>
        <v>#REF!</v>
      </c>
      <c r="BY16" t="e">
        <f t="shared" ca="1" si="58"/>
        <v>#REF!</v>
      </c>
      <c r="BZ16" t="e">
        <f t="shared" ca="1" si="59"/>
        <v>#REF!</v>
      </c>
      <c r="CA16" t="e">
        <f t="shared" ca="1" si="60"/>
        <v>#REF!</v>
      </c>
      <c r="CB16" t="e">
        <f t="shared" ca="1" si="61"/>
        <v>#REF!</v>
      </c>
      <c r="CC16" t="e">
        <f t="shared" ca="1" si="62"/>
        <v>#REF!</v>
      </c>
      <c r="CD16" t="e">
        <f t="shared" ca="1" si="63"/>
        <v>#REF!</v>
      </c>
      <c r="CE16" t="e">
        <f t="shared" ca="1" si="64"/>
        <v>#REF!</v>
      </c>
      <c r="CF16" t="e">
        <f t="shared" ca="1" si="65"/>
        <v>#REF!</v>
      </c>
      <c r="CG16" t="e">
        <f t="shared" ca="1" si="66"/>
        <v>#REF!</v>
      </c>
      <c r="CH16" t="e">
        <f t="shared" ca="1" si="67"/>
        <v>#REF!</v>
      </c>
      <c r="CI16" t="e">
        <f t="shared" ca="1" si="68"/>
        <v>#REF!</v>
      </c>
      <c r="CJ16" t="e">
        <f t="shared" ca="1" si="69"/>
        <v>#REF!</v>
      </c>
      <c r="CK16" t="e">
        <f t="shared" ca="1" si="70"/>
        <v>#REF!</v>
      </c>
      <c r="CL16" t="e">
        <f t="shared" ca="1" si="71"/>
        <v>#REF!</v>
      </c>
      <c r="CM16" t="e">
        <f t="shared" ca="1" si="72"/>
        <v>#REF!</v>
      </c>
      <c r="CN16" t="e">
        <f t="shared" ca="1" si="73"/>
        <v>#REF!</v>
      </c>
      <c r="CO16" t="e">
        <f t="shared" ca="1" si="74"/>
        <v>#REF!</v>
      </c>
      <c r="CP16" t="e">
        <f t="shared" ca="1" si="75"/>
        <v>#REF!</v>
      </c>
      <c r="CQ16" t="e">
        <f t="shared" ca="1" si="76"/>
        <v>#REF!</v>
      </c>
      <c r="CR16" t="e">
        <f t="shared" ca="1" si="77"/>
        <v>#REF!</v>
      </c>
      <c r="CS16" t="e">
        <f t="shared" ca="1" si="78"/>
        <v>#REF!</v>
      </c>
      <c r="CT16" t="e">
        <f t="shared" ca="1" si="79"/>
        <v>#REF!</v>
      </c>
      <c r="CU16" t="e">
        <f t="shared" ca="1" si="80"/>
        <v>#REF!</v>
      </c>
      <c r="CV16" t="e">
        <f t="shared" ca="1" si="81"/>
        <v>#REF!</v>
      </c>
      <c r="CW16" t="e">
        <f t="shared" ca="1" si="82"/>
        <v>#REF!</v>
      </c>
      <c r="CX16" t="e">
        <f t="shared" ca="1" si="83"/>
        <v>#REF!</v>
      </c>
      <c r="CY16" t="e">
        <f t="shared" ca="1" si="84"/>
        <v>#REF!</v>
      </c>
      <c r="CZ16" t="e">
        <f t="shared" ca="1" si="85"/>
        <v>#REF!</v>
      </c>
      <c r="DA16" t="e">
        <f t="shared" ca="1" si="86"/>
        <v>#REF!</v>
      </c>
      <c r="DB16" t="e">
        <f t="shared" ca="1" si="87"/>
        <v>#REF!</v>
      </c>
      <c r="DC16" t="e">
        <f t="shared" ca="1" si="88"/>
        <v>#REF!</v>
      </c>
      <c r="DD16" t="e">
        <f t="shared" ca="1" si="89"/>
        <v>#REF!</v>
      </c>
      <c r="DE16" t="e">
        <f t="shared" ca="1" si="90"/>
        <v>#REF!</v>
      </c>
      <c r="DF16" t="e">
        <f t="shared" ca="1" si="91"/>
        <v>#REF!</v>
      </c>
      <c r="DG16" t="e">
        <f t="shared" ca="1" si="92"/>
        <v>#REF!</v>
      </c>
      <c r="DH16" t="e">
        <f t="shared" ca="1" si="93"/>
        <v>#REF!</v>
      </c>
      <c r="DI16" t="e">
        <f t="shared" ca="1" si="94"/>
        <v>#REF!</v>
      </c>
      <c r="DJ16" t="e">
        <f t="shared" ca="1" si="95"/>
        <v>#REF!</v>
      </c>
      <c r="DK16" t="e">
        <f t="shared" ca="1" si="96"/>
        <v>#REF!</v>
      </c>
    </row>
    <row r="17" spans="1:115" ht="14.45" x14ac:dyDescent="0.3">
      <c r="A17">
        <f>verzamelblad!A17</f>
        <v>13</v>
      </c>
      <c r="B17" s="21"/>
      <c r="C17" s="39"/>
      <c r="D17" s="39"/>
      <c r="E17" s="39"/>
      <c r="F17" s="39"/>
      <c r="G17" s="39"/>
      <c r="H17" s="39"/>
      <c r="I17" s="39"/>
      <c r="J17" s="39"/>
      <c r="K17" s="39"/>
      <c r="L17" s="38"/>
      <c r="M17" s="38"/>
      <c r="N17" s="38"/>
      <c r="O17" s="38"/>
      <c r="P17" s="39"/>
      <c r="Q17" s="214"/>
      <c r="S17" s="285">
        <f t="shared" si="3"/>
        <v>0</v>
      </c>
      <c r="T17" s="285">
        <f t="shared" si="4"/>
        <v>0</v>
      </c>
      <c r="U17">
        <f t="shared" si="0"/>
        <v>22</v>
      </c>
      <c r="V17">
        <f t="shared" si="1"/>
        <v>0</v>
      </c>
      <c r="W17">
        <f t="shared" si="2"/>
        <v>0</v>
      </c>
      <c r="X17" t="e">
        <f t="shared" ca="1" si="5"/>
        <v>#REF!</v>
      </c>
      <c r="Y17" t="e">
        <f t="shared" ca="1" si="6"/>
        <v>#REF!</v>
      </c>
      <c r="Z17" t="e">
        <f t="shared" ca="1" si="7"/>
        <v>#REF!</v>
      </c>
      <c r="AA17" t="e">
        <f t="shared" ca="1" si="8"/>
        <v>#REF!</v>
      </c>
      <c r="AB17" t="e">
        <f t="shared" ca="1" si="9"/>
        <v>#REF!</v>
      </c>
      <c r="AC17" t="e">
        <f t="shared" ca="1" si="10"/>
        <v>#REF!</v>
      </c>
      <c r="AD17" t="e">
        <f t="shared" ca="1" si="11"/>
        <v>#REF!</v>
      </c>
      <c r="AE17" t="e">
        <f t="shared" ca="1" si="12"/>
        <v>#REF!</v>
      </c>
      <c r="AF17" t="e">
        <f t="shared" ca="1" si="13"/>
        <v>#REF!</v>
      </c>
      <c r="AG17" t="e">
        <f t="shared" ca="1" si="14"/>
        <v>#REF!</v>
      </c>
      <c r="AH17" t="e">
        <f t="shared" ca="1" si="15"/>
        <v>#REF!</v>
      </c>
      <c r="AI17" t="e">
        <f t="shared" ca="1" si="16"/>
        <v>#REF!</v>
      </c>
      <c r="AJ17" t="e">
        <f t="shared" ca="1" si="17"/>
        <v>#REF!</v>
      </c>
      <c r="AK17" t="e">
        <f t="shared" ca="1" si="18"/>
        <v>#REF!</v>
      </c>
      <c r="AL17" t="e">
        <f t="shared" ca="1" si="19"/>
        <v>#REF!</v>
      </c>
      <c r="AM17" t="e">
        <f t="shared" ca="1" si="20"/>
        <v>#REF!</v>
      </c>
      <c r="AN17" t="e">
        <f t="shared" ca="1" si="21"/>
        <v>#REF!</v>
      </c>
      <c r="AO17" t="e">
        <f t="shared" ca="1" si="22"/>
        <v>#REF!</v>
      </c>
      <c r="AP17" t="e">
        <f t="shared" ca="1" si="23"/>
        <v>#REF!</v>
      </c>
      <c r="AQ17" t="e">
        <f t="shared" ca="1" si="24"/>
        <v>#REF!</v>
      </c>
      <c r="AR17" t="e">
        <f t="shared" ca="1" si="25"/>
        <v>#REF!</v>
      </c>
      <c r="AS17" t="e">
        <f t="shared" ca="1" si="26"/>
        <v>#REF!</v>
      </c>
      <c r="AT17" t="e">
        <f t="shared" ca="1" si="27"/>
        <v>#REF!</v>
      </c>
      <c r="AU17" t="e">
        <f t="shared" ca="1" si="28"/>
        <v>#REF!</v>
      </c>
      <c r="AV17" t="e">
        <f t="shared" ca="1" si="29"/>
        <v>#REF!</v>
      </c>
      <c r="AW17" t="e">
        <f t="shared" ca="1" si="30"/>
        <v>#REF!</v>
      </c>
      <c r="AX17" t="e">
        <f t="shared" ca="1" si="31"/>
        <v>#REF!</v>
      </c>
      <c r="AY17" t="e">
        <f t="shared" ca="1" si="32"/>
        <v>#REF!</v>
      </c>
      <c r="AZ17" t="e">
        <f t="shared" ca="1" si="33"/>
        <v>#REF!</v>
      </c>
      <c r="BA17" t="e">
        <f t="shared" ca="1" si="34"/>
        <v>#REF!</v>
      </c>
      <c r="BB17" t="e">
        <f t="shared" ca="1" si="35"/>
        <v>#REF!</v>
      </c>
      <c r="BC17" t="e">
        <f t="shared" ca="1" si="36"/>
        <v>#REF!</v>
      </c>
      <c r="BD17" t="e">
        <f t="shared" ca="1" si="37"/>
        <v>#REF!</v>
      </c>
      <c r="BE17" t="e">
        <f t="shared" ca="1" si="38"/>
        <v>#REF!</v>
      </c>
      <c r="BF17" t="e">
        <f t="shared" ca="1" si="39"/>
        <v>#REF!</v>
      </c>
      <c r="BG17" t="e">
        <f t="shared" ca="1" si="40"/>
        <v>#REF!</v>
      </c>
      <c r="BH17" t="e">
        <f t="shared" ca="1" si="41"/>
        <v>#REF!</v>
      </c>
      <c r="BI17" t="e">
        <f t="shared" ca="1" si="42"/>
        <v>#REF!</v>
      </c>
      <c r="BJ17" t="e">
        <f t="shared" ca="1" si="43"/>
        <v>#REF!</v>
      </c>
      <c r="BK17" t="e">
        <f t="shared" ca="1" si="44"/>
        <v>#REF!</v>
      </c>
      <c r="BL17" t="e">
        <f t="shared" ca="1" si="45"/>
        <v>#REF!</v>
      </c>
      <c r="BM17" t="e">
        <f t="shared" ca="1" si="46"/>
        <v>#REF!</v>
      </c>
      <c r="BN17" t="e">
        <f t="shared" ca="1" si="47"/>
        <v>#REF!</v>
      </c>
      <c r="BO17" t="e">
        <f t="shared" ca="1" si="48"/>
        <v>#REF!</v>
      </c>
      <c r="BP17" t="e">
        <f t="shared" ca="1" si="49"/>
        <v>#REF!</v>
      </c>
      <c r="BQ17" t="e">
        <f t="shared" ca="1" si="50"/>
        <v>#REF!</v>
      </c>
      <c r="BR17" t="e">
        <f t="shared" ca="1" si="51"/>
        <v>#REF!</v>
      </c>
      <c r="BS17" t="e">
        <f t="shared" ca="1" si="52"/>
        <v>#REF!</v>
      </c>
      <c r="BT17" t="e">
        <f t="shared" ca="1" si="53"/>
        <v>#REF!</v>
      </c>
      <c r="BU17" t="e">
        <f t="shared" ca="1" si="54"/>
        <v>#REF!</v>
      </c>
      <c r="BV17" t="e">
        <f t="shared" ca="1" si="55"/>
        <v>#REF!</v>
      </c>
      <c r="BW17" t="e">
        <f t="shared" ca="1" si="56"/>
        <v>#REF!</v>
      </c>
      <c r="BX17" t="e">
        <f t="shared" ca="1" si="57"/>
        <v>#REF!</v>
      </c>
      <c r="BY17" t="e">
        <f t="shared" ca="1" si="58"/>
        <v>#REF!</v>
      </c>
      <c r="BZ17" t="e">
        <f t="shared" ca="1" si="59"/>
        <v>#REF!</v>
      </c>
      <c r="CA17" t="e">
        <f t="shared" ca="1" si="60"/>
        <v>#REF!</v>
      </c>
      <c r="CB17" t="e">
        <f t="shared" ca="1" si="61"/>
        <v>#REF!</v>
      </c>
      <c r="CC17" t="e">
        <f t="shared" ca="1" si="62"/>
        <v>#REF!</v>
      </c>
      <c r="CD17" t="e">
        <f t="shared" ca="1" si="63"/>
        <v>#REF!</v>
      </c>
      <c r="CE17" t="e">
        <f t="shared" ca="1" si="64"/>
        <v>#REF!</v>
      </c>
      <c r="CF17" t="e">
        <f t="shared" ca="1" si="65"/>
        <v>#REF!</v>
      </c>
      <c r="CG17" t="e">
        <f t="shared" ca="1" si="66"/>
        <v>#REF!</v>
      </c>
      <c r="CH17" t="e">
        <f t="shared" ca="1" si="67"/>
        <v>#REF!</v>
      </c>
      <c r="CI17" t="e">
        <f t="shared" ca="1" si="68"/>
        <v>#REF!</v>
      </c>
      <c r="CJ17" t="e">
        <f t="shared" ca="1" si="69"/>
        <v>#REF!</v>
      </c>
      <c r="CK17" t="e">
        <f t="shared" ca="1" si="70"/>
        <v>#REF!</v>
      </c>
      <c r="CL17" t="e">
        <f t="shared" ca="1" si="71"/>
        <v>#REF!</v>
      </c>
      <c r="CM17" t="e">
        <f t="shared" ca="1" si="72"/>
        <v>#REF!</v>
      </c>
      <c r="CN17" t="e">
        <f t="shared" ca="1" si="73"/>
        <v>#REF!</v>
      </c>
      <c r="CO17" t="e">
        <f t="shared" ca="1" si="74"/>
        <v>#REF!</v>
      </c>
      <c r="CP17" t="e">
        <f t="shared" ca="1" si="75"/>
        <v>#REF!</v>
      </c>
      <c r="CQ17" t="e">
        <f t="shared" ca="1" si="76"/>
        <v>#REF!</v>
      </c>
      <c r="CR17" t="e">
        <f t="shared" ca="1" si="77"/>
        <v>#REF!</v>
      </c>
      <c r="CS17" t="e">
        <f t="shared" ca="1" si="78"/>
        <v>#REF!</v>
      </c>
      <c r="CT17" t="e">
        <f t="shared" ca="1" si="79"/>
        <v>#REF!</v>
      </c>
      <c r="CU17" t="e">
        <f t="shared" ca="1" si="80"/>
        <v>#REF!</v>
      </c>
      <c r="CV17" t="e">
        <f t="shared" ca="1" si="81"/>
        <v>#REF!</v>
      </c>
      <c r="CW17" t="e">
        <f t="shared" ca="1" si="82"/>
        <v>#REF!</v>
      </c>
      <c r="CX17" t="e">
        <f t="shared" ca="1" si="83"/>
        <v>#REF!</v>
      </c>
      <c r="CY17" t="e">
        <f t="shared" ca="1" si="84"/>
        <v>#REF!</v>
      </c>
      <c r="CZ17" t="e">
        <f t="shared" ca="1" si="85"/>
        <v>#REF!</v>
      </c>
      <c r="DA17" t="e">
        <f t="shared" ca="1" si="86"/>
        <v>#REF!</v>
      </c>
      <c r="DB17" t="e">
        <f t="shared" ca="1" si="87"/>
        <v>#REF!</v>
      </c>
      <c r="DC17" t="e">
        <f t="shared" ca="1" si="88"/>
        <v>#REF!</v>
      </c>
      <c r="DD17" t="e">
        <f t="shared" ca="1" si="89"/>
        <v>#REF!</v>
      </c>
      <c r="DE17" t="e">
        <f t="shared" ca="1" si="90"/>
        <v>#REF!</v>
      </c>
      <c r="DF17" t="e">
        <f t="shared" ca="1" si="91"/>
        <v>#REF!</v>
      </c>
      <c r="DG17" t="e">
        <f t="shared" ca="1" si="92"/>
        <v>#REF!</v>
      </c>
      <c r="DH17" t="e">
        <f t="shared" ca="1" si="93"/>
        <v>#REF!</v>
      </c>
      <c r="DI17" t="e">
        <f t="shared" ca="1" si="94"/>
        <v>#REF!</v>
      </c>
      <c r="DJ17" t="e">
        <f t="shared" ca="1" si="95"/>
        <v>#REF!</v>
      </c>
      <c r="DK17" t="e">
        <f t="shared" ca="1" si="96"/>
        <v>#REF!</v>
      </c>
    </row>
    <row r="18" spans="1:115" ht="14.45" x14ac:dyDescent="0.3">
      <c r="A18">
        <f>verzamelblad!A18</f>
        <v>14</v>
      </c>
      <c r="B18" s="21"/>
      <c r="C18" s="39"/>
      <c r="D18" s="39"/>
      <c r="E18" s="39"/>
      <c r="F18" s="39"/>
      <c r="G18" s="39"/>
      <c r="H18" s="39"/>
      <c r="I18" s="39"/>
      <c r="J18" s="39"/>
      <c r="K18" s="39"/>
      <c r="L18" s="38"/>
      <c r="M18" s="38"/>
      <c r="N18" s="38"/>
      <c r="O18" s="38"/>
      <c r="P18" s="39"/>
      <c r="Q18" s="214"/>
      <c r="S18" s="285">
        <f t="shared" si="3"/>
        <v>0</v>
      </c>
      <c r="T18" s="285">
        <f t="shared" si="4"/>
        <v>0</v>
      </c>
      <c r="U18">
        <f t="shared" si="0"/>
        <v>22</v>
      </c>
      <c r="V18">
        <f t="shared" si="1"/>
        <v>0</v>
      </c>
      <c r="W18">
        <f t="shared" si="2"/>
        <v>0</v>
      </c>
      <c r="X18" t="e">
        <f t="shared" ca="1" si="5"/>
        <v>#REF!</v>
      </c>
      <c r="Y18" t="e">
        <f t="shared" ca="1" si="6"/>
        <v>#REF!</v>
      </c>
      <c r="Z18" t="e">
        <f t="shared" ca="1" si="7"/>
        <v>#REF!</v>
      </c>
      <c r="AA18" t="e">
        <f t="shared" ca="1" si="8"/>
        <v>#REF!</v>
      </c>
      <c r="AB18" t="e">
        <f t="shared" ca="1" si="9"/>
        <v>#REF!</v>
      </c>
      <c r="AC18" t="e">
        <f t="shared" ca="1" si="10"/>
        <v>#REF!</v>
      </c>
      <c r="AD18" t="e">
        <f t="shared" ca="1" si="11"/>
        <v>#REF!</v>
      </c>
      <c r="AE18" t="e">
        <f t="shared" ca="1" si="12"/>
        <v>#REF!</v>
      </c>
      <c r="AF18" t="e">
        <f t="shared" ca="1" si="13"/>
        <v>#REF!</v>
      </c>
      <c r="AG18" t="e">
        <f t="shared" ca="1" si="14"/>
        <v>#REF!</v>
      </c>
      <c r="AH18" t="e">
        <f t="shared" ca="1" si="15"/>
        <v>#REF!</v>
      </c>
      <c r="AI18" t="e">
        <f t="shared" ca="1" si="16"/>
        <v>#REF!</v>
      </c>
      <c r="AJ18" t="e">
        <f t="shared" ca="1" si="17"/>
        <v>#REF!</v>
      </c>
      <c r="AK18" t="e">
        <f t="shared" ca="1" si="18"/>
        <v>#REF!</v>
      </c>
      <c r="AL18" t="e">
        <f t="shared" ca="1" si="19"/>
        <v>#REF!</v>
      </c>
      <c r="AM18" t="e">
        <f t="shared" ca="1" si="20"/>
        <v>#REF!</v>
      </c>
      <c r="AN18" t="e">
        <f t="shared" ca="1" si="21"/>
        <v>#REF!</v>
      </c>
      <c r="AO18" t="e">
        <f t="shared" ca="1" si="22"/>
        <v>#REF!</v>
      </c>
      <c r="AP18" t="e">
        <f t="shared" ca="1" si="23"/>
        <v>#REF!</v>
      </c>
      <c r="AQ18" t="e">
        <f t="shared" ca="1" si="24"/>
        <v>#REF!</v>
      </c>
      <c r="AR18" t="e">
        <f t="shared" ca="1" si="25"/>
        <v>#REF!</v>
      </c>
      <c r="AS18" t="e">
        <f t="shared" ca="1" si="26"/>
        <v>#REF!</v>
      </c>
      <c r="AT18" t="e">
        <f t="shared" ca="1" si="27"/>
        <v>#REF!</v>
      </c>
      <c r="AU18" t="e">
        <f t="shared" ca="1" si="28"/>
        <v>#REF!</v>
      </c>
      <c r="AV18" t="e">
        <f t="shared" ca="1" si="29"/>
        <v>#REF!</v>
      </c>
      <c r="AW18" t="e">
        <f t="shared" ca="1" si="30"/>
        <v>#REF!</v>
      </c>
      <c r="AX18" t="e">
        <f t="shared" ca="1" si="31"/>
        <v>#REF!</v>
      </c>
      <c r="AY18" t="e">
        <f t="shared" ca="1" si="32"/>
        <v>#REF!</v>
      </c>
      <c r="AZ18" t="e">
        <f t="shared" ca="1" si="33"/>
        <v>#REF!</v>
      </c>
      <c r="BA18" t="e">
        <f t="shared" ca="1" si="34"/>
        <v>#REF!</v>
      </c>
      <c r="BB18" t="e">
        <f t="shared" ca="1" si="35"/>
        <v>#REF!</v>
      </c>
      <c r="BC18" t="e">
        <f t="shared" ca="1" si="36"/>
        <v>#REF!</v>
      </c>
      <c r="BD18" t="e">
        <f t="shared" ca="1" si="37"/>
        <v>#REF!</v>
      </c>
      <c r="BE18" t="e">
        <f t="shared" ca="1" si="38"/>
        <v>#REF!</v>
      </c>
      <c r="BF18" t="e">
        <f t="shared" ca="1" si="39"/>
        <v>#REF!</v>
      </c>
      <c r="BG18" t="e">
        <f t="shared" ca="1" si="40"/>
        <v>#REF!</v>
      </c>
      <c r="BH18" t="e">
        <f t="shared" ca="1" si="41"/>
        <v>#REF!</v>
      </c>
      <c r="BI18" t="e">
        <f t="shared" ca="1" si="42"/>
        <v>#REF!</v>
      </c>
      <c r="BJ18" t="e">
        <f t="shared" ca="1" si="43"/>
        <v>#REF!</v>
      </c>
      <c r="BK18" t="e">
        <f t="shared" ca="1" si="44"/>
        <v>#REF!</v>
      </c>
      <c r="BL18" t="e">
        <f t="shared" ca="1" si="45"/>
        <v>#REF!</v>
      </c>
      <c r="BM18" t="e">
        <f t="shared" ca="1" si="46"/>
        <v>#REF!</v>
      </c>
      <c r="BN18" t="e">
        <f t="shared" ca="1" si="47"/>
        <v>#REF!</v>
      </c>
      <c r="BO18" t="e">
        <f t="shared" ca="1" si="48"/>
        <v>#REF!</v>
      </c>
      <c r="BP18" t="e">
        <f t="shared" ca="1" si="49"/>
        <v>#REF!</v>
      </c>
      <c r="BQ18" t="e">
        <f t="shared" ca="1" si="50"/>
        <v>#REF!</v>
      </c>
      <c r="BR18" t="e">
        <f t="shared" ca="1" si="51"/>
        <v>#REF!</v>
      </c>
      <c r="BS18" t="e">
        <f t="shared" ca="1" si="52"/>
        <v>#REF!</v>
      </c>
      <c r="BT18" t="e">
        <f t="shared" ca="1" si="53"/>
        <v>#REF!</v>
      </c>
      <c r="BU18" t="e">
        <f t="shared" ca="1" si="54"/>
        <v>#REF!</v>
      </c>
      <c r="BV18" t="e">
        <f t="shared" ca="1" si="55"/>
        <v>#REF!</v>
      </c>
      <c r="BW18" t="e">
        <f t="shared" ca="1" si="56"/>
        <v>#REF!</v>
      </c>
      <c r="BX18" t="e">
        <f t="shared" ca="1" si="57"/>
        <v>#REF!</v>
      </c>
      <c r="BY18" t="e">
        <f t="shared" ca="1" si="58"/>
        <v>#REF!</v>
      </c>
      <c r="BZ18" t="e">
        <f t="shared" ca="1" si="59"/>
        <v>#REF!</v>
      </c>
      <c r="CA18" t="e">
        <f t="shared" ca="1" si="60"/>
        <v>#REF!</v>
      </c>
      <c r="CB18" t="e">
        <f t="shared" ca="1" si="61"/>
        <v>#REF!</v>
      </c>
      <c r="CC18" t="e">
        <f t="shared" ca="1" si="62"/>
        <v>#REF!</v>
      </c>
      <c r="CD18" t="e">
        <f t="shared" ca="1" si="63"/>
        <v>#REF!</v>
      </c>
      <c r="CE18" t="e">
        <f t="shared" ca="1" si="64"/>
        <v>#REF!</v>
      </c>
      <c r="CF18" t="e">
        <f t="shared" ca="1" si="65"/>
        <v>#REF!</v>
      </c>
      <c r="CG18" t="e">
        <f t="shared" ca="1" si="66"/>
        <v>#REF!</v>
      </c>
      <c r="CH18" t="e">
        <f t="shared" ca="1" si="67"/>
        <v>#REF!</v>
      </c>
      <c r="CI18" t="e">
        <f t="shared" ca="1" si="68"/>
        <v>#REF!</v>
      </c>
      <c r="CJ18" t="e">
        <f t="shared" ca="1" si="69"/>
        <v>#REF!</v>
      </c>
      <c r="CK18" t="e">
        <f t="shared" ca="1" si="70"/>
        <v>#REF!</v>
      </c>
      <c r="CL18" t="e">
        <f t="shared" ca="1" si="71"/>
        <v>#REF!</v>
      </c>
      <c r="CM18" t="e">
        <f t="shared" ca="1" si="72"/>
        <v>#REF!</v>
      </c>
      <c r="CN18" t="e">
        <f t="shared" ca="1" si="73"/>
        <v>#REF!</v>
      </c>
      <c r="CO18" t="e">
        <f t="shared" ca="1" si="74"/>
        <v>#REF!</v>
      </c>
      <c r="CP18" t="e">
        <f t="shared" ca="1" si="75"/>
        <v>#REF!</v>
      </c>
      <c r="CQ18" t="e">
        <f t="shared" ca="1" si="76"/>
        <v>#REF!</v>
      </c>
      <c r="CR18" t="e">
        <f t="shared" ca="1" si="77"/>
        <v>#REF!</v>
      </c>
      <c r="CS18" t="e">
        <f t="shared" ca="1" si="78"/>
        <v>#REF!</v>
      </c>
      <c r="CT18" t="e">
        <f t="shared" ca="1" si="79"/>
        <v>#REF!</v>
      </c>
      <c r="CU18" t="e">
        <f t="shared" ca="1" si="80"/>
        <v>#REF!</v>
      </c>
      <c r="CV18" t="e">
        <f t="shared" ca="1" si="81"/>
        <v>#REF!</v>
      </c>
      <c r="CW18" t="e">
        <f t="shared" ca="1" si="82"/>
        <v>#REF!</v>
      </c>
      <c r="CX18" t="e">
        <f t="shared" ca="1" si="83"/>
        <v>#REF!</v>
      </c>
      <c r="CY18" t="e">
        <f t="shared" ca="1" si="84"/>
        <v>#REF!</v>
      </c>
      <c r="CZ18" t="e">
        <f t="shared" ca="1" si="85"/>
        <v>#REF!</v>
      </c>
      <c r="DA18" t="e">
        <f t="shared" ca="1" si="86"/>
        <v>#REF!</v>
      </c>
      <c r="DB18" t="e">
        <f t="shared" ca="1" si="87"/>
        <v>#REF!</v>
      </c>
      <c r="DC18" t="e">
        <f t="shared" ca="1" si="88"/>
        <v>#REF!</v>
      </c>
      <c r="DD18" t="e">
        <f t="shared" ca="1" si="89"/>
        <v>#REF!</v>
      </c>
      <c r="DE18" t="e">
        <f t="shared" ca="1" si="90"/>
        <v>#REF!</v>
      </c>
      <c r="DF18" t="e">
        <f t="shared" ca="1" si="91"/>
        <v>#REF!</v>
      </c>
      <c r="DG18" t="e">
        <f t="shared" ca="1" si="92"/>
        <v>#REF!</v>
      </c>
      <c r="DH18" t="e">
        <f t="shared" ca="1" si="93"/>
        <v>#REF!</v>
      </c>
      <c r="DI18" t="e">
        <f t="shared" ca="1" si="94"/>
        <v>#REF!</v>
      </c>
      <c r="DJ18" t="e">
        <f t="shared" ca="1" si="95"/>
        <v>#REF!</v>
      </c>
      <c r="DK18" t="e">
        <f t="shared" ca="1" si="96"/>
        <v>#REF!</v>
      </c>
    </row>
    <row r="19" spans="1:115" ht="14.45" x14ac:dyDescent="0.3">
      <c r="A19">
        <f>verzamelblad!A19</f>
        <v>15</v>
      </c>
      <c r="B19" s="21"/>
      <c r="C19" s="39"/>
      <c r="D19" s="39"/>
      <c r="E19" s="39"/>
      <c r="F19" s="39"/>
      <c r="G19" s="39"/>
      <c r="H19" s="39"/>
      <c r="I19" s="39"/>
      <c r="J19" s="39"/>
      <c r="K19" s="39"/>
      <c r="L19" s="38"/>
      <c r="M19" s="38"/>
      <c r="N19" s="38"/>
      <c r="O19" s="38"/>
      <c r="P19" s="39"/>
      <c r="Q19" s="214"/>
      <c r="S19" s="285">
        <f t="shared" si="3"/>
        <v>0</v>
      </c>
      <c r="T19" s="285">
        <f t="shared" si="4"/>
        <v>0</v>
      </c>
      <c r="U19">
        <f t="shared" si="0"/>
        <v>22</v>
      </c>
      <c r="V19">
        <f t="shared" si="1"/>
        <v>0</v>
      </c>
      <c r="W19">
        <f t="shared" si="2"/>
        <v>0</v>
      </c>
      <c r="X19" t="e">
        <f t="shared" ca="1" si="5"/>
        <v>#REF!</v>
      </c>
      <c r="Y19" t="e">
        <f t="shared" ca="1" si="6"/>
        <v>#REF!</v>
      </c>
      <c r="Z19" t="e">
        <f t="shared" ca="1" si="7"/>
        <v>#REF!</v>
      </c>
      <c r="AA19" t="e">
        <f t="shared" ca="1" si="8"/>
        <v>#REF!</v>
      </c>
      <c r="AB19" t="e">
        <f t="shared" ca="1" si="9"/>
        <v>#REF!</v>
      </c>
      <c r="AC19" t="e">
        <f t="shared" ca="1" si="10"/>
        <v>#REF!</v>
      </c>
      <c r="AD19" t="e">
        <f t="shared" ca="1" si="11"/>
        <v>#REF!</v>
      </c>
      <c r="AE19" t="e">
        <f t="shared" ca="1" si="12"/>
        <v>#REF!</v>
      </c>
      <c r="AF19" t="e">
        <f t="shared" ca="1" si="13"/>
        <v>#REF!</v>
      </c>
      <c r="AG19" t="e">
        <f t="shared" ca="1" si="14"/>
        <v>#REF!</v>
      </c>
      <c r="AH19" t="e">
        <f t="shared" ca="1" si="15"/>
        <v>#REF!</v>
      </c>
      <c r="AI19" t="e">
        <f t="shared" ca="1" si="16"/>
        <v>#REF!</v>
      </c>
      <c r="AJ19" t="e">
        <f t="shared" ca="1" si="17"/>
        <v>#REF!</v>
      </c>
      <c r="AK19" t="e">
        <f t="shared" ca="1" si="18"/>
        <v>#REF!</v>
      </c>
      <c r="AL19" t="e">
        <f t="shared" ca="1" si="19"/>
        <v>#REF!</v>
      </c>
      <c r="AM19" t="e">
        <f t="shared" ca="1" si="20"/>
        <v>#REF!</v>
      </c>
      <c r="AN19" t="e">
        <f t="shared" ca="1" si="21"/>
        <v>#REF!</v>
      </c>
      <c r="AO19" t="e">
        <f t="shared" ca="1" si="22"/>
        <v>#REF!</v>
      </c>
      <c r="AP19" t="e">
        <f t="shared" ca="1" si="23"/>
        <v>#REF!</v>
      </c>
      <c r="AQ19" t="e">
        <f t="shared" ca="1" si="24"/>
        <v>#REF!</v>
      </c>
      <c r="AR19" t="e">
        <f t="shared" ca="1" si="25"/>
        <v>#REF!</v>
      </c>
      <c r="AS19" t="e">
        <f t="shared" ca="1" si="26"/>
        <v>#REF!</v>
      </c>
      <c r="AT19" t="e">
        <f t="shared" ca="1" si="27"/>
        <v>#REF!</v>
      </c>
      <c r="AU19" t="e">
        <f t="shared" ca="1" si="28"/>
        <v>#REF!</v>
      </c>
      <c r="AV19" t="e">
        <f t="shared" ca="1" si="29"/>
        <v>#REF!</v>
      </c>
      <c r="AW19" t="e">
        <f t="shared" ca="1" si="30"/>
        <v>#REF!</v>
      </c>
      <c r="AX19" t="e">
        <f t="shared" ca="1" si="31"/>
        <v>#REF!</v>
      </c>
      <c r="AY19" t="e">
        <f t="shared" ca="1" si="32"/>
        <v>#REF!</v>
      </c>
      <c r="AZ19" t="e">
        <f t="shared" ca="1" si="33"/>
        <v>#REF!</v>
      </c>
      <c r="BA19" t="e">
        <f t="shared" ca="1" si="34"/>
        <v>#REF!</v>
      </c>
      <c r="BB19" t="e">
        <f t="shared" ca="1" si="35"/>
        <v>#REF!</v>
      </c>
      <c r="BC19" t="e">
        <f t="shared" ca="1" si="36"/>
        <v>#REF!</v>
      </c>
      <c r="BD19" t="e">
        <f t="shared" ca="1" si="37"/>
        <v>#REF!</v>
      </c>
      <c r="BE19" t="e">
        <f t="shared" ca="1" si="38"/>
        <v>#REF!</v>
      </c>
      <c r="BF19" t="e">
        <f t="shared" ca="1" si="39"/>
        <v>#REF!</v>
      </c>
      <c r="BG19" t="e">
        <f t="shared" ca="1" si="40"/>
        <v>#REF!</v>
      </c>
      <c r="BH19" t="e">
        <f t="shared" ca="1" si="41"/>
        <v>#REF!</v>
      </c>
      <c r="BI19" t="e">
        <f t="shared" ca="1" si="42"/>
        <v>#REF!</v>
      </c>
      <c r="BJ19" t="e">
        <f t="shared" ca="1" si="43"/>
        <v>#REF!</v>
      </c>
      <c r="BK19" t="e">
        <f t="shared" ca="1" si="44"/>
        <v>#REF!</v>
      </c>
      <c r="BL19" t="e">
        <f t="shared" ca="1" si="45"/>
        <v>#REF!</v>
      </c>
      <c r="BM19" t="e">
        <f t="shared" ca="1" si="46"/>
        <v>#REF!</v>
      </c>
      <c r="BN19" t="e">
        <f t="shared" ca="1" si="47"/>
        <v>#REF!</v>
      </c>
      <c r="BO19" t="e">
        <f t="shared" ca="1" si="48"/>
        <v>#REF!</v>
      </c>
      <c r="BP19" t="e">
        <f t="shared" ca="1" si="49"/>
        <v>#REF!</v>
      </c>
      <c r="BQ19" t="e">
        <f t="shared" ca="1" si="50"/>
        <v>#REF!</v>
      </c>
      <c r="BR19" t="e">
        <f t="shared" ca="1" si="51"/>
        <v>#REF!</v>
      </c>
      <c r="BS19" t="e">
        <f t="shared" ca="1" si="52"/>
        <v>#REF!</v>
      </c>
      <c r="BT19" t="e">
        <f t="shared" ca="1" si="53"/>
        <v>#REF!</v>
      </c>
      <c r="BU19" t="e">
        <f t="shared" ca="1" si="54"/>
        <v>#REF!</v>
      </c>
      <c r="BV19" t="e">
        <f t="shared" ca="1" si="55"/>
        <v>#REF!</v>
      </c>
      <c r="BW19" t="e">
        <f t="shared" ca="1" si="56"/>
        <v>#REF!</v>
      </c>
      <c r="BX19" t="e">
        <f t="shared" ca="1" si="57"/>
        <v>#REF!</v>
      </c>
      <c r="BY19" t="e">
        <f t="shared" ca="1" si="58"/>
        <v>#REF!</v>
      </c>
      <c r="BZ19" t="e">
        <f t="shared" ca="1" si="59"/>
        <v>#REF!</v>
      </c>
      <c r="CA19" t="e">
        <f t="shared" ca="1" si="60"/>
        <v>#REF!</v>
      </c>
      <c r="CB19" t="e">
        <f t="shared" ca="1" si="61"/>
        <v>#REF!</v>
      </c>
      <c r="CC19" t="e">
        <f t="shared" ca="1" si="62"/>
        <v>#REF!</v>
      </c>
      <c r="CD19" t="e">
        <f t="shared" ca="1" si="63"/>
        <v>#REF!</v>
      </c>
      <c r="CE19" t="e">
        <f t="shared" ca="1" si="64"/>
        <v>#REF!</v>
      </c>
      <c r="CF19" t="e">
        <f t="shared" ca="1" si="65"/>
        <v>#REF!</v>
      </c>
      <c r="CG19" t="e">
        <f t="shared" ca="1" si="66"/>
        <v>#REF!</v>
      </c>
      <c r="CH19" t="e">
        <f t="shared" ca="1" si="67"/>
        <v>#REF!</v>
      </c>
      <c r="CI19" t="e">
        <f t="shared" ca="1" si="68"/>
        <v>#REF!</v>
      </c>
      <c r="CJ19" t="e">
        <f t="shared" ca="1" si="69"/>
        <v>#REF!</v>
      </c>
      <c r="CK19" t="e">
        <f t="shared" ca="1" si="70"/>
        <v>#REF!</v>
      </c>
      <c r="CL19" t="e">
        <f t="shared" ca="1" si="71"/>
        <v>#REF!</v>
      </c>
      <c r="CM19" t="e">
        <f t="shared" ca="1" si="72"/>
        <v>#REF!</v>
      </c>
      <c r="CN19" t="e">
        <f t="shared" ca="1" si="73"/>
        <v>#REF!</v>
      </c>
      <c r="CO19" t="e">
        <f t="shared" ca="1" si="74"/>
        <v>#REF!</v>
      </c>
      <c r="CP19" t="e">
        <f t="shared" ca="1" si="75"/>
        <v>#REF!</v>
      </c>
      <c r="CQ19" t="e">
        <f t="shared" ca="1" si="76"/>
        <v>#REF!</v>
      </c>
      <c r="CR19" t="e">
        <f t="shared" ca="1" si="77"/>
        <v>#REF!</v>
      </c>
      <c r="CS19" t="e">
        <f t="shared" ca="1" si="78"/>
        <v>#REF!</v>
      </c>
      <c r="CT19" t="e">
        <f t="shared" ca="1" si="79"/>
        <v>#REF!</v>
      </c>
      <c r="CU19" t="e">
        <f t="shared" ca="1" si="80"/>
        <v>#REF!</v>
      </c>
      <c r="CV19" t="e">
        <f t="shared" ca="1" si="81"/>
        <v>#REF!</v>
      </c>
      <c r="CW19" t="e">
        <f t="shared" ca="1" si="82"/>
        <v>#REF!</v>
      </c>
      <c r="CX19" t="e">
        <f t="shared" ca="1" si="83"/>
        <v>#REF!</v>
      </c>
      <c r="CY19" t="e">
        <f t="shared" ca="1" si="84"/>
        <v>#REF!</v>
      </c>
      <c r="CZ19" t="e">
        <f t="shared" ca="1" si="85"/>
        <v>#REF!</v>
      </c>
      <c r="DA19" t="e">
        <f t="shared" ca="1" si="86"/>
        <v>#REF!</v>
      </c>
      <c r="DB19" t="e">
        <f t="shared" ca="1" si="87"/>
        <v>#REF!</v>
      </c>
      <c r="DC19" t="e">
        <f t="shared" ca="1" si="88"/>
        <v>#REF!</v>
      </c>
      <c r="DD19" t="e">
        <f t="shared" ca="1" si="89"/>
        <v>#REF!</v>
      </c>
      <c r="DE19" t="e">
        <f t="shared" ca="1" si="90"/>
        <v>#REF!</v>
      </c>
      <c r="DF19" t="e">
        <f t="shared" ca="1" si="91"/>
        <v>#REF!</v>
      </c>
      <c r="DG19" t="e">
        <f t="shared" ca="1" si="92"/>
        <v>#REF!</v>
      </c>
      <c r="DH19" t="e">
        <f t="shared" ca="1" si="93"/>
        <v>#REF!</v>
      </c>
      <c r="DI19" t="e">
        <f t="shared" ca="1" si="94"/>
        <v>#REF!</v>
      </c>
      <c r="DJ19" t="e">
        <f t="shared" ca="1" si="95"/>
        <v>#REF!</v>
      </c>
      <c r="DK19" t="e">
        <f t="shared" ca="1" si="96"/>
        <v>#REF!</v>
      </c>
    </row>
    <row r="20" spans="1:115" ht="14.45" x14ac:dyDescent="0.3">
      <c r="A20">
        <f>verzamelblad!A20</f>
        <v>16</v>
      </c>
      <c r="B20" s="21"/>
      <c r="C20" s="39"/>
      <c r="D20" s="39"/>
      <c r="E20" s="39"/>
      <c r="F20" s="39"/>
      <c r="G20" s="39"/>
      <c r="H20" s="39"/>
      <c r="I20" s="39"/>
      <c r="J20" s="39"/>
      <c r="K20" s="39"/>
      <c r="L20" s="38"/>
      <c r="M20" s="38"/>
      <c r="N20" s="38"/>
      <c r="O20" s="38"/>
      <c r="P20" s="39"/>
      <c r="Q20" s="214"/>
      <c r="S20" s="285">
        <f t="shared" si="3"/>
        <v>0</v>
      </c>
      <c r="T20" s="285">
        <f t="shared" si="4"/>
        <v>0</v>
      </c>
      <c r="U20">
        <f t="shared" si="0"/>
        <v>22</v>
      </c>
      <c r="V20">
        <f t="shared" si="1"/>
        <v>0</v>
      </c>
      <c r="W20">
        <f t="shared" si="2"/>
        <v>0</v>
      </c>
      <c r="X20" t="e">
        <f t="shared" ca="1" si="5"/>
        <v>#REF!</v>
      </c>
      <c r="Y20" t="e">
        <f t="shared" ca="1" si="6"/>
        <v>#REF!</v>
      </c>
      <c r="Z20" t="e">
        <f t="shared" ca="1" si="7"/>
        <v>#REF!</v>
      </c>
      <c r="AA20" t="e">
        <f t="shared" ca="1" si="8"/>
        <v>#REF!</v>
      </c>
      <c r="AB20" t="e">
        <f t="shared" ca="1" si="9"/>
        <v>#REF!</v>
      </c>
      <c r="AC20" t="e">
        <f t="shared" ca="1" si="10"/>
        <v>#REF!</v>
      </c>
      <c r="AD20" t="e">
        <f t="shared" ca="1" si="11"/>
        <v>#REF!</v>
      </c>
      <c r="AE20" t="e">
        <f t="shared" ca="1" si="12"/>
        <v>#REF!</v>
      </c>
      <c r="AF20" t="e">
        <f t="shared" ca="1" si="13"/>
        <v>#REF!</v>
      </c>
      <c r="AG20" t="e">
        <f t="shared" ca="1" si="14"/>
        <v>#REF!</v>
      </c>
      <c r="AH20" t="e">
        <f t="shared" ca="1" si="15"/>
        <v>#REF!</v>
      </c>
      <c r="AI20" t="e">
        <f t="shared" ca="1" si="16"/>
        <v>#REF!</v>
      </c>
      <c r="AJ20" t="e">
        <f t="shared" ca="1" si="17"/>
        <v>#REF!</v>
      </c>
      <c r="AK20" t="e">
        <f t="shared" ca="1" si="18"/>
        <v>#REF!</v>
      </c>
      <c r="AL20" t="e">
        <f t="shared" ca="1" si="19"/>
        <v>#REF!</v>
      </c>
      <c r="AM20" t="e">
        <f t="shared" ca="1" si="20"/>
        <v>#REF!</v>
      </c>
      <c r="AN20" t="e">
        <f t="shared" ca="1" si="21"/>
        <v>#REF!</v>
      </c>
      <c r="AO20" t="e">
        <f t="shared" ca="1" si="22"/>
        <v>#REF!</v>
      </c>
      <c r="AP20" t="e">
        <f t="shared" ca="1" si="23"/>
        <v>#REF!</v>
      </c>
      <c r="AQ20" t="e">
        <f t="shared" ca="1" si="24"/>
        <v>#REF!</v>
      </c>
      <c r="AR20" t="e">
        <f t="shared" ca="1" si="25"/>
        <v>#REF!</v>
      </c>
      <c r="AS20" t="e">
        <f t="shared" ca="1" si="26"/>
        <v>#REF!</v>
      </c>
      <c r="AT20" t="e">
        <f t="shared" ca="1" si="27"/>
        <v>#REF!</v>
      </c>
      <c r="AU20" t="e">
        <f t="shared" ca="1" si="28"/>
        <v>#REF!</v>
      </c>
      <c r="AV20" t="e">
        <f t="shared" ca="1" si="29"/>
        <v>#REF!</v>
      </c>
      <c r="AW20" t="e">
        <f t="shared" ca="1" si="30"/>
        <v>#REF!</v>
      </c>
      <c r="AX20" t="e">
        <f t="shared" ca="1" si="31"/>
        <v>#REF!</v>
      </c>
      <c r="AY20" t="e">
        <f t="shared" ca="1" si="32"/>
        <v>#REF!</v>
      </c>
      <c r="AZ20" t="e">
        <f t="shared" ca="1" si="33"/>
        <v>#REF!</v>
      </c>
      <c r="BA20" t="e">
        <f t="shared" ca="1" si="34"/>
        <v>#REF!</v>
      </c>
      <c r="BB20" t="e">
        <f t="shared" ca="1" si="35"/>
        <v>#REF!</v>
      </c>
      <c r="BC20" t="e">
        <f t="shared" ca="1" si="36"/>
        <v>#REF!</v>
      </c>
      <c r="BD20" t="e">
        <f t="shared" ca="1" si="37"/>
        <v>#REF!</v>
      </c>
      <c r="BE20" t="e">
        <f t="shared" ca="1" si="38"/>
        <v>#REF!</v>
      </c>
      <c r="BF20" t="e">
        <f t="shared" ca="1" si="39"/>
        <v>#REF!</v>
      </c>
      <c r="BG20" t="e">
        <f t="shared" ca="1" si="40"/>
        <v>#REF!</v>
      </c>
      <c r="BH20" t="e">
        <f t="shared" ca="1" si="41"/>
        <v>#REF!</v>
      </c>
      <c r="BI20" t="e">
        <f t="shared" ca="1" si="42"/>
        <v>#REF!</v>
      </c>
      <c r="BJ20" t="e">
        <f t="shared" ca="1" si="43"/>
        <v>#REF!</v>
      </c>
      <c r="BK20" t="e">
        <f t="shared" ca="1" si="44"/>
        <v>#REF!</v>
      </c>
      <c r="BL20" t="e">
        <f t="shared" ca="1" si="45"/>
        <v>#REF!</v>
      </c>
      <c r="BM20" t="e">
        <f t="shared" ca="1" si="46"/>
        <v>#REF!</v>
      </c>
      <c r="BN20" t="e">
        <f t="shared" ca="1" si="47"/>
        <v>#REF!</v>
      </c>
      <c r="BO20" t="e">
        <f t="shared" ca="1" si="48"/>
        <v>#REF!</v>
      </c>
      <c r="BP20" t="e">
        <f t="shared" ca="1" si="49"/>
        <v>#REF!</v>
      </c>
      <c r="BQ20" t="e">
        <f t="shared" ca="1" si="50"/>
        <v>#REF!</v>
      </c>
      <c r="BR20" t="e">
        <f t="shared" ca="1" si="51"/>
        <v>#REF!</v>
      </c>
      <c r="BS20" t="e">
        <f t="shared" ca="1" si="52"/>
        <v>#REF!</v>
      </c>
      <c r="BT20" t="e">
        <f t="shared" ca="1" si="53"/>
        <v>#REF!</v>
      </c>
      <c r="BU20" t="e">
        <f t="shared" ca="1" si="54"/>
        <v>#REF!</v>
      </c>
      <c r="BV20" t="e">
        <f t="shared" ca="1" si="55"/>
        <v>#REF!</v>
      </c>
      <c r="BW20" t="e">
        <f t="shared" ca="1" si="56"/>
        <v>#REF!</v>
      </c>
      <c r="BX20" t="e">
        <f t="shared" ca="1" si="57"/>
        <v>#REF!</v>
      </c>
      <c r="BY20" t="e">
        <f t="shared" ca="1" si="58"/>
        <v>#REF!</v>
      </c>
      <c r="BZ20" t="e">
        <f t="shared" ca="1" si="59"/>
        <v>#REF!</v>
      </c>
      <c r="CA20" t="e">
        <f t="shared" ca="1" si="60"/>
        <v>#REF!</v>
      </c>
      <c r="CB20" t="e">
        <f t="shared" ca="1" si="61"/>
        <v>#REF!</v>
      </c>
      <c r="CC20" t="e">
        <f t="shared" ca="1" si="62"/>
        <v>#REF!</v>
      </c>
      <c r="CD20" t="e">
        <f t="shared" ca="1" si="63"/>
        <v>#REF!</v>
      </c>
      <c r="CE20" t="e">
        <f t="shared" ca="1" si="64"/>
        <v>#REF!</v>
      </c>
      <c r="CF20" t="e">
        <f t="shared" ca="1" si="65"/>
        <v>#REF!</v>
      </c>
      <c r="CG20" t="e">
        <f t="shared" ca="1" si="66"/>
        <v>#REF!</v>
      </c>
      <c r="CH20" t="e">
        <f t="shared" ca="1" si="67"/>
        <v>#REF!</v>
      </c>
      <c r="CI20" t="e">
        <f t="shared" ca="1" si="68"/>
        <v>#REF!</v>
      </c>
      <c r="CJ20" t="e">
        <f t="shared" ca="1" si="69"/>
        <v>#REF!</v>
      </c>
      <c r="CK20" t="e">
        <f t="shared" ca="1" si="70"/>
        <v>#REF!</v>
      </c>
      <c r="CL20" t="e">
        <f t="shared" ca="1" si="71"/>
        <v>#REF!</v>
      </c>
      <c r="CM20" t="e">
        <f t="shared" ca="1" si="72"/>
        <v>#REF!</v>
      </c>
      <c r="CN20" t="e">
        <f t="shared" ca="1" si="73"/>
        <v>#REF!</v>
      </c>
      <c r="CO20" t="e">
        <f t="shared" ca="1" si="74"/>
        <v>#REF!</v>
      </c>
      <c r="CP20" t="e">
        <f t="shared" ca="1" si="75"/>
        <v>#REF!</v>
      </c>
      <c r="CQ20" t="e">
        <f t="shared" ca="1" si="76"/>
        <v>#REF!</v>
      </c>
      <c r="CR20" t="e">
        <f t="shared" ca="1" si="77"/>
        <v>#REF!</v>
      </c>
      <c r="CS20" t="e">
        <f t="shared" ca="1" si="78"/>
        <v>#REF!</v>
      </c>
      <c r="CT20" t="e">
        <f t="shared" ca="1" si="79"/>
        <v>#REF!</v>
      </c>
      <c r="CU20" t="e">
        <f t="shared" ca="1" si="80"/>
        <v>#REF!</v>
      </c>
      <c r="CV20" t="e">
        <f t="shared" ca="1" si="81"/>
        <v>#REF!</v>
      </c>
      <c r="CW20" t="e">
        <f t="shared" ca="1" si="82"/>
        <v>#REF!</v>
      </c>
      <c r="CX20" t="e">
        <f t="shared" ca="1" si="83"/>
        <v>#REF!</v>
      </c>
      <c r="CY20" t="e">
        <f t="shared" ca="1" si="84"/>
        <v>#REF!</v>
      </c>
      <c r="CZ20" t="e">
        <f t="shared" ca="1" si="85"/>
        <v>#REF!</v>
      </c>
      <c r="DA20" t="e">
        <f t="shared" ca="1" si="86"/>
        <v>#REF!</v>
      </c>
      <c r="DB20" t="e">
        <f t="shared" ca="1" si="87"/>
        <v>#REF!</v>
      </c>
      <c r="DC20" t="e">
        <f t="shared" ca="1" si="88"/>
        <v>#REF!</v>
      </c>
      <c r="DD20" t="e">
        <f t="shared" ca="1" si="89"/>
        <v>#REF!</v>
      </c>
      <c r="DE20" t="e">
        <f t="shared" ca="1" si="90"/>
        <v>#REF!</v>
      </c>
      <c r="DF20" t="e">
        <f t="shared" ca="1" si="91"/>
        <v>#REF!</v>
      </c>
      <c r="DG20" t="e">
        <f t="shared" ca="1" si="92"/>
        <v>#REF!</v>
      </c>
      <c r="DH20" t="e">
        <f t="shared" ca="1" si="93"/>
        <v>#REF!</v>
      </c>
      <c r="DI20" t="e">
        <f t="shared" ca="1" si="94"/>
        <v>#REF!</v>
      </c>
      <c r="DJ20" t="e">
        <f t="shared" ca="1" si="95"/>
        <v>#REF!</v>
      </c>
      <c r="DK20" t="e">
        <f t="shared" ca="1" si="96"/>
        <v>#REF!</v>
      </c>
    </row>
    <row r="21" spans="1:115" ht="14.45" x14ac:dyDescent="0.3">
      <c r="A21">
        <f>verzamelblad!A21</f>
        <v>17</v>
      </c>
      <c r="B21" s="21"/>
      <c r="C21" s="39"/>
      <c r="D21" s="39"/>
      <c r="E21" s="39"/>
      <c r="F21" s="39"/>
      <c r="G21" s="39"/>
      <c r="H21" s="39"/>
      <c r="I21" s="39"/>
      <c r="J21" s="39"/>
      <c r="K21" s="39"/>
      <c r="L21" s="38"/>
      <c r="M21" s="38"/>
      <c r="N21" s="38"/>
      <c r="O21" s="38"/>
      <c r="P21" s="39"/>
      <c r="Q21" s="214"/>
      <c r="S21" s="285">
        <f t="shared" si="3"/>
        <v>0</v>
      </c>
      <c r="T21" s="285">
        <f t="shared" si="4"/>
        <v>0</v>
      </c>
      <c r="U21">
        <f t="shared" si="0"/>
        <v>22</v>
      </c>
      <c r="V21">
        <f t="shared" si="1"/>
        <v>0</v>
      </c>
      <c r="W21">
        <f t="shared" si="2"/>
        <v>0</v>
      </c>
      <c r="X21" t="e">
        <f t="shared" ca="1" si="5"/>
        <v>#REF!</v>
      </c>
      <c r="Y21" t="e">
        <f t="shared" ca="1" si="6"/>
        <v>#REF!</v>
      </c>
      <c r="Z21" t="e">
        <f t="shared" ca="1" si="7"/>
        <v>#REF!</v>
      </c>
      <c r="AA21" t="e">
        <f t="shared" ca="1" si="8"/>
        <v>#REF!</v>
      </c>
      <c r="AB21" t="e">
        <f t="shared" ca="1" si="9"/>
        <v>#REF!</v>
      </c>
      <c r="AC21" t="e">
        <f t="shared" ca="1" si="10"/>
        <v>#REF!</v>
      </c>
      <c r="AD21" t="e">
        <f t="shared" ca="1" si="11"/>
        <v>#REF!</v>
      </c>
      <c r="AE21" t="e">
        <f t="shared" ca="1" si="12"/>
        <v>#REF!</v>
      </c>
      <c r="AF21" t="e">
        <f t="shared" ca="1" si="13"/>
        <v>#REF!</v>
      </c>
      <c r="AG21" t="e">
        <f t="shared" ca="1" si="14"/>
        <v>#REF!</v>
      </c>
      <c r="AH21" t="e">
        <f t="shared" ca="1" si="15"/>
        <v>#REF!</v>
      </c>
      <c r="AI21" t="e">
        <f t="shared" ca="1" si="16"/>
        <v>#REF!</v>
      </c>
      <c r="AJ21" t="e">
        <f t="shared" ca="1" si="17"/>
        <v>#REF!</v>
      </c>
      <c r="AK21" t="e">
        <f t="shared" ca="1" si="18"/>
        <v>#REF!</v>
      </c>
      <c r="AL21" t="e">
        <f t="shared" ca="1" si="19"/>
        <v>#REF!</v>
      </c>
      <c r="AM21" t="e">
        <f t="shared" ca="1" si="20"/>
        <v>#REF!</v>
      </c>
      <c r="AN21" t="e">
        <f t="shared" ca="1" si="21"/>
        <v>#REF!</v>
      </c>
      <c r="AO21" t="e">
        <f t="shared" ca="1" si="22"/>
        <v>#REF!</v>
      </c>
      <c r="AP21" t="e">
        <f t="shared" ca="1" si="23"/>
        <v>#REF!</v>
      </c>
      <c r="AQ21" t="e">
        <f t="shared" ca="1" si="24"/>
        <v>#REF!</v>
      </c>
      <c r="AR21" t="e">
        <f t="shared" ca="1" si="25"/>
        <v>#REF!</v>
      </c>
      <c r="AS21" t="e">
        <f t="shared" ca="1" si="26"/>
        <v>#REF!</v>
      </c>
      <c r="AT21" t="e">
        <f t="shared" ca="1" si="27"/>
        <v>#REF!</v>
      </c>
      <c r="AU21" t="e">
        <f t="shared" ca="1" si="28"/>
        <v>#REF!</v>
      </c>
      <c r="AV21" t="e">
        <f t="shared" ca="1" si="29"/>
        <v>#REF!</v>
      </c>
      <c r="AW21" t="e">
        <f t="shared" ca="1" si="30"/>
        <v>#REF!</v>
      </c>
      <c r="AX21" t="e">
        <f t="shared" ca="1" si="31"/>
        <v>#REF!</v>
      </c>
      <c r="AY21" t="e">
        <f t="shared" ca="1" si="32"/>
        <v>#REF!</v>
      </c>
      <c r="AZ21" t="e">
        <f t="shared" ca="1" si="33"/>
        <v>#REF!</v>
      </c>
      <c r="BA21" t="e">
        <f t="shared" ca="1" si="34"/>
        <v>#REF!</v>
      </c>
      <c r="BB21" t="e">
        <f t="shared" ca="1" si="35"/>
        <v>#REF!</v>
      </c>
      <c r="BC21" t="e">
        <f t="shared" ca="1" si="36"/>
        <v>#REF!</v>
      </c>
      <c r="BD21" t="e">
        <f t="shared" ca="1" si="37"/>
        <v>#REF!</v>
      </c>
      <c r="BE21" t="e">
        <f t="shared" ca="1" si="38"/>
        <v>#REF!</v>
      </c>
      <c r="BF21" t="e">
        <f t="shared" ca="1" si="39"/>
        <v>#REF!</v>
      </c>
      <c r="BG21" t="e">
        <f t="shared" ca="1" si="40"/>
        <v>#REF!</v>
      </c>
      <c r="BH21" t="e">
        <f t="shared" ca="1" si="41"/>
        <v>#REF!</v>
      </c>
      <c r="BI21" t="e">
        <f t="shared" ca="1" si="42"/>
        <v>#REF!</v>
      </c>
      <c r="BJ21" t="e">
        <f t="shared" ca="1" si="43"/>
        <v>#REF!</v>
      </c>
      <c r="BK21" t="e">
        <f t="shared" ca="1" si="44"/>
        <v>#REF!</v>
      </c>
      <c r="BL21" t="e">
        <f t="shared" ca="1" si="45"/>
        <v>#REF!</v>
      </c>
      <c r="BM21" t="e">
        <f t="shared" ca="1" si="46"/>
        <v>#REF!</v>
      </c>
      <c r="BN21" t="e">
        <f t="shared" ca="1" si="47"/>
        <v>#REF!</v>
      </c>
      <c r="BO21" t="e">
        <f t="shared" ca="1" si="48"/>
        <v>#REF!</v>
      </c>
      <c r="BP21" t="e">
        <f t="shared" ca="1" si="49"/>
        <v>#REF!</v>
      </c>
      <c r="BQ21" t="e">
        <f t="shared" ca="1" si="50"/>
        <v>#REF!</v>
      </c>
      <c r="BR21" t="e">
        <f t="shared" ca="1" si="51"/>
        <v>#REF!</v>
      </c>
      <c r="BS21" t="e">
        <f t="shared" ca="1" si="52"/>
        <v>#REF!</v>
      </c>
      <c r="BT21" t="e">
        <f t="shared" ca="1" si="53"/>
        <v>#REF!</v>
      </c>
      <c r="BU21" t="e">
        <f t="shared" ca="1" si="54"/>
        <v>#REF!</v>
      </c>
      <c r="BV21" t="e">
        <f t="shared" ca="1" si="55"/>
        <v>#REF!</v>
      </c>
      <c r="BW21" t="e">
        <f t="shared" ca="1" si="56"/>
        <v>#REF!</v>
      </c>
      <c r="BX21" t="e">
        <f t="shared" ca="1" si="57"/>
        <v>#REF!</v>
      </c>
      <c r="BY21" t="e">
        <f t="shared" ca="1" si="58"/>
        <v>#REF!</v>
      </c>
      <c r="BZ21" t="e">
        <f t="shared" ca="1" si="59"/>
        <v>#REF!</v>
      </c>
      <c r="CA21" t="e">
        <f t="shared" ca="1" si="60"/>
        <v>#REF!</v>
      </c>
      <c r="CB21" t="e">
        <f t="shared" ca="1" si="61"/>
        <v>#REF!</v>
      </c>
      <c r="CC21" t="e">
        <f t="shared" ca="1" si="62"/>
        <v>#REF!</v>
      </c>
      <c r="CD21" t="e">
        <f t="shared" ca="1" si="63"/>
        <v>#REF!</v>
      </c>
      <c r="CE21" t="e">
        <f t="shared" ca="1" si="64"/>
        <v>#REF!</v>
      </c>
      <c r="CF21" t="e">
        <f t="shared" ca="1" si="65"/>
        <v>#REF!</v>
      </c>
      <c r="CG21" t="e">
        <f t="shared" ca="1" si="66"/>
        <v>#REF!</v>
      </c>
      <c r="CH21" t="e">
        <f t="shared" ca="1" si="67"/>
        <v>#REF!</v>
      </c>
      <c r="CI21" t="e">
        <f t="shared" ca="1" si="68"/>
        <v>#REF!</v>
      </c>
      <c r="CJ21" t="e">
        <f t="shared" ca="1" si="69"/>
        <v>#REF!</v>
      </c>
      <c r="CK21" t="e">
        <f t="shared" ca="1" si="70"/>
        <v>#REF!</v>
      </c>
      <c r="CL21" t="e">
        <f t="shared" ca="1" si="71"/>
        <v>#REF!</v>
      </c>
      <c r="CM21" t="e">
        <f t="shared" ca="1" si="72"/>
        <v>#REF!</v>
      </c>
      <c r="CN21" t="e">
        <f t="shared" ca="1" si="73"/>
        <v>#REF!</v>
      </c>
      <c r="CO21" t="e">
        <f t="shared" ca="1" si="74"/>
        <v>#REF!</v>
      </c>
      <c r="CP21" t="e">
        <f t="shared" ca="1" si="75"/>
        <v>#REF!</v>
      </c>
      <c r="CQ21" t="e">
        <f t="shared" ca="1" si="76"/>
        <v>#REF!</v>
      </c>
      <c r="CR21" t="e">
        <f t="shared" ca="1" si="77"/>
        <v>#REF!</v>
      </c>
      <c r="CS21" t="e">
        <f t="shared" ca="1" si="78"/>
        <v>#REF!</v>
      </c>
      <c r="CT21" t="e">
        <f t="shared" ca="1" si="79"/>
        <v>#REF!</v>
      </c>
      <c r="CU21" t="e">
        <f t="shared" ca="1" si="80"/>
        <v>#REF!</v>
      </c>
      <c r="CV21" t="e">
        <f t="shared" ca="1" si="81"/>
        <v>#REF!</v>
      </c>
      <c r="CW21" t="e">
        <f t="shared" ca="1" si="82"/>
        <v>#REF!</v>
      </c>
      <c r="CX21" t="e">
        <f t="shared" ca="1" si="83"/>
        <v>#REF!</v>
      </c>
      <c r="CY21" t="e">
        <f t="shared" ca="1" si="84"/>
        <v>#REF!</v>
      </c>
      <c r="CZ21" t="e">
        <f t="shared" ca="1" si="85"/>
        <v>#REF!</v>
      </c>
      <c r="DA21" t="e">
        <f t="shared" ca="1" si="86"/>
        <v>#REF!</v>
      </c>
      <c r="DB21" t="e">
        <f t="shared" ca="1" si="87"/>
        <v>#REF!</v>
      </c>
      <c r="DC21" t="e">
        <f t="shared" ca="1" si="88"/>
        <v>#REF!</v>
      </c>
      <c r="DD21" t="e">
        <f t="shared" ca="1" si="89"/>
        <v>#REF!</v>
      </c>
      <c r="DE21" t="e">
        <f t="shared" ca="1" si="90"/>
        <v>#REF!</v>
      </c>
      <c r="DF21" t="e">
        <f t="shared" ca="1" si="91"/>
        <v>#REF!</v>
      </c>
      <c r="DG21" t="e">
        <f t="shared" ca="1" si="92"/>
        <v>#REF!</v>
      </c>
      <c r="DH21" t="e">
        <f t="shared" ca="1" si="93"/>
        <v>#REF!</v>
      </c>
      <c r="DI21" t="e">
        <f t="shared" ca="1" si="94"/>
        <v>#REF!</v>
      </c>
      <c r="DJ21" t="e">
        <f t="shared" ca="1" si="95"/>
        <v>#REF!</v>
      </c>
      <c r="DK21" t="e">
        <f t="shared" ca="1" si="96"/>
        <v>#REF!</v>
      </c>
    </row>
    <row r="22" spans="1:115" ht="14.45" x14ac:dyDescent="0.3">
      <c r="A22">
        <f>verzamelblad!A22</f>
        <v>18</v>
      </c>
      <c r="B22" s="21"/>
      <c r="C22" s="39"/>
      <c r="D22" s="39"/>
      <c r="E22" s="39"/>
      <c r="F22" s="39"/>
      <c r="G22" s="39"/>
      <c r="H22" s="39"/>
      <c r="I22" s="39"/>
      <c r="J22" s="39"/>
      <c r="K22" s="39"/>
      <c r="L22" s="38"/>
      <c r="M22" s="38"/>
      <c r="N22" s="38"/>
      <c r="O22" s="38"/>
      <c r="P22" s="39"/>
      <c r="Q22" s="214"/>
      <c r="S22" s="285">
        <f t="shared" si="3"/>
        <v>0</v>
      </c>
      <c r="T22" s="285">
        <f t="shared" si="4"/>
        <v>0</v>
      </c>
      <c r="U22">
        <f t="shared" si="0"/>
        <v>22</v>
      </c>
      <c r="V22">
        <f t="shared" si="1"/>
        <v>0</v>
      </c>
      <c r="W22">
        <f t="shared" si="2"/>
        <v>0</v>
      </c>
      <c r="X22" t="e">
        <f t="shared" ca="1" si="5"/>
        <v>#REF!</v>
      </c>
      <c r="Y22" t="e">
        <f t="shared" ca="1" si="6"/>
        <v>#REF!</v>
      </c>
      <c r="Z22" t="e">
        <f t="shared" ca="1" si="7"/>
        <v>#REF!</v>
      </c>
      <c r="AA22" t="e">
        <f t="shared" ca="1" si="8"/>
        <v>#REF!</v>
      </c>
      <c r="AB22" t="e">
        <f t="shared" ca="1" si="9"/>
        <v>#REF!</v>
      </c>
      <c r="AC22" t="e">
        <f t="shared" ca="1" si="10"/>
        <v>#REF!</v>
      </c>
      <c r="AD22" t="e">
        <f t="shared" ca="1" si="11"/>
        <v>#REF!</v>
      </c>
      <c r="AE22" t="e">
        <f t="shared" ca="1" si="12"/>
        <v>#REF!</v>
      </c>
      <c r="AF22" t="e">
        <f t="shared" ca="1" si="13"/>
        <v>#REF!</v>
      </c>
      <c r="AG22" t="e">
        <f t="shared" ca="1" si="14"/>
        <v>#REF!</v>
      </c>
      <c r="AH22" t="e">
        <f t="shared" ca="1" si="15"/>
        <v>#REF!</v>
      </c>
      <c r="AI22" t="e">
        <f t="shared" ca="1" si="16"/>
        <v>#REF!</v>
      </c>
      <c r="AJ22" t="e">
        <f t="shared" ca="1" si="17"/>
        <v>#REF!</v>
      </c>
      <c r="AK22" t="e">
        <f t="shared" ca="1" si="18"/>
        <v>#REF!</v>
      </c>
      <c r="AL22" t="e">
        <f t="shared" ca="1" si="19"/>
        <v>#REF!</v>
      </c>
      <c r="AM22" t="e">
        <f t="shared" ca="1" si="20"/>
        <v>#REF!</v>
      </c>
      <c r="AN22" t="e">
        <f t="shared" ca="1" si="21"/>
        <v>#REF!</v>
      </c>
      <c r="AO22" t="e">
        <f t="shared" ca="1" si="22"/>
        <v>#REF!</v>
      </c>
      <c r="AP22" t="e">
        <f t="shared" ca="1" si="23"/>
        <v>#REF!</v>
      </c>
      <c r="AQ22" t="e">
        <f t="shared" ca="1" si="24"/>
        <v>#REF!</v>
      </c>
      <c r="AR22" t="e">
        <f t="shared" ca="1" si="25"/>
        <v>#REF!</v>
      </c>
      <c r="AS22" t="e">
        <f t="shared" ca="1" si="26"/>
        <v>#REF!</v>
      </c>
      <c r="AT22" t="e">
        <f t="shared" ca="1" si="27"/>
        <v>#REF!</v>
      </c>
      <c r="AU22" t="e">
        <f t="shared" ca="1" si="28"/>
        <v>#REF!</v>
      </c>
      <c r="AV22" t="e">
        <f t="shared" ca="1" si="29"/>
        <v>#REF!</v>
      </c>
      <c r="AW22" t="e">
        <f t="shared" ca="1" si="30"/>
        <v>#REF!</v>
      </c>
      <c r="AX22" t="e">
        <f t="shared" ca="1" si="31"/>
        <v>#REF!</v>
      </c>
      <c r="AY22" t="e">
        <f t="shared" ca="1" si="32"/>
        <v>#REF!</v>
      </c>
      <c r="AZ22" t="e">
        <f t="shared" ca="1" si="33"/>
        <v>#REF!</v>
      </c>
      <c r="BA22" t="e">
        <f t="shared" ca="1" si="34"/>
        <v>#REF!</v>
      </c>
      <c r="BB22" t="e">
        <f t="shared" ca="1" si="35"/>
        <v>#REF!</v>
      </c>
      <c r="BC22" t="e">
        <f t="shared" ca="1" si="36"/>
        <v>#REF!</v>
      </c>
      <c r="BD22" t="e">
        <f t="shared" ca="1" si="37"/>
        <v>#REF!</v>
      </c>
      <c r="BE22" t="e">
        <f t="shared" ca="1" si="38"/>
        <v>#REF!</v>
      </c>
      <c r="BF22" t="e">
        <f t="shared" ca="1" si="39"/>
        <v>#REF!</v>
      </c>
      <c r="BG22" t="e">
        <f t="shared" ca="1" si="40"/>
        <v>#REF!</v>
      </c>
      <c r="BH22" t="e">
        <f t="shared" ca="1" si="41"/>
        <v>#REF!</v>
      </c>
      <c r="BI22" t="e">
        <f t="shared" ca="1" si="42"/>
        <v>#REF!</v>
      </c>
      <c r="BJ22" t="e">
        <f t="shared" ca="1" si="43"/>
        <v>#REF!</v>
      </c>
      <c r="BK22" t="e">
        <f t="shared" ca="1" si="44"/>
        <v>#REF!</v>
      </c>
      <c r="BL22" t="e">
        <f t="shared" ca="1" si="45"/>
        <v>#REF!</v>
      </c>
      <c r="BM22" t="e">
        <f t="shared" ca="1" si="46"/>
        <v>#REF!</v>
      </c>
      <c r="BN22" t="e">
        <f t="shared" ca="1" si="47"/>
        <v>#REF!</v>
      </c>
      <c r="BO22" t="e">
        <f t="shared" ca="1" si="48"/>
        <v>#REF!</v>
      </c>
      <c r="BP22" t="e">
        <f t="shared" ca="1" si="49"/>
        <v>#REF!</v>
      </c>
      <c r="BQ22" t="e">
        <f t="shared" ca="1" si="50"/>
        <v>#REF!</v>
      </c>
      <c r="BR22" t="e">
        <f t="shared" ca="1" si="51"/>
        <v>#REF!</v>
      </c>
      <c r="BS22" t="e">
        <f t="shared" ca="1" si="52"/>
        <v>#REF!</v>
      </c>
      <c r="BT22" t="e">
        <f t="shared" ca="1" si="53"/>
        <v>#REF!</v>
      </c>
      <c r="BU22" t="e">
        <f t="shared" ca="1" si="54"/>
        <v>#REF!</v>
      </c>
      <c r="BV22" t="e">
        <f t="shared" ca="1" si="55"/>
        <v>#REF!</v>
      </c>
      <c r="BW22" t="e">
        <f t="shared" ca="1" si="56"/>
        <v>#REF!</v>
      </c>
      <c r="BX22" t="e">
        <f t="shared" ca="1" si="57"/>
        <v>#REF!</v>
      </c>
      <c r="BY22" t="e">
        <f t="shared" ca="1" si="58"/>
        <v>#REF!</v>
      </c>
      <c r="BZ22" t="e">
        <f t="shared" ca="1" si="59"/>
        <v>#REF!</v>
      </c>
      <c r="CA22" t="e">
        <f t="shared" ca="1" si="60"/>
        <v>#REF!</v>
      </c>
      <c r="CB22" t="e">
        <f t="shared" ca="1" si="61"/>
        <v>#REF!</v>
      </c>
      <c r="CC22" t="e">
        <f t="shared" ca="1" si="62"/>
        <v>#REF!</v>
      </c>
      <c r="CD22" t="e">
        <f t="shared" ca="1" si="63"/>
        <v>#REF!</v>
      </c>
      <c r="CE22" t="e">
        <f t="shared" ca="1" si="64"/>
        <v>#REF!</v>
      </c>
      <c r="CF22" t="e">
        <f t="shared" ca="1" si="65"/>
        <v>#REF!</v>
      </c>
      <c r="CG22" t="e">
        <f t="shared" ca="1" si="66"/>
        <v>#REF!</v>
      </c>
      <c r="CH22" t="e">
        <f t="shared" ca="1" si="67"/>
        <v>#REF!</v>
      </c>
      <c r="CI22" t="e">
        <f t="shared" ca="1" si="68"/>
        <v>#REF!</v>
      </c>
      <c r="CJ22" t="e">
        <f t="shared" ca="1" si="69"/>
        <v>#REF!</v>
      </c>
      <c r="CK22" t="e">
        <f t="shared" ca="1" si="70"/>
        <v>#REF!</v>
      </c>
      <c r="CL22" t="e">
        <f t="shared" ca="1" si="71"/>
        <v>#REF!</v>
      </c>
      <c r="CM22" t="e">
        <f t="shared" ca="1" si="72"/>
        <v>#REF!</v>
      </c>
      <c r="CN22" t="e">
        <f t="shared" ca="1" si="73"/>
        <v>#REF!</v>
      </c>
      <c r="CO22" t="e">
        <f t="shared" ca="1" si="74"/>
        <v>#REF!</v>
      </c>
      <c r="CP22" t="e">
        <f t="shared" ca="1" si="75"/>
        <v>#REF!</v>
      </c>
      <c r="CQ22" t="e">
        <f t="shared" ca="1" si="76"/>
        <v>#REF!</v>
      </c>
      <c r="CR22" t="e">
        <f t="shared" ca="1" si="77"/>
        <v>#REF!</v>
      </c>
      <c r="CS22" t="e">
        <f t="shared" ca="1" si="78"/>
        <v>#REF!</v>
      </c>
      <c r="CT22" t="e">
        <f t="shared" ca="1" si="79"/>
        <v>#REF!</v>
      </c>
      <c r="CU22" t="e">
        <f t="shared" ca="1" si="80"/>
        <v>#REF!</v>
      </c>
      <c r="CV22" t="e">
        <f t="shared" ca="1" si="81"/>
        <v>#REF!</v>
      </c>
      <c r="CW22" t="e">
        <f t="shared" ca="1" si="82"/>
        <v>#REF!</v>
      </c>
      <c r="CX22" t="e">
        <f t="shared" ca="1" si="83"/>
        <v>#REF!</v>
      </c>
      <c r="CY22" t="e">
        <f t="shared" ca="1" si="84"/>
        <v>#REF!</v>
      </c>
      <c r="CZ22" t="e">
        <f t="shared" ca="1" si="85"/>
        <v>#REF!</v>
      </c>
      <c r="DA22" t="e">
        <f t="shared" ca="1" si="86"/>
        <v>#REF!</v>
      </c>
      <c r="DB22" t="e">
        <f t="shared" ca="1" si="87"/>
        <v>#REF!</v>
      </c>
      <c r="DC22" t="e">
        <f t="shared" ca="1" si="88"/>
        <v>#REF!</v>
      </c>
      <c r="DD22" t="e">
        <f t="shared" ca="1" si="89"/>
        <v>#REF!</v>
      </c>
      <c r="DE22" t="e">
        <f t="shared" ca="1" si="90"/>
        <v>#REF!</v>
      </c>
      <c r="DF22" t="e">
        <f t="shared" ca="1" si="91"/>
        <v>#REF!</v>
      </c>
      <c r="DG22" t="e">
        <f t="shared" ca="1" si="92"/>
        <v>#REF!</v>
      </c>
      <c r="DH22" t="e">
        <f t="shared" ca="1" si="93"/>
        <v>#REF!</v>
      </c>
      <c r="DI22" t="e">
        <f t="shared" ca="1" si="94"/>
        <v>#REF!</v>
      </c>
      <c r="DJ22" t="e">
        <f t="shared" ca="1" si="95"/>
        <v>#REF!</v>
      </c>
      <c r="DK22" t="e">
        <f t="shared" ca="1" si="96"/>
        <v>#REF!</v>
      </c>
    </row>
    <row r="23" spans="1:115" ht="14.45" x14ac:dyDescent="0.3">
      <c r="A23">
        <f>verzamelblad!A23</f>
        <v>19</v>
      </c>
      <c r="B23" s="21"/>
      <c r="C23" s="39"/>
      <c r="D23" s="39"/>
      <c r="E23" s="39"/>
      <c r="F23" s="39"/>
      <c r="G23" s="39"/>
      <c r="H23" s="39"/>
      <c r="I23" s="39"/>
      <c r="J23" s="39"/>
      <c r="K23" s="39"/>
      <c r="L23" s="38"/>
      <c r="M23" s="38"/>
      <c r="N23" s="38"/>
      <c r="O23" s="38"/>
      <c r="P23" s="39"/>
      <c r="Q23" s="214"/>
      <c r="S23" s="285">
        <f t="shared" si="3"/>
        <v>0</v>
      </c>
      <c r="T23" s="285">
        <f t="shared" si="4"/>
        <v>0</v>
      </c>
      <c r="U23">
        <f t="shared" si="0"/>
        <v>22</v>
      </c>
      <c r="V23">
        <f t="shared" si="1"/>
        <v>0</v>
      </c>
      <c r="W23">
        <f t="shared" si="2"/>
        <v>0</v>
      </c>
      <c r="X23" t="e">
        <f t="shared" ca="1" si="5"/>
        <v>#REF!</v>
      </c>
      <c r="Y23" t="e">
        <f t="shared" ca="1" si="6"/>
        <v>#REF!</v>
      </c>
      <c r="Z23" t="e">
        <f t="shared" ca="1" si="7"/>
        <v>#REF!</v>
      </c>
      <c r="AA23" t="e">
        <f t="shared" ca="1" si="8"/>
        <v>#REF!</v>
      </c>
      <c r="AB23" t="e">
        <f t="shared" ca="1" si="9"/>
        <v>#REF!</v>
      </c>
      <c r="AC23" t="e">
        <f t="shared" ca="1" si="10"/>
        <v>#REF!</v>
      </c>
      <c r="AD23" t="e">
        <f t="shared" ca="1" si="11"/>
        <v>#REF!</v>
      </c>
      <c r="AE23" t="e">
        <f t="shared" ca="1" si="12"/>
        <v>#REF!</v>
      </c>
      <c r="AF23" t="e">
        <f t="shared" ca="1" si="13"/>
        <v>#REF!</v>
      </c>
      <c r="AG23" t="e">
        <f t="shared" ca="1" si="14"/>
        <v>#REF!</v>
      </c>
      <c r="AH23" t="e">
        <f t="shared" ca="1" si="15"/>
        <v>#REF!</v>
      </c>
      <c r="AI23" t="e">
        <f t="shared" ca="1" si="16"/>
        <v>#REF!</v>
      </c>
      <c r="AJ23" t="e">
        <f t="shared" ca="1" si="17"/>
        <v>#REF!</v>
      </c>
      <c r="AK23" t="e">
        <f t="shared" ca="1" si="18"/>
        <v>#REF!</v>
      </c>
      <c r="AL23" t="e">
        <f t="shared" ca="1" si="19"/>
        <v>#REF!</v>
      </c>
      <c r="AM23" t="e">
        <f t="shared" ca="1" si="20"/>
        <v>#REF!</v>
      </c>
      <c r="AN23" t="e">
        <f t="shared" ca="1" si="21"/>
        <v>#REF!</v>
      </c>
      <c r="AO23" t="e">
        <f t="shared" ca="1" si="22"/>
        <v>#REF!</v>
      </c>
      <c r="AP23" t="e">
        <f t="shared" ca="1" si="23"/>
        <v>#REF!</v>
      </c>
      <c r="AQ23" t="e">
        <f t="shared" ca="1" si="24"/>
        <v>#REF!</v>
      </c>
      <c r="AR23" t="e">
        <f t="shared" ca="1" si="25"/>
        <v>#REF!</v>
      </c>
      <c r="AS23" t="e">
        <f t="shared" ca="1" si="26"/>
        <v>#REF!</v>
      </c>
      <c r="AT23" t="e">
        <f t="shared" ca="1" si="27"/>
        <v>#REF!</v>
      </c>
      <c r="AU23" t="e">
        <f t="shared" ca="1" si="28"/>
        <v>#REF!</v>
      </c>
      <c r="AV23" t="e">
        <f t="shared" ca="1" si="29"/>
        <v>#REF!</v>
      </c>
      <c r="AW23" t="e">
        <f t="shared" ca="1" si="30"/>
        <v>#REF!</v>
      </c>
      <c r="AX23" t="e">
        <f t="shared" ca="1" si="31"/>
        <v>#REF!</v>
      </c>
      <c r="AY23" t="e">
        <f t="shared" ca="1" si="32"/>
        <v>#REF!</v>
      </c>
      <c r="AZ23" t="e">
        <f t="shared" ca="1" si="33"/>
        <v>#REF!</v>
      </c>
      <c r="BA23" t="e">
        <f t="shared" ca="1" si="34"/>
        <v>#REF!</v>
      </c>
      <c r="BB23" t="e">
        <f t="shared" ca="1" si="35"/>
        <v>#REF!</v>
      </c>
      <c r="BC23" t="e">
        <f t="shared" ca="1" si="36"/>
        <v>#REF!</v>
      </c>
      <c r="BD23" t="e">
        <f t="shared" ca="1" si="37"/>
        <v>#REF!</v>
      </c>
      <c r="BE23" t="e">
        <f t="shared" ca="1" si="38"/>
        <v>#REF!</v>
      </c>
      <c r="BF23" t="e">
        <f t="shared" ca="1" si="39"/>
        <v>#REF!</v>
      </c>
      <c r="BG23" t="e">
        <f t="shared" ca="1" si="40"/>
        <v>#REF!</v>
      </c>
      <c r="BH23" t="e">
        <f t="shared" ca="1" si="41"/>
        <v>#REF!</v>
      </c>
      <c r="BI23" t="e">
        <f t="shared" ca="1" si="42"/>
        <v>#REF!</v>
      </c>
      <c r="BJ23" t="e">
        <f t="shared" ca="1" si="43"/>
        <v>#REF!</v>
      </c>
      <c r="BK23" t="e">
        <f t="shared" ca="1" si="44"/>
        <v>#REF!</v>
      </c>
      <c r="BL23" t="e">
        <f t="shared" ca="1" si="45"/>
        <v>#REF!</v>
      </c>
      <c r="BM23" t="e">
        <f t="shared" ca="1" si="46"/>
        <v>#REF!</v>
      </c>
      <c r="BN23" t="e">
        <f t="shared" ca="1" si="47"/>
        <v>#REF!</v>
      </c>
      <c r="BO23" t="e">
        <f t="shared" ca="1" si="48"/>
        <v>#REF!</v>
      </c>
      <c r="BP23" t="e">
        <f t="shared" ca="1" si="49"/>
        <v>#REF!</v>
      </c>
      <c r="BQ23" t="e">
        <f t="shared" ca="1" si="50"/>
        <v>#REF!</v>
      </c>
      <c r="BR23" t="e">
        <f t="shared" ca="1" si="51"/>
        <v>#REF!</v>
      </c>
      <c r="BS23" t="e">
        <f t="shared" ca="1" si="52"/>
        <v>#REF!</v>
      </c>
      <c r="BT23" t="e">
        <f t="shared" ca="1" si="53"/>
        <v>#REF!</v>
      </c>
      <c r="BU23" t="e">
        <f t="shared" ca="1" si="54"/>
        <v>#REF!</v>
      </c>
      <c r="BV23" t="e">
        <f t="shared" ca="1" si="55"/>
        <v>#REF!</v>
      </c>
      <c r="BW23" t="e">
        <f t="shared" ca="1" si="56"/>
        <v>#REF!</v>
      </c>
      <c r="BX23" t="e">
        <f t="shared" ca="1" si="57"/>
        <v>#REF!</v>
      </c>
      <c r="BY23" t="e">
        <f t="shared" ca="1" si="58"/>
        <v>#REF!</v>
      </c>
      <c r="BZ23" t="e">
        <f t="shared" ca="1" si="59"/>
        <v>#REF!</v>
      </c>
      <c r="CA23" t="e">
        <f t="shared" ca="1" si="60"/>
        <v>#REF!</v>
      </c>
      <c r="CB23" t="e">
        <f t="shared" ca="1" si="61"/>
        <v>#REF!</v>
      </c>
      <c r="CC23" t="e">
        <f t="shared" ca="1" si="62"/>
        <v>#REF!</v>
      </c>
      <c r="CD23" t="e">
        <f t="shared" ca="1" si="63"/>
        <v>#REF!</v>
      </c>
      <c r="CE23" t="e">
        <f t="shared" ca="1" si="64"/>
        <v>#REF!</v>
      </c>
      <c r="CF23" t="e">
        <f t="shared" ca="1" si="65"/>
        <v>#REF!</v>
      </c>
      <c r="CG23" t="e">
        <f t="shared" ca="1" si="66"/>
        <v>#REF!</v>
      </c>
      <c r="CH23" t="e">
        <f t="shared" ca="1" si="67"/>
        <v>#REF!</v>
      </c>
      <c r="CI23" t="e">
        <f t="shared" ca="1" si="68"/>
        <v>#REF!</v>
      </c>
      <c r="CJ23" t="e">
        <f t="shared" ca="1" si="69"/>
        <v>#REF!</v>
      </c>
      <c r="CK23" t="e">
        <f t="shared" ca="1" si="70"/>
        <v>#REF!</v>
      </c>
      <c r="CL23" t="e">
        <f t="shared" ca="1" si="71"/>
        <v>#REF!</v>
      </c>
      <c r="CM23" t="e">
        <f t="shared" ca="1" si="72"/>
        <v>#REF!</v>
      </c>
      <c r="CN23" t="e">
        <f t="shared" ca="1" si="73"/>
        <v>#REF!</v>
      </c>
      <c r="CO23" t="e">
        <f t="shared" ca="1" si="74"/>
        <v>#REF!</v>
      </c>
      <c r="CP23" t="e">
        <f t="shared" ca="1" si="75"/>
        <v>#REF!</v>
      </c>
      <c r="CQ23" t="e">
        <f t="shared" ca="1" si="76"/>
        <v>#REF!</v>
      </c>
      <c r="CR23" t="e">
        <f t="shared" ca="1" si="77"/>
        <v>#REF!</v>
      </c>
      <c r="CS23" t="e">
        <f t="shared" ca="1" si="78"/>
        <v>#REF!</v>
      </c>
      <c r="CT23" t="e">
        <f t="shared" ca="1" si="79"/>
        <v>#REF!</v>
      </c>
      <c r="CU23" t="e">
        <f t="shared" ca="1" si="80"/>
        <v>#REF!</v>
      </c>
      <c r="CV23" t="e">
        <f t="shared" ca="1" si="81"/>
        <v>#REF!</v>
      </c>
      <c r="CW23" t="e">
        <f t="shared" ca="1" si="82"/>
        <v>#REF!</v>
      </c>
      <c r="CX23" t="e">
        <f t="shared" ca="1" si="83"/>
        <v>#REF!</v>
      </c>
      <c r="CY23" t="e">
        <f t="shared" ca="1" si="84"/>
        <v>#REF!</v>
      </c>
      <c r="CZ23" t="e">
        <f t="shared" ca="1" si="85"/>
        <v>#REF!</v>
      </c>
      <c r="DA23" t="e">
        <f t="shared" ca="1" si="86"/>
        <v>#REF!</v>
      </c>
      <c r="DB23" t="e">
        <f t="shared" ca="1" si="87"/>
        <v>#REF!</v>
      </c>
      <c r="DC23" t="e">
        <f t="shared" ca="1" si="88"/>
        <v>#REF!</v>
      </c>
      <c r="DD23" t="e">
        <f t="shared" ca="1" si="89"/>
        <v>#REF!</v>
      </c>
      <c r="DE23" t="e">
        <f t="shared" ca="1" si="90"/>
        <v>#REF!</v>
      </c>
      <c r="DF23" t="e">
        <f t="shared" ca="1" si="91"/>
        <v>#REF!</v>
      </c>
      <c r="DG23" t="e">
        <f t="shared" ca="1" si="92"/>
        <v>#REF!</v>
      </c>
      <c r="DH23" t="e">
        <f t="shared" ca="1" si="93"/>
        <v>#REF!</v>
      </c>
      <c r="DI23" t="e">
        <f t="shared" ca="1" si="94"/>
        <v>#REF!</v>
      </c>
      <c r="DJ23" t="e">
        <f t="shared" ca="1" si="95"/>
        <v>#REF!</v>
      </c>
      <c r="DK23" t="e">
        <f t="shared" ca="1" si="96"/>
        <v>#REF!</v>
      </c>
    </row>
    <row r="24" spans="1:115" ht="14.45" x14ac:dyDescent="0.3">
      <c r="A24">
        <f>verzamelblad!A24</f>
        <v>20</v>
      </c>
      <c r="B24" s="21"/>
      <c r="C24" s="39"/>
      <c r="D24" s="39"/>
      <c r="E24" s="39"/>
      <c r="F24" s="39"/>
      <c r="G24" s="39"/>
      <c r="H24" s="39"/>
      <c r="I24" s="39"/>
      <c r="J24" s="39"/>
      <c r="K24" s="39"/>
      <c r="L24" s="38"/>
      <c r="M24" s="38"/>
      <c r="N24" s="38"/>
      <c r="O24" s="38"/>
      <c r="P24" s="39"/>
      <c r="Q24" s="214"/>
      <c r="S24" s="285">
        <f t="shared" si="3"/>
        <v>0</v>
      </c>
      <c r="T24" s="285">
        <f t="shared" si="4"/>
        <v>0</v>
      </c>
      <c r="U24">
        <f t="shared" si="0"/>
        <v>22</v>
      </c>
      <c r="V24">
        <f t="shared" si="1"/>
        <v>0</v>
      </c>
      <c r="W24">
        <f t="shared" si="2"/>
        <v>0</v>
      </c>
      <c r="X24" t="e">
        <f t="shared" ca="1" si="5"/>
        <v>#REF!</v>
      </c>
      <c r="Y24" t="e">
        <f t="shared" ca="1" si="6"/>
        <v>#REF!</v>
      </c>
      <c r="Z24" t="e">
        <f t="shared" ca="1" si="7"/>
        <v>#REF!</v>
      </c>
      <c r="AA24" t="e">
        <f t="shared" ca="1" si="8"/>
        <v>#REF!</v>
      </c>
      <c r="AB24" t="e">
        <f t="shared" ca="1" si="9"/>
        <v>#REF!</v>
      </c>
      <c r="AC24" t="e">
        <f t="shared" ca="1" si="10"/>
        <v>#REF!</v>
      </c>
      <c r="AD24" t="e">
        <f t="shared" ca="1" si="11"/>
        <v>#REF!</v>
      </c>
      <c r="AE24" t="e">
        <f t="shared" ca="1" si="12"/>
        <v>#REF!</v>
      </c>
      <c r="AF24" t="e">
        <f t="shared" ca="1" si="13"/>
        <v>#REF!</v>
      </c>
      <c r="AG24" t="e">
        <f t="shared" ca="1" si="14"/>
        <v>#REF!</v>
      </c>
      <c r="AH24" t="e">
        <f t="shared" ca="1" si="15"/>
        <v>#REF!</v>
      </c>
      <c r="AI24" t="e">
        <f t="shared" ca="1" si="16"/>
        <v>#REF!</v>
      </c>
      <c r="AJ24" t="e">
        <f t="shared" ca="1" si="17"/>
        <v>#REF!</v>
      </c>
      <c r="AK24" t="e">
        <f t="shared" ca="1" si="18"/>
        <v>#REF!</v>
      </c>
      <c r="AL24" t="e">
        <f t="shared" ca="1" si="19"/>
        <v>#REF!</v>
      </c>
      <c r="AM24" t="e">
        <f t="shared" ca="1" si="20"/>
        <v>#REF!</v>
      </c>
      <c r="AN24" t="e">
        <f t="shared" ca="1" si="21"/>
        <v>#REF!</v>
      </c>
      <c r="AO24" t="e">
        <f t="shared" ca="1" si="22"/>
        <v>#REF!</v>
      </c>
      <c r="AP24" t="e">
        <f t="shared" ca="1" si="23"/>
        <v>#REF!</v>
      </c>
      <c r="AQ24" t="e">
        <f t="shared" ca="1" si="24"/>
        <v>#REF!</v>
      </c>
      <c r="AR24" t="e">
        <f t="shared" ca="1" si="25"/>
        <v>#REF!</v>
      </c>
      <c r="AS24" t="e">
        <f t="shared" ca="1" si="26"/>
        <v>#REF!</v>
      </c>
      <c r="AT24" t="e">
        <f t="shared" ca="1" si="27"/>
        <v>#REF!</v>
      </c>
      <c r="AU24" t="e">
        <f t="shared" ca="1" si="28"/>
        <v>#REF!</v>
      </c>
      <c r="AV24" t="e">
        <f t="shared" ca="1" si="29"/>
        <v>#REF!</v>
      </c>
      <c r="AW24" t="e">
        <f t="shared" ca="1" si="30"/>
        <v>#REF!</v>
      </c>
      <c r="AX24" t="e">
        <f t="shared" ca="1" si="31"/>
        <v>#REF!</v>
      </c>
      <c r="AY24" t="e">
        <f t="shared" ca="1" si="32"/>
        <v>#REF!</v>
      </c>
      <c r="AZ24" t="e">
        <f t="shared" ca="1" si="33"/>
        <v>#REF!</v>
      </c>
      <c r="BA24" t="e">
        <f t="shared" ca="1" si="34"/>
        <v>#REF!</v>
      </c>
      <c r="BB24" t="e">
        <f t="shared" ca="1" si="35"/>
        <v>#REF!</v>
      </c>
      <c r="BC24" t="e">
        <f t="shared" ca="1" si="36"/>
        <v>#REF!</v>
      </c>
      <c r="BD24" t="e">
        <f t="shared" ca="1" si="37"/>
        <v>#REF!</v>
      </c>
      <c r="BE24" t="e">
        <f t="shared" ca="1" si="38"/>
        <v>#REF!</v>
      </c>
      <c r="BF24" t="e">
        <f t="shared" ca="1" si="39"/>
        <v>#REF!</v>
      </c>
      <c r="BG24" t="e">
        <f t="shared" ca="1" si="40"/>
        <v>#REF!</v>
      </c>
      <c r="BH24" t="e">
        <f t="shared" ca="1" si="41"/>
        <v>#REF!</v>
      </c>
      <c r="BI24" t="e">
        <f t="shared" ca="1" si="42"/>
        <v>#REF!</v>
      </c>
      <c r="BJ24" t="e">
        <f t="shared" ca="1" si="43"/>
        <v>#REF!</v>
      </c>
      <c r="BK24" t="e">
        <f t="shared" ca="1" si="44"/>
        <v>#REF!</v>
      </c>
      <c r="BL24" t="e">
        <f t="shared" ca="1" si="45"/>
        <v>#REF!</v>
      </c>
      <c r="BM24" t="e">
        <f t="shared" ca="1" si="46"/>
        <v>#REF!</v>
      </c>
      <c r="BN24" t="e">
        <f t="shared" ca="1" si="47"/>
        <v>#REF!</v>
      </c>
      <c r="BO24" t="e">
        <f t="shared" ca="1" si="48"/>
        <v>#REF!</v>
      </c>
      <c r="BP24" t="e">
        <f t="shared" ca="1" si="49"/>
        <v>#REF!</v>
      </c>
      <c r="BQ24" t="e">
        <f t="shared" ca="1" si="50"/>
        <v>#REF!</v>
      </c>
      <c r="BR24" t="e">
        <f t="shared" ca="1" si="51"/>
        <v>#REF!</v>
      </c>
      <c r="BS24" t="e">
        <f t="shared" ca="1" si="52"/>
        <v>#REF!</v>
      </c>
      <c r="BT24" t="e">
        <f t="shared" ca="1" si="53"/>
        <v>#REF!</v>
      </c>
      <c r="BU24" t="e">
        <f t="shared" ca="1" si="54"/>
        <v>#REF!</v>
      </c>
      <c r="BV24" t="e">
        <f t="shared" ca="1" si="55"/>
        <v>#REF!</v>
      </c>
      <c r="BW24" t="e">
        <f t="shared" ca="1" si="56"/>
        <v>#REF!</v>
      </c>
      <c r="BX24" t="e">
        <f t="shared" ca="1" si="57"/>
        <v>#REF!</v>
      </c>
      <c r="BY24" t="e">
        <f t="shared" ca="1" si="58"/>
        <v>#REF!</v>
      </c>
      <c r="BZ24" t="e">
        <f t="shared" ca="1" si="59"/>
        <v>#REF!</v>
      </c>
      <c r="CA24" t="e">
        <f t="shared" ca="1" si="60"/>
        <v>#REF!</v>
      </c>
      <c r="CB24" t="e">
        <f t="shared" ca="1" si="61"/>
        <v>#REF!</v>
      </c>
      <c r="CC24" t="e">
        <f t="shared" ca="1" si="62"/>
        <v>#REF!</v>
      </c>
      <c r="CD24" t="e">
        <f t="shared" ca="1" si="63"/>
        <v>#REF!</v>
      </c>
      <c r="CE24" t="e">
        <f t="shared" ca="1" si="64"/>
        <v>#REF!</v>
      </c>
      <c r="CF24" t="e">
        <f t="shared" ca="1" si="65"/>
        <v>#REF!</v>
      </c>
      <c r="CG24" t="e">
        <f t="shared" ca="1" si="66"/>
        <v>#REF!</v>
      </c>
      <c r="CH24" t="e">
        <f t="shared" ca="1" si="67"/>
        <v>#REF!</v>
      </c>
      <c r="CI24" t="e">
        <f t="shared" ca="1" si="68"/>
        <v>#REF!</v>
      </c>
      <c r="CJ24" t="e">
        <f t="shared" ca="1" si="69"/>
        <v>#REF!</v>
      </c>
      <c r="CK24" t="e">
        <f t="shared" ca="1" si="70"/>
        <v>#REF!</v>
      </c>
      <c r="CL24" t="e">
        <f t="shared" ca="1" si="71"/>
        <v>#REF!</v>
      </c>
      <c r="CM24" t="e">
        <f t="shared" ca="1" si="72"/>
        <v>#REF!</v>
      </c>
      <c r="CN24" t="e">
        <f t="shared" ca="1" si="73"/>
        <v>#REF!</v>
      </c>
      <c r="CO24" t="e">
        <f t="shared" ca="1" si="74"/>
        <v>#REF!</v>
      </c>
      <c r="CP24" t="e">
        <f t="shared" ca="1" si="75"/>
        <v>#REF!</v>
      </c>
      <c r="CQ24" t="e">
        <f t="shared" ca="1" si="76"/>
        <v>#REF!</v>
      </c>
      <c r="CR24" t="e">
        <f t="shared" ca="1" si="77"/>
        <v>#REF!</v>
      </c>
      <c r="CS24" t="e">
        <f t="shared" ca="1" si="78"/>
        <v>#REF!</v>
      </c>
      <c r="CT24" t="e">
        <f t="shared" ca="1" si="79"/>
        <v>#REF!</v>
      </c>
      <c r="CU24" t="e">
        <f t="shared" ca="1" si="80"/>
        <v>#REF!</v>
      </c>
      <c r="CV24" t="e">
        <f t="shared" ca="1" si="81"/>
        <v>#REF!</v>
      </c>
      <c r="CW24" t="e">
        <f t="shared" ca="1" si="82"/>
        <v>#REF!</v>
      </c>
      <c r="CX24" t="e">
        <f t="shared" ca="1" si="83"/>
        <v>#REF!</v>
      </c>
      <c r="CY24" t="e">
        <f t="shared" ca="1" si="84"/>
        <v>#REF!</v>
      </c>
      <c r="CZ24" t="e">
        <f t="shared" ca="1" si="85"/>
        <v>#REF!</v>
      </c>
      <c r="DA24" t="e">
        <f t="shared" ca="1" si="86"/>
        <v>#REF!</v>
      </c>
      <c r="DB24" t="e">
        <f t="shared" ca="1" si="87"/>
        <v>#REF!</v>
      </c>
      <c r="DC24" t="e">
        <f t="shared" ca="1" si="88"/>
        <v>#REF!</v>
      </c>
      <c r="DD24" t="e">
        <f t="shared" ca="1" si="89"/>
        <v>#REF!</v>
      </c>
      <c r="DE24" t="e">
        <f t="shared" ca="1" si="90"/>
        <v>#REF!</v>
      </c>
      <c r="DF24" t="e">
        <f t="shared" ca="1" si="91"/>
        <v>#REF!</v>
      </c>
      <c r="DG24" t="e">
        <f t="shared" ca="1" si="92"/>
        <v>#REF!</v>
      </c>
      <c r="DH24" t="e">
        <f t="shared" ca="1" si="93"/>
        <v>#REF!</v>
      </c>
      <c r="DI24" t="e">
        <f t="shared" ca="1" si="94"/>
        <v>#REF!</v>
      </c>
      <c r="DJ24" t="e">
        <f t="shared" ca="1" si="95"/>
        <v>#REF!</v>
      </c>
      <c r="DK24" t="e">
        <f t="shared" ca="1" si="96"/>
        <v>#REF!</v>
      </c>
    </row>
    <row r="25" spans="1:115" ht="14.45" x14ac:dyDescent="0.3">
      <c r="A25">
        <f>verzamelblad!A25</f>
        <v>21</v>
      </c>
      <c r="B25" s="21"/>
      <c r="C25" s="39"/>
      <c r="D25" s="39"/>
      <c r="E25" s="39"/>
      <c r="F25" s="39"/>
      <c r="G25" s="39"/>
      <c r="H25" s="39"/>
      <c r="I25" s="39"/>
      <c r="J25" s="39"/>
      <c r="K25" s="39"/>
      <c r="L25" s="38"/>
      <c r="M25" s="38"/>
      <c r="N25" s="38"/>
      <c r="O25" s="38"/>
      <c r="P25" s="39"/>
      <c r="Q25" s="214"/>
      <c r="S25" s="285">
        <f t="shared" si="3"/>
        <v>0</v>
      </c>
      <c r="T25" s="285">
        <f t="shared" si="4"/>
        <v>0</v>
      </c>
      <c r="U25">
        <f t="shared" si="0"/>
        <v>22</v>
      </c>
      <c r="V25">
        <f t="shared" si="1"/>
        <v>0</v>
      </c>
      <c r="W25">
        <f t="shared" si="2"/>
        <v>0</v>
      </c>
      <c r="X25" t="e">
        <f t="shared" ca="1" si="5"/>
        <v>#REF!</v>
      </c>
      <c r="Y25" t="e">
        <f t="shared" ca="1" si="6"/>
        <v>#REF!</v>
      </c>
      <c r="Z25" t="e">
        <f t="shared" ca="1" si="7"/>
        <v>#REF!</v>
      </c>
      <c r="AA25" t="e">
        <f t="shared" ca="1" si="8"/>
        <v>#REF!</v>
      </c>
      <c r="AB25" t="e">
        <f t="shared" ca="1" si="9"/>
        <v>#REF!</v>
      </c>
      <c r="AC25" t="e">
        <f t="shared" ca="1" si="10"/>
        <v>#REF!</v>
      </c>
      <c r="AD25" t="e">
        <f t="shared" ca="1" si="11"/>
        <v>#REF!</v>
      </c>
      <c r="AE25" t="e">
        <f t="shared" ca="1" si="12"/>
        <v>#REF!</v>
      </c>
      <c r="AF25" t="e">
        <f t="shared" ca="1" si="13"/>
        <v>#REF!</v>
      </c>
      <c r="AG25" t="e">
        <f t="shared" ca="1" si="14"/>
        <v>#REF!</v>
      </c>
      <c r="AH25" t="e">
        <f t="shared" ca="1" si="15"/>
        <v>#REF!</v>
      </c>
      <c r="AI25" t="e">
        <f t="shared" ca="1" si="16"/>
        <v>#REF!</v>
      </c>
      <c r="AJ25" t="e">
        <f t="shared" ca="1" si="17"/>
        <v>#REF!</v>
      </c>
      <c r="AK25" t="e">
        <f t="shared" ca="1" si="18"/>
        <v>#REF!</v>
      </c>
      <c r="AL25" t="e">
        <f t="shared" ca="1" si="19"/>
        <v>#REF!</v>
      </c>
      <c r="AM25" t="e">
        <f t="shared" ca="1" si="20"/>
        <v>#REF!</v>
      </c>
      <c r="AN25" t="e">
        <f t="shared" ca="1" si="21"/>
        <v>#REF!</v>
      </c>
      <c r="AO25" t="e">
        <f t="shared" ca="1" si="22"/>
        <v>#REF!</v>
      </c>
      <c r="AP25" t="e">
        <f t="shared" ca="1" si="23"/>
        <v>#REF!</v>
      </c>
      <c r="AQ25" t="e">
        <f t="shared" ca="1" si="24"/>
        <v>#REF!</v>
      </c>
      <c r="AR25" t="e">
        <f t="shared" ca="1" si="25"/>
        <v>#REF!</v>
      </c>
      <c r="AS25" t="e">
        <f t="shared" ca="1" si="26"/>
        <v>#REF!</v>
      </c>
      <c r="AT25" t="e">
        <f t="shared" ca="1" si="27"/>
        <v>#REF!</v>
      </c>
      <c r="AU25" t="e">
        <f t="shared" ca="1" si="28"/>
        <v>#REF!</v>
      </c>
      <c r="AV25" t="e">
        <f t="shared" ca="1" si="29"/>
        <v>#REF!</v>
      </c>
      <c r="AW25" t="e">
        <f t="shared" ca="1" si="30"/>
        <v>#REF!</v>
      </c>
      <c r="AX25" t="e">
        <f t="shared" ca="1" si="31"/>
        <v>#REF!</v>
      </c>
      <c r="AY25" t="e">
        <f t="shared" ca="1" si="32"/>
        <v>#REF!</v>
      </c>
      <c r="AZ25" t="e">
        <f t="shared" ca="1" si="33"/>
        <v>#REF!</v>
      </c>
      <c r="BA25" t="e">
        <f t="shared" ca="1" si="34"/>
        <v>#REF!</v>
      </c>
      <c r="BB25" t="e">
        <f t="shared" ca="1" si="35"/>
        <v>#REF!</v>
      </c>
      <c r="BC25" t="e">
        <f t="shared" ca="1" si="36"/>
        <v>#REF!</v>
      </c>
      <c r="BD25" t="e">
        <f t="shared" ca="1" si="37"/>
        <v>#REF!</v>
      </c>
      <c r="BE25" t="e">
        <f t="shared" ca="1" si="38"/>
        <v>#REF!</v>
      </c>
      <c r="BF25" t="e">
        <f t="shared" ca="1" si="39"/>
        <v>#REF!</v>
      </c>
      <c r="BG25" t="e">
        <f t="shared" ca="1" si="40"/>
        <v>#REF!</v>
      </c>
      <c r="BH25" t="e">
        <f t="shared" ca="1" si="41"/>
        <v>#REF!</v>
      </c>
      <c r="BI25" t="e">
        <f t="shared" ca="1" si="42"/>
        <v>#REF!</v>
      </c>
      <c r="BJ25" t="e">
        <f t="shared" ca="1" si="43"/>
        <v>#REF!</v>
      </c>
      <c r="BK25" t="e">
        <f t="shared" ca="1" si="44"/>
        <v>#REF!</v>
      </c>
      <c r="BL25" t="e">
        <f t="shared" ca="1" si="45"/>
        <v>#REF!</v>
      </c>
      <c r="BM25" t="e">
        <f t="shared" ca="1" si="46"/>
        <v>#REF!</v>
      </c>
      <c r="BN25" t="e">
        <f t="shared" ca="1" si="47"/>
        <v>#REF!</v>
      </c>
      <c r="BO25" t="e">
        <f t="shared" ca="1" si="48"/>
        <v>#REF!</v>
      </c>
      <c r="BP25" t="e">
        <f t="shared" ca="1" si="49"/>
        <v>#REF!</v>
      </c>
      <c r="BQ25" t="e">
        <f t="shared" ca="1" si="50"/>
        <v>#REF!</v>
      </c>
      <c r="BR25" t="e">
        <f t="shared" ca="1" si="51"/>
        <v>#REF!</v>
      </c>
      <c r="BS25" t="e">
        <f t="shared" ca="1" si="52"/>
        <v>#REF!</v>
      </c>
      <c r="BT25" t="e">
        <f t="shared" ca="1" si="53"/>
        <v>#REF!</v>
      </c>
      <c r="BU25" t="e">
        <f t="shared" ca="1" si="54"/>
        <v>#REF!</v>
      </c>
      <c r="BV25" t="e">
        <f t="shared" ca="1" si="55"/>
        <v>#REF!</v>
      </c>
      <c r="BW25" t="e">
        <f t="shared" ca="1" si="56"/>
        <v>#REF!</v>
      </c>
      <c r="BX25" t="e">
        <f t="shared" ca="1" si="57"/>
        <v>#REF!</v>
      </c>
      <c r="BY25" t="e">
        <f t="shared" ca="1" si="58"/>
        <v>#REF!</v>
      </c>
      <c r="BZ25" t="e">
        <f t="shared" ca="1" si="59"/>
        <v>#REF!</v>
      </c>
      <c r="CA25" t="e">
        <f t="shared" ca="1" si="60"/>
        <v>#REF!</v>
      </c>
      <c r="CB25" t="e">
        <f t="shared" ca="1" si="61"/>
        <v>#REF!</v>
      </c>
      <c r="CC25" t="e">
        <f t="shared" ca="1" si="62"/>
        <v>#REF!</v>
      </c>
      <c r="CD25" t="e">
        <f t="shared" ca="1" si="63"/>
        <v>#REF!</v>
      </c>
      <c r="CE25" t="e">
        <f t="shared" ca="1" si="64"/>
        <v>#REF!</v>
      </c>
      <c r="CF25" t="e">
        <f t="shared" ca="1" si="65"/>
        <v>#REF!</v>
      </c>
      <c r="CG25" t="e">
        <f t="shared" ca="1" si="66"/>
        <v>#REF!</v>
      </c>
      <c r="CH25" t="e">
        <f t="shared" ca="1" si="67"/>
        <v>#REF!</v>
      </c>
      <c r="CI25" t="e">
        <f t="shared" ca="1" si="68"/>
        <v>#REF!</v>
      </c>
      <c r="CJ25" t="e">
        <f t="shared" ca="1" si="69"/>
        <v>#REF!</v>
      </c>
      <c r="CK25" t="e">
        <f t="shared" ca="1" si="70"/>
        <v>#REF!</v>
      </c>
      <c r="CL25" t="e">
        <f t="shared" ca="1" si="71"/>
        <v>#REF!</v>
      </c>
      <c r="CM25" t="e">
        <f t="shared" ca="1" si="72"/>
        <v>#REF!</v>
      </c>
      <c r="CN25" t="e">
        <f t="shared" ca="1" si="73"/>
        <v>#REF!</v>
      </c>
      <c r="CO25" t="e">
        <f t="shared" ca="1" si="74"/>
        <v>#REF!</v>
      </c>
      <c r="CP25" t="e">
        <f t="shared" ca="1" si="75"/>
        <v>#REF!</v>
      </c>
      <c r="CQ25" t="e">
        <f t="shared" ca="1" si="76"/>
        <v>#REF!</v>
      </c>
      <c r="CR25" t="e">
        <f t="shared" ca="1" si="77"/>
        <v>#REF!</v>
      </c>
      <c r="CS25" t="e">
        <f t="shared" ca="1" si="78"/>
        <v>#REF!</v>
      </c>
      <c r="CT25" t="e">
        <f t="shared" ca="1" si="79"/>
        <v>#REF!</v>
      </c>
      <c r="CU25" t="e">
        <f t="shared" ca="1" si="80"/>
        <v>#REF!</v>
      </c>
      <c r="CV25" t="e">
        <f t="shared" ca="1" si="81"/>
        <v>#REF!</v>
      </c>
      <c r="CW25" t="e">
        <f t="shared" ca="1" si="82"/>
        <v>#REF!</v>
      </c>
      <c r="CX25" t="e">
        <f t="shared" ca="1" si="83"/>
        <v>#REF!</v>
      </c>
      <c r="CY25" t="e">
        <f t="shared" ca="1" si="84"/>
        <v>#REF!</v>
      </c>
      <c r="CZ25" t="e">
        <f t="shared" ca="1" si="85"/>
        <v>#REF!</v>
      </c>
      <c r="DA25" t="e">
        <f t="shared" ca="1" si="86"/>
        <v>#REF!</v>
      </c>
      <c r="DB25" t="e">
        <f t="shared" ca="1" si="87"/>
        <v>#REF!</v>
      </c>
      <c r="DC25" t="e">
        <f t="shared" ca="1" si="88"/>
        <v>#REF!</v>
      </c>
      <c r="DD25" t="e">
        <f t="shared" ca="1" si="89"/>
        <v>#REF!</v>
      </c>
      <c r="DE25" t="e">
        <f t="shared" ca="1" si="90"/>
        <v>#REF!</v>
      </c>
      <c r="DF25" t="e">
        <f t="shared" ca="1" si="91"/>
        <v>#REF!</v>
      </c>
      <c r="DG25" t="e">
        <f t="shared" ca="1" si="92"/>
        <v>#REF!</v>
      </c>
      <c r="DH25" t="e">
        <f t="shared" ca="1" si="93"/>
        <v>#REF!</v>
      </c>
      <c r="DI25" t="e">
        <f t="shared" ca="1" si="94"/>
        <v>#REF!</v>
      </c>
      <c r="DJ25" t="e">
        <f t="shared" ca="1" si="95"/>
        <v>#REF!</v>
      </c>
      <c r="DK25" t="e">
        <f t="shared" ca="1" si="96"/>
        <v>#REF!</v>
      </c>
    </row>
    <row r="26" spans="1:115" ht="14.45" x14ac:dyDescent="0.3">
      <c r="A26">
        <f>verzamelblad!A26</f>
        <v>22</v>
      </c>
      <c r="B26" s="21"/>
      <c r="C26" s="39"/>
      <c r="D26" s="39"/>
      <c r="E26" s="39"/>
      <c r="F26" s="39"/>
      <c r="G26" s="39"/>
      <c r="H26" s="39"/>
      <c r="I26" s="39"/>
      <c r="J26" s="39"/>
      <c r="K26" s="39"/>
      <c r="L26" s="38"/>
      <c r="M26" s="38"/>
      <c r="N26" s="38"/>
      <c r="O26" s="38"/>
      <c r="P26" s="39"/>
      <c r="Q26" s="214"/>
      <c r="S26" s="285">
        <f t="shared" si="3"/>
        <v>0</v>
      </c>
      <c r="T26" s="285">
        <f t="shared" si="4"/>
        <v>0</v>
      </c>
      <c r="U26">
        <f t="shared" si="0"/>
        <v>22</v>
      </c>
      <c r="V26">
        <f t="shared" si="1"/>
        <v>0</v>
      </c>
      <c r="W26">
        <f t="shared" si="2"/>
        <v>0</v>
      </c>
      <c r="X26" t="e">
        <f t="shared" ca="1" si="5"/>
        <v>#REF!</v>
      </c>
      <c r="Y26" t="e">
        <f t="shared" ca="1" si="6"/>
        <v>#REF!</v>
      </c>
      <c r="Z26" t="e">
        <f t="shared" ca="1" si="7"/>
        <v>#REF!</v>
      </c>
      <c r="AA26" t="e">
        <f t="shared" ca="1" si="8"/>
        <v>#REF!</v>
      </c>
      <c r="AB26" t="e">
        <f t="shared" ca="1" si="9"/>
        <v>#REF!</v>
      </c>
      <c r="AC26" t="e">
        <f t="shared" ca="1" si="10"/>
        <v>#REF!</v>
      </c>
      <c r="AD26" t="e">
        <f t="shared" ca="1" si="11"/>
        <v>#REF!</v>
      </c>
      <c r="AE26" t="e">
        <f t="shared" ca="1" si="12"/>
        <v>#REF!</v>
      </c>
      <c r="AF26" t="e">
        <f t="shared" ca="1" si="13"/>
        <v>#REF!</v>
      </c>
      <c r="AG26" t="e">
        <f t="shared" ca="1" si="14"/>
        <v>#REF!</v>
      </c>
      <c r="AH26" t="e">
        <f t="shared" ca="1" si="15"/>
        <v>#REF!</v>
      </c>
      <c r="AI26" t="e">
        <f t="shared" ca="1" si="16"/>
        <v>#REF!</v>
      </c>
      <c r="AJ26" t="e">
        <f t="shared" ca="1" si="17"/>
        <v>#REF!</v>
      </c>
      <c r="AK26" t="e">
        <f t="shared" ca="1" si="18"/>
        <v>#REF!</v>
      </c>
      <c r="AL26" t="e">
        <f t="shared" ca="1" si="19"/>
        <v>#REF!</v>
      </c>
      <c r="AM26" t="e">
        <f t="shared" ca="1" si="20"/>
        <v>#REF!</v>
      </c>
      <c r="AN26" t="e">
        <f t="shared" ca="1" si="21"/>
        <v>#REF!</v>
      </c>
      <c r="AO26" t="e">
        <f t="shared" ca="1" si="22"/>
        <v>#REF!</v>
      </c>
      <c r="AP26" t="e">
        <f t="shared" ca="1" si="23"/>
        <v>#REF!</v>
      </c>
      <c r="AQ26" t="e">
        <f t="shared" ca="1" si="24"/>
        <v>#REF!</v>
      </c>
      <c r="AR26" t="e">
        <f t="shared" ca="1" si="25"/>
        <v>#REF!</v>
      </c>
      <c r="AS26" t="e">
        <f t="shared" ca="1" si="26"/>
        <v>#REF!</v>
      </c>
      <c r="AT26" t="e">
        <f t="shared" ca="1" si="27"/>
        <v>#REF!</v>
      </c>
      <c r="AU26" t="e">
        <f t="shared" ca="1" si="28"/>
        <v>#REF!</v>
      </c>
      <c r="AV26" t="e">
        <f t="shared" ca="1" si="29"/>
        <v>#REF!</v>
      </c>
      <c r="AW26" t="e">
        <f t="shared" ca="1" si="30"/>
        <v>#REF!</v>
      </c>
      <c r="AX26" t="e">
        <f t="shared" ca="1" si="31"/>
        <v>#REF!</v>
      </c>
      <c r="AY26" t="e">
        <f t="shared" ca="1" si="32"/>
        <v>#REF!</v>
      </c>
      <c r="AZ26" t="e">
        <f t="shared" ca="1" si="33"/>
        <v>#REF!</v>
      </c>
      <c r="BA26" t="e">
        <f t="shared" ca="1" si="34"/>
        <v>#REF!</v>
      </c>
      <c r="BB26" t="e">
        <f t="shared" ca="1" si="35"/>
        <v>#REF!</v>
      </c>
      <c r="BC26" t="e">
        <f t="shared" ca="1" si="36"/>
        <v>#REF!</v>
      </c>
      <c r="BD26" t="e">
        <f t="shared" ca="1" si="37"/>
        <v>#REF!</v>
      </c>
      <c r="BE26" t="e">
        <f t="shared" ca="1" si="38"/>
        <v>#REF!</v>
      </c>
      <c r="BF26" t="e">
        <f t="shared" ca="1" si="39"/>
        <v>#REF!</v>
      </c>
      <c r="BG26" t="e">
        <f t="shared" ca="1" si="40"/>
        <v>#REF!</v>
      </c>
      <c r="BH26" t="e">
        <f t="shared" ca="1" si="41"/>
        <v>#REF!</v>
      </c>
      <c r="BI26" t="e">
        <f t="shared" ca="1" si="42"/>
        <v>#REF!</v>
      </c>
      <c r="BJ26" t="e">
        <f t="shared" ca="1" si="43"/>
        <v>#REF!</v>
      </c>
      <c r="BK26" t="e">
        <f t="shared" ca="1" si="44"/>
        <v>#REF!</v>
      </c>
      <c r="BL26" t="e">
        <f t="shared" ca="1" si="45"/>
        <v>#REF!</v>
      </c>
      <c r="BM26" t="e">
        <f t="shared" ca="1" si="46"/>
        <v>#REF!</v>
      </c>
      <c r="BN26" t="e">
        <f t="shared" ca="1" si="47"/>
        <v>#REF!</v>
      </c>
      <c r="BO26" t="e">
        <f t="shared" ca="1" si="48"/>
        <v>#REF!</v>
      </c>
      <c r="BP26" t="e">
        <f t="shared" ca="1" si="49"/>
        <v>#REF!</v>
      </c>
      <c r="BQ26" t="e">
        <f t="shared" ca="1" si="50"/>
        <v>#REF!</v>
      </c>
      <c r="BR26" t="e">
        <f t="shared" ca="1" si="51"/>
        <v>#REF!</v>
      </c>
      <c r="BS26" t="e">
        <f t="shared" ca="1" si="52"/>
        <v>#REF!</v>
      </c>
      <c r="BT26" t="e">
        <f t="shared" ca="1" si="53"/>
        <v>#REF!</v>
      </c>
      <c r="BU26" t="e">
        <f t="shared" ca="1" si="54"/>
        <v>#REF!</v>
      </c>
      <c r="BV26" t="e">
        <f t="shared" ca="1" si="55"/>
        <v>#REF!</v>
      </c>
      <c r="BW26" t="e">
        <f t="shared" ca="1" si="56"/>
        <v>#REF!</v>
      </c>
      <c r="BX26" t="e">
        <f t="shared" ca="1" si="57"/>
        <v>#REF!</v>
      </c>
      <c r="BY26" t="e">
        <f t="shared" ca="1" si="58"/>
        <v>#REF!</v>
      </c>
      <c r="BZ26" t="e">
        <f t="shared" ca="1" si="59"/>
        <v>#REF!</v>
      </c>
      <c r="CA26" t="e">
        <f t="shared" ca="1" si="60"/>
        <v>#REF!</v>
      </c>
      <c r="CB26" t="e">
        <f t="shared" ca="1" si="61"/>
        <v>#REF!</v>
      </c>
      <c r="CC26" t="e">
        <f t="shared" ca="1" si="62"/>
        <v>#REF!</v>
      </c>
      <c r="CD26" t="e">
        <f t="shared" ca="1" si="63"/>
        <v>#REF!</v>
      </c>
      <c r="CE26" t="e">
        <f t="shared" ca="1" si="64"/>
        <v>#REF!</v>
      </c>
      <c r="CF26" t="e">
        <f t="shared" ca="1" si="65"/>
        <v>#REF!</v>
      </c>
      <c r="CG26" t="e">
        <f t="shared" ca="1" si="66"/>
        <v>#REF!</v>
      </c>
      <c r="CH26" t="e">
        <f t="shared" ca="1" si="67"/>
        <v>#REF!</v>
      </c>
      <c r="CI26" t="e">
        <f t="shared" ca="1" si="68"/>
        <v>#REF!</v>
      </c>
      <c r="CJ26" t="e">
        <f t="shared" ca="1" si="69"/>
        <v>#REF!</v>
      </c>
      <c r="CK26" t="e">
        <f t="shared" ca="1" si="70"/>
        <v>#REF!</v>
      </c>
      <c r="CL26" t="e">
        <f t="shared" ca="1" si="71"/>
        <v>#REF!</v>
      </c>
      <c r="CM26" t="e">
        <f t="shared" ca="1" si="72"/>
        <v>#REF!</v>
      </c>
      <c r="CN26" t="e">
        <f t="shared" ca="1" si="73"/>
        <v>#REF!</v>
      </c>
      <c r="CO26" t="e">
        <f t="shared" ca="1" si="74"/>
        <v>#REF!</v>
      </c>
      <c r="CP26" t="e">
        <f t="shared" ca="1" si="75"/>
        <v>#REF!</v>
      </c>
      <c r="CQ26" t="e">
        <f t="shared" ca="1" si="76"/>
        <v>#REF!</v>
      </c>
      <c r="CR26" t="e">
        <f t="shared" ca="1" si="77"/>
        <v>#REF!</v>
      </c>
      <c r="CS26" t="e">
        <f t="shared" ca="1" si="78"/>
        <v>#REF!</v>
      </c>
      <c r="CT26" t="e">
        <f t="shared" ca="1" si="79"/>
        <v>#REF!</v>
      </c>
      <c r="CU26" t="e">
        <f t="shared" ca="1" si="80"/>
        <v>#REF!</v>
      </c>
      <c r="CV26" t="e">
        <f t="shared" ca="1" si="81"/>
        <v>#REF!</v>
      </c>
      <c r="CW26" t="e">
        <f t="shared" ca="1" si="82"/>
        <v>#REF!</v>
      </c>
      <c r="CX26" t="e">
        <f t="shared" ca="1" si="83"/>
        <v>#REF!</v>
      </c>
      <c r="CY26" t="e">
        <f t="shared" ca="1" si="84"/>
        <v>#REF!</v>
      </c>
      <c r="CZ26" t="e">
        <f t="shared" ca="1" si="85"/>
        <v>#REF!</v>
      </c>
      <c r="DA26" t="e">
        <f t="shared" ca="1" si="86"/>
        <v>#REF!</v>
      </c>
      <c r="DB26" t="e">
        <f t="shared" ca="1" si="87"/>
        <v>#REF!</v>
      </c>
      <c r="DC26" t="e">
        <f t="shared" ca="1" si="88"/>
        <v>#REF!</v>
      </c>
      <c r="DD26" t="e">
        <f t="shared" ca="1" si="89"/>
        <v>#REF!</v>
      </c>
      <c r="DE26" t="e">
        <f t="shared" ca="1" si="90"/>
        <v>#REF!</v>
      </c>
      <c r="DF26" t="e">
        <f t="shared" ca="1" si="91"/>
        <v>#REF!</v>
      </c>
      <c r="DG26" t="e">
        <f t="shared" ca="1" si="92"/>
        <v>#REF!</v>
      </c>
      <c r="DH26" t="e">
        <f t="shared" ca="1" si="93"/>
        <v>#REF!</v>
      </c>
      <c r="DI26" t="e">
        <f t="shared" ca="1" si="94"/>
        <v>#REF!</v>
      </c>
      <c r="DJ26" t="e">
        <f t="shared" ca="1" si="95"/>
        <v>#REF!</v>
      </c>
      <c r="DK26" t="e">
        <f t="shared" ca="1" si="96"/>
        <v>#REF!</v>
      </c>
    </row>
    <row r="27" spans="1:115" ht="14.45" x14ac:dyDescent="0.3">
      <c r="A27">
        <f>verzamelblad!A27</f>
        <v>23</v>
      </c>
      <c r="B27" s="21"/>
      <c r="C27" s="39"/>
      <c r="D27" s="39"/>
      <c r="E27" s="39"/>
      <c r="F27" s="39"/>
      <c r="G27" s="39"/>
      <c r="H27" s="39"/>
      <c r="I27" s="39"/>
      <c r="J27" s="39"/>
      <c r="K27" s="39"/>
      <c r="L27" s="38"/>
      <c r="M27" s="38"/>
      <c r="N27" s="38"/>
      <c r="O27" s="38"/>
      <c r="P27" s="39"/>
      <c r="Q27" s="214"/>
      <c r="S27" s="285">
        <f t="shared" si="3"/>
        <v>0</v>
      </c>
      <c r="T27" s="285">
        <f t="shared" si="4"/>
        <v>0</v>
      </c>
      <c r="U27">
        <f t="shared" si="0"/>
        <v>22</v>
      </c>
      <c r="V27">
        <f t="shared" si="1"/>
        <v>0</v>
      </c>
      <c r="W27">
        <f t="shared" si="2"/>
        <v>0</v>
      </c>
      <c r="X27" t="e">
        <f t="shared" ca="1" si="5"/>
        <v>#REF!</v>
      </c>
      <c r="Y27" t="e">
        <f t="shared" ca="1" si="6"/>
        <v>#REF!</v>
      </c>
      <c r="Z27" t="e">
        <f t="shared" ca="1" si="7"/>
        <v>#REF!</v>
      </c>
      <c r="AA27" t="e">
        <f t="shared" ca="1" si="8"/>
        <v>#REF!</v>
      </c>
      <c r="AB27" t="e">
        <f t="shared" ca="1" si="9"/>
        <v>#REF!</v>
      </c>
      <c r="AC27" t="e">
        <f t="shared" ca="1" si="10"/>
        <v>#REF!</v>
      </c>
      <c r="AD27" t="e">
        <f t="shared" ca="1" si="11"/>
        <v>#REF!</v>
      </c>
      <c r="AE27" t="e">
        <f t="shared" ca="1" si="12"/>
        <v>#REF!</v>
      </c>
      <c r="AF27" t="e">
        <f t="shared" ca="1" si="13"/>
        <v>#REF!</v>
      </c>
      <c r="AG27" t="e">
        <f t="shared" ca="1" si="14"/>
        <v>#REF!</v>
      </c>
      <c r="AH27" t="e">
        <f t="shared" ca="1" si="15"/>
        <v>#REF!</v>
      </c>
      <c r="AI27" t="e">
        <f t="shared" ca="1" si="16"/>
        <v>#REF!</v>
      </c>
      <c r="AJ27" t="e">
        <f t="shared" ca="1" si="17"/>
        <v>#REF!</v>
      </c>
      <c r="AK27" t="e">
        <f t="shared" ca="1" si="18"/>
        <v>#REF!</v>
      </c>
      <c r="AL27" t="e">
        <f t="shared" ca="1" si="19"/>
        <v>#REF!</v>
      </c>
      <c r="AM27" t="e">
        <f t="shared" ca="1" si="20"/>
        <v>#REF!</v>
      </c>
      <c r="AN27" t="e">
        <f t="shared" ca="1" si="21"/>
        <v>#REF!</v>
      </c>
      <c r="AO27" t="e">
        <f t="shared" ca="1" si="22"/>
        <v>#REF!</v>
      </c>
      <c r="AP27" t="e">
        <f t="shared" ca="1" si="23"/>
        <v>#REF!</v>
      </c>
      <c r="AQ27" t="e">
        <f t="shared" ca="1" si="24"/>
        <v>#REF!</v>
      </c>
      <c r="AR27" t="e">
        <f t="shared" ca="1" si="25"/>
        <v>#REF!</v>
      </c>
      <c r="AS27" t="e">
        <f t="shared" ca="1" si="26"/>
        <v>#REF!</v>
      </c>
      <c r="AT27" t="e">
        <f t="shared" ca="1" si="27"/>
        <v>#REF!</v>
      </c>
      <c r="AU27" t="e">
        <f t="shared" ca="1" si="28"/>
        <v>#REF!</v>
      </c>
      <c r="AV27" t="e">
        <f t="shared" ca="1" si="29"/>
        <v>#REF!</v>
      </c>
      <c r="AW27" t="e">
        <f t="shared" ca="1" si="30"/>
        <v>#REF!</v>
      </c>
      <c r="AX27" t="e">
        <f t="shared" ca="1" si="31"/>
        <v>#REF!</v>
      </c>
      <c r="AY27" t="e">
        <f t="shared" ca="1" si="32"/>
        <v>#REF!</v>
      </c>
      <c r="AZ27" t="e">
        <f t="shared" ca="1" si="33"/>
        <v>#REF!</v>
      </c>
      <c r="BA27" t="e">
        <f t="shared" ca="1" si="34"/>
        <v>#REF!</v>
      </c>
      <c r="BB27" t="e">
        <f t="shared" ca="1" si="35"/>
        <v>#REF!</v>
      </c>
      <c r="BC27" t="e">
        <f t="shared" ca="1" si="36"/>
        <v>#REF!</v>
      </c>
      <c r="BD27" t="e">
        <f t="shared" ca="1" si="37"/>
        <v>#REF!</v>
      </c>
      <c r="BE27" t="e">
        <f t="shared" ca="1" si="38"/>
        <v>#REF!</v>
      </c>
      <c r="BF27" t="e">
        <f t="shared" ca="1" si="39"/>
        <v>#REF!</v>
      </c>
      <c r="BG27" t="e">
        <f t="shared" ca="1" si="40"/>
        <v>#REF!</v>
      </c>
      <c r="BH27" t="e">
        <f t="shared" ca="1" si="41"/>
        <v>#REF!</v>
      </c>
      <c r="BI27" t="e">
        <f t="shared" ca="1" si="42"/>
        <v>#REF!</v>
      </c>
      <c r="BJ27" t="e">
        <f t="shared" ca="1" si="43"/>
        <v>#REF!</v>
      </c>
      <c r="BK27" t="e">
        <f t="shared" ca="1" si="44"/>
        <v>#REF!</v>
      </c>
      <c r="BL27" t="e">
        <f t="shared" ca="1" si="45"/>
        <v>#REF!</v>
      </c>
      <c r="BM27" t="e">
        <f t="shared" ca="1" si="46"/>
        <v>#REF!</v>
      </c>
      <c r="BN27" t="e">
        <f t="shared" ca="1" si="47"/>
        <v>#REF!</v>
      </c>
      <c r="BO27" t="e">
        <f t="shared" ca="1" si="48"/>
        <v>#REF!</v>
      </c>
      <c r="BP27" t="e">
        <f t="shared" ca="1" si="49"/>
        <v>#REF!</v>
      </c>
      <c r="BQ27" t="e">
        <f t="shared" ca="1" si="50"/>
        <v>#REF!</v>
      </c>
      <c r="BR27" t="e">
        <f t="shared" ca="1" si="51"/>
        <v>#REF!</v>
      </c>
      <c r="BS27" t="e">
        <f t="shared" ca="1" si="52"/>
        <v>#REF!</v>
      </c>
      <c r="BT27" t="e">
        <f t="shared" ca="1" si="53"/>
        <v>#REF!</v>
      </c>
      <c r="BU27" t="e">
        <f t="shared" ca="1" si="54"/>
        <v>#REF!</v>
      </c>
      <c r="BV27" t="e">
        <f t="shared" ca="1" si="55"/>
        <v>#REF!</v>
      </c>
      <c r="BW27" t="e">
        <f t="shared" ca="1" si="56"/>
        <v>#REF!</v>
      </c>
      <c r="BX27" t="e">
        <f t="shared" ca="1" si="57"/>
        <v>#REF!</v>
      </c>
      <c r="BY27" t="e">
        <f t="shared" ca="1" si="58"/>
        <v>#REF!</v>
      </c>
      <c r="BZ27" t="e">
        <f t="shared" ca="1" si="59"/>
        <v>#REF!</v>
      </c>
      <c r="CA27" t="e">
        <f t="shared" ca="1" si="60"/>
        <v>#REF!</v>
      </c>
      <c r="CB27" t="e">
        <f t="shared" ca="1" si="61"/>
        <v>#REF!</v>
      </c>
      <c r="CC27" t="e">
        <f t="shared" ca="1" si="62"/>
        <v>#REF!</v>
      </c>
      <c r="CD27" t="e">
        <f t="shared" ca="1" si="63"/>
        <v>#REF!</v>
      </c>
      <c r="CE27" t="e">
        <f t="shared" ca="1" si="64"/>
        <v>#REF!</v>
      </c>
      <c r="CF27" t="e">
        <f t="shared" ca="1" si="65"/>
        <v>#REF!</v>
      </c>
      <c r="CG27" t="e">
        <f t="shared" ca="1" si="66"/>
        <v>#REF!</v>
      </c>
      <c r="CH27" t="e">
        <f t="shared" ca="1" si="67"/>
        <v>#REF!</v>
      </c>
      <c r="CI27" t="e">
        <f t="shared" ca="1" si="68"/>
        <v>#REF!</v>
      </c>
      <c r="CJ27" t="e">
        <f t="shared" ca="1" si="69"/>
        <v>#REF!</v>
      </c>
      <c r="CK27" t="e">
        <f t="shared" ca="1" si="70"/>
        <v>#REF!</v>
      </c>
      <c r="CL27" t="e">
        <f t="shared" ca="1" si="71"/>
        <v>#REF!</v>
      </c>
      <c r="CM27" t="e">
        <f t="shared" ca="1" si="72"/>
        <v>#REF!</v>
      </c>
      <c r="CN27" t="e">
        <f t="shared" ca="1" si="73"/>
        <v>#REF!</v>
      </c>
      <c r="CO27" t="e">
        <f t="shared" ca="1" si="74"/>
        <v>#REF!</v>
      </c>
      <c r="CP27" t="e">
        <f t="shared" ca="1" si="75"/>
        <v>#REF!</v>
      </c>
      <c r="CQ27" t="e">
        <f t="shared" ca="1" si="76"/>
        <v>#REF!</v>
      </c>
      <c r="CR27" t="e">
        <f t="shared" ca="1" si="77"/>
        <v>#REF!</v>
      </c>
      <c r="CS27" t="e">
        <f t="shared" ca="1" si="78"/>
        <v>#REF!</v>
      </c>
      <c r="CT27" t="e">
        <f t="shared" ca="1" si="79"/>
        <v>#REF!</v>
      </c>
      <c r="CU27" t="e">
        <f t="shared" ca="1" si="80"/>
        <v>#REF!</v>
      </c>
      <c r="CV27" t="e">
        <f t="shared" ca="1" si="81"/>
        <v>#REF!</v>
      </c>
      <c r="CW27" t="e">
        <f t="shared" ca="1" si="82"/>
        <v>#REF!</v>
      </c>
      <c r="CX27" t="e">
        <f t="shared" ca="1" si="83"/>
        <v>#REF!</v>
      </c>
      <c r="CY27" t="e">
        <f t="shared" ca="1" si="84"/>
        <v>#REF!</v>
      </c>
      <c r="CZ27" t="e">
        <f t="shared" ca="1" si="85"/>
        <v>#REF!</v>
      </c>
      <c r="DA27" t="e">
        <f t="shared" ca="1" si="86"/>
        <v>#REF!</v>
      </c>
      <c r="DB27" t="e">
        <f t="shared" ca="1" si="87"/>
        <v>#REF!</v>
      </c>
      <c r="DC27" t="e">
        <f t="shared" ca="1" si="88"/>
        <v>#REF!</v>
      </c>
      <c r="DD27" t="e">
        <f t="shared" ca="1" si="89"/>
        <v>#REF!</v>
      </c>
      <c r="DE27" t="e">
        <f t="shared" ca="1" si="90"/>
        <v>#REF!</v>
      </c>
      <c r="DF27" t="e">
        <f t="shared" ca="1" si="91"/>
        <v>#REF!</v>
      </c>
      <c r="DG27" t="e">
        <f t="shared" ca="1" si="92"/>
        <v>#REF!</v>
      </c>
      <c r="DH27" t="e">
        <f t="shared" ca="1" si="93"/>
        <v>#REF!</v>
      </c>
      <c r="DI27" t="e">
        <f t="shared" ca="1" si="94"/>
        <v>#REF!</v>
      </c>
      <c r="DJ27" t="e">
        <f t="shared" ca="1" si="95"/>
        <v>#REF!</v>
      </c>
      <c r="DK27" t="e">
        <f t="shared" ca="1" si="96"/>
        <v>#REF!</v>
      </c>
    </row>
    <row r="28" spans="1:115" ht="14.45" x14ac:dyDescent="0.3">
      <c r="A28">
        <f>verzamelblad!A28</f>
        <v>24</v>
      </c>
      <c r="B28" s="21"/>
      <c r="C28" s="39"/>
      <c r="D28" s="39"/>
      <c r="E28" s="39"/>
      <c r="F28" s="39"/>
      <c r="G28" s="39"/>
      <c r="H28" s="39"/>
      <c r="I28" s="39"/>
      <c r="J28" s="39"/>
      <c r="K28" s="39"/>
      <c r="L28" s="38"/>
      <c r="M28" s="38"/>
      <c r="N28" s="38"/>
      <c r="O28" s="38"/>
      <c r="P28" s="39"/>
      <c r="Q28" s="214"/>
      <c r="S28" s="285">
        <f t="shared" si="3"/>
        <v>0</v>
      </c>
      <c r="T28" s="285">
        <f t="shared" si="4"/>
        <v>0</v>
      </c>
      <c r="U28">
        <f t="shared" si="0"/>
        <v>22</v>
      </c>
      <c r="V28">
        <f t="shared" si="1"/>
        <v>0</v>
      </c>
      <c r="W28">
        <f t="shared" si="2"/>
        <v>0</v>
      </c>
      <c r="X28" t="e">
        <f t="shared" ca="1" si="5"/>
        <v>#REF!</v>
      </c>
      <c r="Y28" t="e">
        <f t="shared" ca="1" si="6"/>
        <v>#REF!</v>
      </c>
      <c r="Z28" t="e">
        <f t="shared" ca="1" si="7"/>
        <v>#REF!</v>
      </c>
      <c r="AA28" t="e">
        <f t="shared" ca="1" si="8"/>
        <v>#REF!</v>
      </c>
      <c r="AB28" t="e">
        <f t="shared" ca="1" si="9"/>
        <v>#REF!</v>
      </c>
      <c r="AC28" t="e">
        <f t="shared" ca="1" si="10"/>
        <v>#REF!</v>
      </c>
      <c r="AD28" t="e">
        <f t="shared" ca="1" si="11"/>
        <v>#REF!</v>
      </c>
      <c r="AE28" t="e">
        <f t="shared" ca="1" si="12"/>
        <v>#REF!</v>
      </c>
      <c r="AF28" t="e">
        <f t="shared" ca="1" si="13"/>
        <v>#REF!</v>
      </c>
      <c r="AG28" t="e">
        <f t="shared" ca="1" si="14"/>
        <v>#REF!</v>
      </c>
      <c r="AH28" t="e">
        <f t="shared" ca="1" si="15"/>
        <v>#REF!</v>
      </c>
      <c r="AI28" t="e">
        <f t="shared" ca="1" si="16"/>
        <v>#REF!</v>
      </c>
      <c r="AJ28" t="e">
        <f t="shared" ca="1" si="17"/>
        <v>#REF!</v>
      </c>
      <c r="AK28" t="e">
        <f t="shared" ca="1" si="18"/>
        <v>#REF!</v>
      </c>
      <c r="AL28" t="e">
        <f t="shared" ca="1" si="19"/>
        <v>#REF!</v>
      </c>
      <c r="AM28" t="e">
        <f t="shared" ca="1" si="20"/>
        <v>#REF!</v>
      </c>
      <c r="AN28" t="e">
        <f t="shared" ca="1" si="21"/>
        <v>#REF!</v>
      </c>
      <c r="AO28" t="e">
        <f t="shared" ca="1" si="22"/>
        <v>#REF!</v>
      </c>
      <c r="AP28" t="e">
        <f t="shared" ca="1" si="23"/>
        <v>#REF!</v>
      </c>
      <c r="AQ28" t="e">
        <f t="shared" ca="1" si="24"/>
        <v>#REF!</v>
      </c>
      <c r="AR28" t="e">
        <f t="shared" ca="1" si="25"/>
        <v>#REF!</v>
      </c>
      <c r="AS28" t="e">
        <f t="shared" ca="1" si="26"/>
        <v>#REF!</v>
      </c>
      <c r="AT28" t="e">
        <f t="shared" ca="1" si="27"/>
        <v>#REF!</v>
      </c>
      <c r="AU28" t="e">
        <f t="shared" ca="1" si="28"/>
        <v>#REF!</v>
      </c>
      <c r="AV28" t="e">
        <f t="shared" ca="1" si="29"/>
        <v>#REF!</v>
      </c>
      <c r="AW28" t="e">
        <f t="shared" ca="1" si="30"/>
        <v>#REF!</v>
      </c>
      <c r="AX28" t="e">
        <f t="shared" ca="1" si="31"/>
        <v>#REF!</v>
      </c>
      <c r="AY28" t="e">
        <f t="shared" ca="1" si="32"/>
        <v>#REF!</v>
      </c>
      <c r="AZ28" t="e">
        <f t="shared" ca="1" si="33"/>
        <v>#REF!</v>
      </c>
      <c r="BA28" t="e">
        <f t="shared" ca="1" si="34"/>
        <v>#REF!</v>
      </c>
      <c r="BB28" t="e">
        <f t="shared" ca="1" si="35"/>
        <v>#REF!</v>
      </c>
      <c r="BC28" t="e">
        <f t="shared" ca="1" si="36"/>
        <v>#REF!</v>
      </c>
      <c r="BD28" t="e">
        <f t="shared" ca="1" si="37"/>
        <v>#REF!</v>
      </c>
      <c r="BE28" t="e">
        <f t="shared" ca="1" si="38"/>
        <v>#REF!</v>
      </c>
      <c r="BF28" t="e">
        <f t="shared" ca="1" si="39"/>
        <v>#REF!</v>
      </c>
      <c r="BG28" t="e">
        <f t="shared" ca="1" si="40"/>
        <v>#REF!</v>
      </c>
      <c r="BH28" t="e">
        <f t="shared" ca="1" si="41"/>
        <v>#REF!</v>
      </c>
      <c r="BI28" t="e">
        <f t="shared" ca="1" si="42"/>
        <v>#REF!</v>
      </c>
      <c r="BJ28" t="e">
        <f t="shared" ca="1" si="43"/>
        <v>#REF!</v>
      </c>
      <c r="BK28" t="e">
        <f t="shared" ca="1" si="44"/>
        <v>#REF!</v>
      </c>
      <c r="BL28" t="e">
        <f t="shared" ca="1" si="45"/>
        <v>#REF!</v>
      </c>
      <c r="BM28" t="e">
        <f t="shared" ca="1" si="46"/>
        <v>#REF!</v>
      </c>
      <c r="BN28" t="e">
        <f t="shared" ca="1" si="47"/>
        <v>#REF!</v>
      </c>
      <c r="BO28" t="e">
        <f t="shared" ca="1" si="48"/>
        <v>#REF!</v>
      </c>
      <c r="BP28" t="e">
        <f t="shared" ca="1" si="49"/>
        <v>#REF!</v>
      </c>
      <c r="BQ28" t="e">
        <f t="shared" ca="1" si="50"/>
        <v>#REF!</v>
      </c>
      <c r="BR28" t="e">
        <f t="shared" ca="1" si="51"/>
        <v>#REF!</v>
      </c>
      <c r="BS28" t="e">
        <f t="shared" ca="1" si="52"/>
        <v>#REF!</v>
      </c>
      <c r="BT28" t="e">
        <f t="shared" ca="1" si="53"/>
        <v>#REF!</v>
      </c>
      <c r="BU28" t="e">
        <f t="shared" ca="1" si="54"/>
        <v>#REF!</v>
      </c>
      <c r="BV28" t="e">
        <f t="shared" ca="1" si="55"/>
        <v>#REF!</v>
      </c>
      <c r="BW28" t="e">
        <f t="shared" ca="1" si="56"/>
        <v>#REF!</v>
      </c>
      <c r="BX28" t="e">
        <f t="shared" ca="1" si="57"/>
        <v>#REF!</v>
      </c>
      <c r="BY28" t="e">
        <f t="shared" ca="1" si="58"/>
        <v>#REF!</v>
      </c>
      <c r="BZ28" t="e">
        <f t="shared" ca="1" si="59"/>
        <v>#REF!</v>
      </c>
      <c r="CA28" t="e">
        <f t="shared" ca="1" si="60"/>
        <v>#REF!</v>
      </c>
      <c r="CB28" t="e">
        <f t="shared" ca="1" si="61"/>
        <v>#REF!</v>
      </c>
      <c r="CC28" t="e">
        <f t="shared" ca="1" si="62"/>
        <v>#REF!</v>
      </c>
      <c r="CD28" t="e">
        <f t="shared" ca="1" si="63"/>
        <v>#REF!</v>
      </c>
      <c r="CE28" t="e">
        <f t="shared" ca="1" si="64"/>
        <v>#REF!</v>
      </c>
      <c r="CF28" t="e">
        <f t="shared" ca="1" si="65"/>
        <v>#REF!</v>
      </c>
      <c r="CG28" t="e">
        <f t="shared" ca="1" si="66"/>
        <v>#REF!</v>
      </c>
      <c r="CH28" t="e">
        <f t="shared" ca="1" si="67"/>
        <v>#REF!</v>
      </c>
      <c r="CI28" t="e">
        <f t="shared" ca="1" si="68"/>
        <v>#REF!</v>
      </c>
      <c r="CJ28" t="e">
        <f t="shared" ca="1" si="69"/>
        <v>#REF!</v>
      </c>
      <c r="CK28" t="e">
        <f t="shared" ca="1" si="70"/>
        <v>#REF!</v>
      </c>
      <c r="CL28" t="e">
        <f t="shared" ca="1" si="71"/>
        <v>#REF!</v>
      </c>
      <c r="CM28" t="e">
        <f t="shared" ca="1" si="72"/>
        <v>#REF!</v>
      </c>
      <c r="CN28" t="e">
        <f t="shared" ca="1" si="73"/>
        <v>#REF!</v>
      </c>
      <c r="CO28" t="e">
        <f t="shared" ca="1" si="74"/>
        <v>#REF!</v>
      </c>
      <c r="CP28" t="e">
        <f t="shared" ca="1" si="75"/>
        <v>#REF!</v>
      </c>
      <c r="CQ28" t="e">
        <f t="shared" ca="1" si="76"/>
        <v>#REF!</v>
      </c>
      <c r="CR28" t="e">
        <f t="shared" ca="1" si="77"/>
        <v>#REF!</v>
      </c>
      <c r="CS28" t="e">
        <f t="shared" ca="1" si="78"/>
        <v>#REF!</v>
      </c>
      <c r="CT28" t="e">
        <f t="shared" ca="1" si="79"/>
        <v>#REF!</v>
      </c>
      <c r="CU28" t="e">
        <f t="shared" ca="1" si="80"/>
        <v>#REF!</v>
      </c>
      <c r="CV28" t="e">
        <f t="shared" ca="1" si="81"/>
        <v>#REF!</v>
      </c>
      <c r="CW28" t="e">
        <f t="shared" ca="1" si="82"/>
        <v>#REF!</v>
      </c>
      <c r="CX28" t="e">
        <f t="shared" ca="1" si="83"/>
        <v>#REF!</v>
      </c>
      <c r="CY28" t="e">
        <f t="shared" ca="1" si="84"/>
        <v>#REF!</v>
      </c>
      <c r="CZ28" t="e">
        <f t="shared" ca="1" si="85"/>
        <v>#REF!</v>
      </c>
      <c r="DA28" t="e">
        <f t="shared" ca="1" si="86"/>
        <v>#REF!</v>
      </c>
      <c r="DB28" t="e">
        <f t="shared" ca="1" si="87"/>
        <v>#REF!</v>
      </c>
      <c r="DC28" t="e">
        <f t="shared" ca="1" si="88"/>
        <v>#REF!</v>
      </c>
      <c r="DD28" t="e">
        <f t="shared" ca="1" si="89"/>
        <v>#REF!</v>
      </c>
      <c r="DE28" t="e">
        <f t="shared" ca="1" si="90"/>
        <v>#REF!</v>
      </c>
      <c r="DF28" t="e">
        <f t="shared" ca="1" si="91"/>
        <v>#REF!</v>
      </c>
      <c r="DG28" t="e">
        <f t="shared" ca="1" si="92"/>
        <v>#REF!</v>
      </c>
      <c r="DH28" t="e">
        <f t="shared" ca="1" si="93"/>
        <v>#REF!</v>
      </c>
      <c r="DI28" t="e">
        <f t="shared" ca="1" si="94"/>
        <v>#REF!</v>
      </c>
      <c r="DJ28" t="e">
        <f t="shared" ca="1" si="95"/>
        <v>#REF!</v>
      </c>
      <c r="DK28" t="e">
        <f t="shared" ca="1" si="96"/>
        <v>#REF!</v>
      </c>
    </row>
    <row r="29" spans="1:115" ht="14.45" x14ac:dyDescent="0.3">
      <c r="A29">
        <f>verzamelblad!A29</f>
        <v>25</v>
      </c>
      <c r="B29" s="21"/>
      <c r="C29" s="39"/>
      <c r="D29" s="39"/>
      <c r="E29" s="39"/>
      <c r="F29" s="39"/>
      <c r="G29" s="39"/>
      <c r="H29" s="39"/>
      <c r="I29" s="39"/>
      <c r="J29" s="39"/>
      <c r="K29" s="39"/>
      <c r="L29" s="38"/>
      <c r="M29" s="38"/>
      <c r="N29" s="38"/>
      <c r="O29" s="38"/>
      <c r="P29" s="39"/>
      <c r="Q29" s="214"/>
      <c r="S29" s="285">
        <f t="shared" si="3"/>
        <v>0</v>
      </c>
      <c r="T29" s="285">
        <f t="shared" si="4"/>
        <v>0</v>
      </c>
      <c r="U29">
        <f t="shared" si="0"/>
        <v>22</v>
      </c>
      <c r="V29">
        <f t="shared" si="1"/>
        <v>0</v>
      </c>
      <c r="W29">
        <f t="shared" si="2"/>
        <v>0</v>
      </c>
      <c r="X29" t="e">
        <f t="shared" ca="1" si="5"/>
        <v>#REF!</v>
      </c>
      <c r="Y29" t="e">
        <f t="shared" ca="1" si="6"/>
        <v>#REF!</v>
      </c>
      <c r="Z29" t="e">
        <f t="shared" ca="1" si="7"/>
        <v>#REF!</v>
      </c>
      <c r="AA29" t="e">
        <f t="shared" ca="1" si="8"/>
        <v>#REF!</v>
      </c>
      <c r="AB29" t="e">
        <f t="shared" ca="1" si="9"/>
        <v>#REF!</v>
      </c>
      <c r="AC29" t="e">
        <f t="shared" ca="1" si="10"/>
        <v>#REF!</v>
      </c>
      <c r="AD29" t="e">
        <f t="shared" ca="1" si="11"/>
        <v>#REF!</v>
      </c>
      <c r="AE29" t="e">
        <f t="shared" ca="1" si="12"/>
        <v>#REF!</v>
      </c>
      <c r="AF29" t="e">
        <f t="shared" ca="1" si="13"/>
        <v>#REF!</v>
      </c>
      <c r="AG29" t="e">
        <f t="shared" ca="1" si="14"/>
        <v>#REF!</v>
      </c>
      <c r="AH29" t="e">
        <f t="shared" ca="1" si="15"/>
        <v>#REF!</v>
      </c>
      <c r="AI29" t="e">
        <f t="shared" ca="1" si="16"/>
        <v>#REF!</v>
      </c>
      <c r="AJ29" t="e">
        <f t="shared" ca="1" si="17"/>
        <v>#REF!</v>
      </c>
      <c r="AK29" t="e">
        <f t="shared" ca="1" si="18"/>
        <v>#REF!</v>
      </c>
      <c r="AL29" t="e">
        <f t="shared" ca="1" si="19"/>
        <v>#REF!</v>
      </c>
      <c r="AM29" t="e">
        <f t="shared" ca="1" si="20"/>
        <v>#REF!</v>
      </c>
      <c r="AN29" t="e">
        <f t="shared" ca="1" si="21"/>
        <v>#REF!</v>
      </c>
      <c r="AO29" t="e">
        <f t="shared" ca="1" si="22"/>
        <v>#REF!</v>
      </c>
      <c r="AP29" t="e">
        <f t="shared" ca="1" si="23"/>
        <v>#REF!</v>
      </c>
      <c r="AQ29" t="e">
        <f t="shared" ca="1" si="24"/>
        <v>#REF!</v>
      </c>
      <c r="AR29" t="e">
        <f t="shared" ca="1" si="25"/>
        <v>#REF!</v>
      </c>
      <c r="AS29" t="e">
        <f t="shared" ca="1" si="26"/>
        <v>#REF!</v>
      </c>
      <c r="AT29" t="e">
        <f t="shared" ca="1" si="27"/>
        <v>#REF!</v>
      </c>
      <c r="AU29" t="e">
        <f t="shared" ca="1" si="28"/>
        <v>#REF!</v>
      </c>
      <c r="AV29" t="e">
        <f t="shared" ca="1" si="29"/>
        <v>#REF!</v>
      </c>
      <c r="AW29" t="e">
        <f t="shared" ca="1" si="30"/>
        <v>#REF!</v>
      </c>
      <c r="AX29" t="e">
        <f t="shared" ca="1" si="31"/>
        <v>#REF!</v>
      </c>
      <c r="AY29" t="e">
        <f t="shared" ca="1" si="32"/>
        <v>#REF!</v>
      </c>
      <c r="AZ29" t="e">
        <f t="shared" ca="1" si="33"/>
        <v>#REF!</v>
      </c>
      <c r="BA29" t="e">
        <f t="shared" ca="1" si="34"/>
        <v>#REF!</v>
      </c>
      <c r="BB29" t="e">
        <f t="shared" ca="1" si="35"/>
        <v>#REF!</v>
      </c>
      <c r="BC29" t="e">
        <f t="shared" ca="1" si="36"/>
        <v>#REF!</v>
      </c>
      <c r="BD29" t="e">
        <f t="shared" ca="1" si="37"/>
        <v>#REF!</v>
      </c>
      <c r="BE29" t="e">
        <f t="shared" ca="1" si="38"/>
        <v>#REF!</v>
      </c>
      <c r="BF29" t="e">
        <f t="shared" ca="1" si="39"/>
        <v>#REF!</v>
      </c>
      <c r="BG29" t="e">
        <f t="shared" ca="1" si="40"/>
        <v>#REF!</v>
      </c>
      <c r="BH29" t="e">
        <f t="shared" ca="1" si="41"/>
        <v>#REF!</v>
      </c>
      <c r="BI29" t="e">
        <f t="shared" ca="1" si="42"/>
        <v>#REF!</v>
      </c>
      <c r="BJ29" t="e">
        <f t="shared" ca="1" si="43"/>
        <v>#REF!</v>
      </c>
      <c r="BK29" t="e">
        <f t="shared" ca="1" si="44"/>
        <v>#REF!</v>
      </c>
      <c r="BL29" t="e">
        <f t="shared" ca="1" si="45"/>
        <v>#REF!</v>
      </c>
      <c r="BM29" t="e">
        <f t="shared" ca="1" si="46"/>
        <v>#REF!</v>
      </c>
      <c r="BN29" t="e">
        <f t="shared" ca="1" si="47"/>
        <v>#REF!</v>
      </c>
      <c r="BO29" t="e">
        <f t="shared" ca="1" si="48"/>
        <v>#REF!</v>
      </c>
      <c r="BP29" t="e">
        <f t="shared" ca="1" si="49"/>
        <v>#REF!</v>
      </c>
      <c r="BQ29" t="e">
        <f t="shared" ca="1" si="50"/>
        <v>#REF!</v>
      </c>
      <c r="BR29" t="e">
        <f t="shared" ca="1" si="51"/>
        <v>#REF!</v>
      </c>
      <c r="BS29" t="e">
        <f t="shared" ca="1" si="52"/>
        <v>#REF!</v>
      </c>
      <c r="BT29" t="e">
        <f t="shared" ca="1" si="53"/>
        <v>#REF!</v>
      </c>
      <c r="BU29" t="e">
        <f t="shared" ca="1" si="54"/>
        <v>#REF!</v>
      </c>
      <c r="BV29" t="e">
        <f t="shared" ca="1" si="55"/>
        <v>#REF!</v>
      </c>
      <c r="BW29" t="e">
        <f t="shared" ca="1" si="56"/>
        <v>#REF!</v>
      </c>
      <c r="BX29" t="e">
        <f t="shared" ca="1" si="57"/>
        <v>#REF!</v>
      </c>
      <c r="BY29" t="e">
        <f t="shared" ca="1" si="58"/>
        <v>#REF!</v>
      </c>
      <c r="BZ29" t="e">
        <f t="shared" ca="1" si="59"/>
        <v>#REF!</v>
      </c>
      <c r="CA29" t="e">
        <f t="shared" ca="1" si="60"/>
        <v>#REF!</v>
      </c>
      <c r="CB29" t="e">
        <f t="shared" ca="1" si="61"/>
        <v>#REF!</v>
      </c>
      <c r="CC29" t="e">
        <f t="shared" ca="1" si="62"/>
        <v>#REF!</v>
      </c>
      <c r="CD29" t="e">
        <f t="shared" ca="1" si="63"/>
        <v>#REF!</v>
      </c>
      <c r="CE29" t="e">
        <f t="shared" ca="1" si="64"/>
        <v>#REF!</v>
      </c>
      <c r="CF29" t="e">
        <f t="shared" ca="1" si="65"/>
        <v>#REF!</v>
      </c>
      <c r="CG29" t="e">
        <f t="shared" ca="1" si="66"/>
        <v>#REF!</v>
      </c>
      <c r="CH29" t="e">
        <f t="shared" ca="1" si="67"/>
        <v>#REF!</v>
      </c>
      <c r="CI29" t="e">
        <f t="shared" ca="1" si="68"/>
        <v>#REF!</v>
      </c>
      <c r="CJ29" t="e">
        <f t="shared" ca="1" si="69"/>
        <v>#REF!</v>
      </c>
      <c r="CK29" t="e">
        <f t="shared" ca="1" si="70"/>
        <v>#REF!</v>
      </c>
      <c r="CL29" t="e">
        <f t="shared" ca="1" si="71"/>
        <v>#REF!</v>
      </c>
      <c r="CM29" t="e">
        <f t="shared" ca="1" si="72"/>
        <v>#REF!</v>
      </c>
      <c r="CN29" t="e">
        <f t="shared" ca="1" si="73"/>
        <v>#REF!</v>
      </c>
      <c r="CO29" t="e">
        <f t="shared" ca="1" si="74"/>
        <v>#REF!</v>
      </c>
      <c r="CP29" t="e">
        <f t="shared" ca="1" si="75"/>
        <v>#REF!</v>
      </c>
      <c r="CQ29" t="e">
        <f t="shared" ca="1" si="76"/>
        <v>#REF!</v>
      </c>
      <c r="CR29" t="e">
        <f t="shared" ca="1" si="77"/>
        <v>#REF!</v>
      </c>
      <c r="CS29" t="e">
        <f t="shared" ca="1" si="78"/>
        <v>#REF!</v>
      </c>
      <c r="CT29" t="e">
        <f t="shared" ca="1" si="79"/>
        <v>#REF!</v>
      </c>
      <c r="CU29" t="e">
        <f t="shared" ca="1" si="80"/>
        <v>#REF!</v>
      </c>
      <c r="CV29" t="e">
        <f t="shared" ca="1" si="81"/>
        <v>#REF!</v>
      </c>
      <c r="CW29" t="e">
        <f t="shared" ca="1" si="82"/>
        <v>#REF!</v>
      </c>
      <c r="CX29" t="e">
        <f t="shared" ca="1" si="83"/>
        <v>#REF!</v>
      </c>
      <c r="CY29" t="e">
        <f t="shared" ca="1" si="84"/>
        <v>#REF!</v>
      </c>
      <c r="CZ29" t="e">
        <f t="shared" ca="1" si="85"/>
        <v>#REF!</v>
      </c>
      <c r="DA29" t="e">
        <f t="shared" ca="1" si="86"/>
        <v>#REF!</v>
      </c>
      <c r="DB29" t="e">
        <f t="shared" ca="1" si="87"/>
        <v>#REF!</v>
      </c>
      <c r="DC29" t="e">
        <f t="shared" ca="1" si="88"/>
        <v>#REF!</v>
      </c>
      <c r="DD29" t="e">
        <f t="shared" ca="1" si="89"/>
        <v>#REF!</v>
      </c>
      <c r="DE29" t="e">
        <f t="shared" ca="1" si="90"/>
        <v>#REF!</v>
      </c>
      <c r="DF29" t="e">
        <f t="shared" ca="1" si="91"/>
        <v>#REF!</v>
      </c>
      <c r="DG29" t="e">
        <f t="shared" ca="1" si="92"/>
        <v>#REF!</v>
      </c>
      <c r="DH29" t="e">
        <f t="shared" ca="1" si="93"/>
        <v>#REF!</v>
      </c>
      <c r="DI29" t="e">
        <f t="shared" ca="1" si="94"/>
        <v>#REF!</v>
      </c>
      <c r="DJ29" t="e">
        <f t="shared" ca="1" si="95"/>
        <v>#REF!</v>
      </c>
      <c r="DK29" t="e">
        <f t="shared" ca="1" si="96"/>
        <v>#REF!</v>
      </c>
    </row>
    <row r="30" spans="1:115" ht="14.45" x14ac:dyDescent="0.3">
      <c r="A30">
        <f>verzamelblad!A30</f>
        <v>26</v>
      </c>
      <c r="B30" s="21"/>
      <c r="C30" s="39"/>
      <c r="D30" s="39"/>
      <c r="E30" s="39"/>
      <c r="F30" s="39"/>
      <c r="G30" s="39"/>
      <c r="H30" s="39"/>
      <c r="I30" s="39"/>
      <c r="J30" s="39"/>
      <c r="K30" s="39"/>
      <c r="L30" s="38"/>
      <c r="M30" s="38"/>
      <c r="N30" s="38"/>
      <c r="O30" s="38"/>
      <c r="P30" s="39"/>
      <c r="Q30" s="214"/>
      <c r="S30" s="285">
        <f t="shared" si="3"/>
        <v>0</v>
      </c>
      <c r="T30" s="285">
        <f t="shared" si="4"/>
        <v>0</v>
      </c>
      <c r="U30">
        <f t="shared" si="0"/>
        <v>22</v>
      </c>
      <c r="V30">
        <f t="shared" si="1"/>
        <v>0</v>
      </c>
      <c r="W30">
        <f t="shared" si="2"/>
        <v>0</v>
      </c>
      <c r="X30" t="e">
        <f t="shared" ca="1" si="5"/>
        <v>#REF!</v>
      </c>
      <c r="Y30" t="e">
        <f t="shared" ca="1" si="6"/>
        <v>#REF!</v>
      </c>
      <c r="Z30" t="e">
        <f t="shared" ca="1" si="7"/>
        <v>#REF!</v>
      </c>
      <c r="AA30" t="e">
        <f t="shared" ca="1" si="8"/>
        <v>#REF!</v>
      </c>
      <c r="AB30" t="e">
        <f t="shared" ca="1" si="9"/>
        <v>#REF!</v>
      </c>
      <c r="AC30" t="e">
        <f t="shared" ca="1" si="10"/>
        <v>#REF!</v>
      </c>
      <c r="AD30" t="e">
        <f t="shared" ca="1" si="11"/>
        <v>#REF!</v>
      </c>
      <c r="AE30" t="e">
        <f t="shared" ca="1" si="12"/>
        <v>#REF!</v>
      </c>
      <c r="AF30" t="e">
        <f t="shared" ca="1" si="13"/>
        <v>#REF!</v>
      </c>
      <c r="AG30" t="e">
        <f t="shared" ca="1" si="14"/>
        <v>#REF!</v>
      </c>
      <c r="AH30" t="e">
        <f t="shared" ca="1" si="15"/>
        <v>#REF!</v>
      </c>
      <c r="AI30" t="e">
        <f t="shared" ca="1" si="16"/>
        <v>#REF!</v>
      </c>
      <c r="AJ30" t="e">
        <f t="shared" ca="1" si="17"/>
        <v>#REF!</v>
      </c>
      <c r="AK30" t="e">
        <f t="shared" ca="1" si="18"/>
        <v>#REF!</v>
      </c>
      <c r="AL30" t="e">
        <f t="shared" ca="1" si="19"/>
        <v>#REF!</v>
      </c>
      <c r="AM30" t="e">
        <f t="shared" ca="1" si="20"/>
        <v>#REF!</v>
      </c>
      <c r="AN30" t="e">
        <f t="shared" ca="1" si="21"/>
        <v>#REF!</v>
      </c>
      <c r="AO30" t="e">
        <f t="shared" ca="1" si="22"/>
        <v>#REF!</v>
      </c>
      <c r="AP30" t="e">
        <f t="shared" ca="1" si="23"/>
        <v>#REF!</v>
      </c>
      <c r="AQ30" t="e">
        <f t="shared" ca="1" si="24"/>
        <v>#REF!</v>
      </c>
      <c r="AR30" t="e">
        <f t="shared" ca="1" si="25"/>
        <v>#REF!</v>
      </c>
      <c r="AS30" t="e">
        <f t="shared" ca="1" si="26"/>
        <v>#REF!</v>
      </c>
      <c r="AT30" t="e">
        <f t="shared" ca="1" si="27"/>
        <v>#REF!</v>
      </c>
      <c r="AU30" t="e">
        <f t="shared" ca="1" si="28"/>
        <v>#REF!</v>
      </c>
      <c r="AV30" t="e">
        <f t="shared" ca="1" si="29"/>
        <v>#REF!</v>
      </c>
      <c r="AW30" t="e">
        <f t="shared" ca="1" si="30"/>
        <v>#REF!</v>
      </c>
      <c r="AX30" t="e">
        <f t="shared" ca="1" si="31"/>
        <v>#REF!</v>
      </c>
      <c r="AY30" t="e">
        <f t="shared" ca="1" si="32"/>
        <v>#REF!</v>
      </c>
      <c r="AZ30" t="e">
        <f t="shared" ca="1" si="33"/>
        <v>#REF!</v>
      </c>
      <c r="BA30" t="e">
        <f t="shared" ca="1" si="34"/>
        <v>#REF!</v>
      </c>
      <c r="BB30" t="e">
        <f t="shared" ca="1" si="35"/>
        <v>#REF!</v>
      </c>
      <c r="BC30" t="e">
        <f t="shared" ca="1" si="36"/>
        <v>#REF!</v>
      </c>
      <c r="BD30" t="e">
        <f t="shared" ca="1" si="37"/>
        <v>#REF!</v>
      </c>
      <c r="BE30" t="e">
        <f t="shared" ca="1" si="38"/>
        <v>#REF!</v>
      </c>
      <c r="BF30" t="e">
        <f t="shared" ca="1" si="39"/>
        <v>#REF!</v>
      </c>
      <c r="BG30" t="e">
        <f t="shared" ca="1" si="40"/>
        <v>#REF!</v>
      </c>
      <c r="BH30" t="e">
        <f t="shared" ca="1" si="41"/>
        <v>#REF!</v>
      </c>
      <c r="BI30" t="e">
        <f t="shared" ca="1" si="42"/>
        <v>#REF!</v>
      </c>
      <c r="BJ30" t="e">
        <f t="shared" ca="1" si="43"/>
        <v>#REF!</v>
      </c>
      <c r="BK30" t="e">
        <f t="shared" ca="1" si="44"/>
        <v>#REF!</v>
      </c>
      <c r="BL30" t="e">
        <f t="shared" ca="1" si="45"/>
        <v>#REF!</v>
      </c>
      <c r="BM30" t="e">
        <f t="shared" ca="1" si="46"/>
        <v>#REF!</v>
      </c>
      <c r="BN30" t="e">
        <f t="shared" ca="1" si="47"/>
        <v>#REF!</v>
      </c>
      <c r="BO30" t="e">
        <f t="shared" ca="1" si="48"/>
        <v>#REF!</v>
      </c>
      <c r="BP30" t="e">
        <f t="shared" ca="1" si="49"/>
        <v>#REF!</v>
      </c>
      <c r="BQ30" t="e">
        <f t="shared" ca="1" si="50"/>
        <v>#REF!</v>
      </c>
      <c r="BR30" t="e">
        <f t="shared" ca="1" si="51"/>
        <v>#REF!</v>
      </c>
      <c r="BS30" t="e">
        <f t="shared" ca="1" si="52"/>
        <v>#REF!</v>
      </c>
      <c r="BT30" t="e">
        <f t="shared" ca="1" si="53"/>
        <v>#REF!</v>
      </c>
      <c r="BU30" t="e">
        <f t="shared" ca="1" si="54"/>
        <v>#REF!</v>
      </c>
      <c r="BV30" t="e">
        <f t="shared" ca="1" si="55"/>
        <v>#REF!</v>
      </c>
      <c r="BW30" t="e">
        <f t="shared" ca="1" si="56"/>
        <v>#REF!</v>
      </c>
      <c r="BX30" t="e">
        <f t="shared" ca="1" si="57"/>
        <v>#REF!</v>
      </c>
      <c r="BY30" t="e">
        <f t="shared" ca="1" si="58"/>
        <v>#REF!</v>
      </c>
      <c r="BZ30" t="e">
        <f t="shared" ca="1" si="59"/>
        <v>#REF!</v>
      </c>
      <c r="CA30" t="e">
        <f t="shared" ca="1" si="60"/>
        <v>#REF!</v>
      </c>
      <c r="CB30" t="e">
        <f t="shared" ca="1" si="61"/>
        <v>#REF!</v>
      </c>
      <c r="CC30" t="e">
        <f t="shared" ca="1" si="62"/>
        <v>#REF!</v>
      </c>
      <c r="CD30" t="e">
        <f t="shared" ca="1" si="63"/>
        <v>#REF!</v>
      </c>
      <c r="CE30" t="e">
        <f t="shared" ca="1" si="64"/>
        <v>#REF!</v>
      </c>
      <c r="CF30" t="e">
        <f t="shared" ca="1" si="65"/>
        <v>#REF!</v>
      </c>
      <c r="CG30" t="e">
        <f t="shared" ca="1" si="66"/>
        <v>#REF!</v>
      </c>
      <c r="CH30" t="e">
        <f t="shared" ca="1" si="67"/>
        <v>#REF!</v>
      </c>
      <c r="CI30" t="e">
        <f t="shared" ca="1" si="68"/>
        <v>#REF!</v>
      </c>
      <c r="CJ30" t="e">
        <f t="shared" ca="1" si="69"/>
        <v>#REF!</v>
      </c>
      <c r="CK30" t="e">
        <f t="shared" ca="1" si="70"/>
        <v>#REF!</v>
      </c>
      <c r="CL30" t="e">
        <f t="shared" ca="1" si="71"/>
        <v>#REF!</v>
      </c>
      <c r="CM30" t="e">
        <f t="shared" ca="1" si="72"/>
        <v>#REF!</v>
      </c>
      <c r="CN30" t="e">
        <f t="shared" ca="1" si="73"/>
        <v>#REF!</v>
      </c>
      <c r="CO30" t="e">
        <f t="shared" ca="1" si="74"/>
        <v>#REF!</v>
      </c>
      <c r="CP30" t="e">
        <f t="shared" ca="1" si="75"/>
        <v>#REF!</v>
      </c>
      <c r="CQ30" t="e">
        <f t="shared" ca="1" si="76"/>
        <v>#REF!</v>
      </c>
      <c r="CR30" t="e">
        <f t="shared" ca="1" si="77"/>
        <v>#REF!</v>
      </c>
      <c r="CS30" t="e">
        <f t="shared" ca="1" si="78"/>
        <v>#REF!</v>
      </c>
      <c r="CT30" t="e">
        <f t="shared" ca="1" si="79"/>
        <v>#REF!</v>
      </c>
      <c r="CU30" t="e">
        <f t="shared" ca="1" si="80"/>
        <v>#REF!</v>
      </c>
      <c r="CV30" t="e">
        <f t="shared" ca="1" si="81"/>
        <v>#REF!</v>
      </c>
      <c r="CW30" t="e">
        <f t="shared" ca="1" si="82"/>
        <v>#REF!</v>
      </c>
      <c r="CX30" t="e">
        <f t="shared" ca="1" si="83"/>
        <v>#REF!</v>
      </c>
      <c r="CY30" t="e">
        <f t="shared" ca="1" si="84"/>
        <v>#REF!</v>
      </c>
      <c r="CZ30" t="e">
        <f t="shared" ca="1" si="85"/>
        <v>#REF!</v>
      </c>
      <c r="DA30" t="e">
        <f t="shared" ca="1" si="86"/>
        <v>#REF!</v>
      </c>
      <c r="DB30" t="e">
        <f t="shared" ca="1" si="87"/>
        <v>#REF!</v>
      </c>
      <c r="DC30" t="e">
        <f t="shared" ca="1" si="88"/>
        <v>#REF!</v>
      </c>
      <c r="DD30" t="e">
        <f t="shared" ca="1" si="89"/>
        <v>#REF!</v>
      </c>
      <c r="DE30" t="e">
        <f t="shared" ca="1" si="90"/>
        <v>#REF!</v>
      </c>
      <c r="DF30" t="e">
        <f t="shared" ca="1" si="91"/>
        <v>#REF!</v>
      </c>
      <c r="DG30" t="e">
        <f t="shared" ca="1" si="92"/>
        <v>#REF!</v>
      </c>
      <c r="DH30" t="e">
        <f t="shared" ca="1" si="93"/>
        <v>#REF!</v>
      </c>
      <c r="DI30" t="e">
        <f t="shared" ca="1" si="94"/>
        <v>#REF!</v>
      </c>
      <c r="DJ30" t="e">
        <f t="shared" ca="1" si="95"/>
        <v>#REF!</v>
      </c>
      <c r="DK30" t="e">
        <f t="shared" ca="1" si="96"/>
        <v>#REF!</v>
      </c>
    </row>
    <row r="31" spans="1:115" ht="14.45" x14ac:dyDescent="0.3">
      <c r="A31">
        <f>verzamelblad!A31</f>
        <v>27</v>
      </c>
      <c r="B31" s="21"/>
      <c r="C31" s="39"/>
      <c r="D31" s="39"/>
      <c r="E31" s="39"/>
      <c r="F31" s="39"/>
      <c r="G31" s="39"/>
      <c r="H31" s="39"/>
      <c r="I31" s="39"/>
      <c r="J31" s="39"/>
      <c r="K31" s="39"/>
      <c r="L31" s="38"/>
      <c r="M31" s="38"/>
      <c r="N31" s="38"/>
      <c r="O31" s="38"/>
      <c r="P31" s="39"/>
      <c r="Q31" s="214"/>
      <c r="S31" s="285">
        <f t="shared" si="3"/>
        <v>0</v>
      </c>
      <c r="T31" s="285">
        <f t="shared" si="4"/>
        <v>0</v>
      </c>
      <c r="U31">
        <f t="shared" si="0"/>
        <v>22</v>
      </c>
      <c r="V31">
        <f t="shared" si="1"/>
        <v>0</v>
      </c>
      <c r="W31">
        <f t="shared" si="2"/>
        <v>0</v>
      </c>
      <c r="X31" t="e">
        <f t="shared" ca="1" si="5"/>
        <v>#REF!</v>
      </c>
      <c r="Y31" t="e">
        <f t="shared" ca="1" si="6"/>
        <v>#REF!</v>
      </c>
      <c r="Z31" t="e">
        <f t="shared" ca="1" si="7"/>
        <v>#REF!</v>
      </c>
      <c r="AA31" t="e">
        <f t="shared" ca="1" si="8"/>
        <v>#REF!</v>
      </c>
      <c r="AB31" t="e">
        <f t="shared" ca="1" si="9"/>
        <v>#REF!</v>
      </c>
      <c r="AC31" t="e">
        <f t="shared" ca="1" si="10"/>
        <v>#REF!</v>
      </c>
      <c r="AD31" t="e">
        <f t="shared" ca="1" si="11"/>
        <v>#REF!</v>
      </c>
      <c r="AE31" t="e">
        <f t="shared" ca="1" si="12"/>
        <v>#REF!</v>
      </c>
      <c r="AF31" t="e">
        <f t="shared" ca="1" si="13"/>
        <v>#REF!</v>
      </c>
      <c r="AG31" t="e">
        <f t="shared" ca="1" si="14"/>
        <v>#REF!</v>
      </c>
      <c r="AH31" t="e">
        <f t="shared" ca="1" si="15"/>
        <v>#REF!</v>
      </c>
      <c r="AI31" t="e">
        <f t="shared" ca="1" si="16"/>
        <v>#REF!</v>
      </c>
      <c r="AJ31" t="e">
        <f t="shared" ca="1" si="17"/>
        <v>#REF!</v>
      </c>
      <c r="AK31" t="e">
        <f t="shared" ca="1" si="18"/>
        <v>#REF!</v>
      </c>
      <c r="AL31" t="e">
        <f t="shared" ca="1" si="19"/>
        <v>#REF!</v>
      </c>
      <c r="AM31" t="e">
        <f t="shared" ca="1" si="20"/>
        <v>#REF!</v>
      </c>
      <c r="AN31" t="e">
        <f t="shared" ca="1" si="21"/>
        <v>#REF!</v>
      </c>
      <c r="AO31" t="e">
        <f t="shared" ca="1" si="22"/>
        <v>#REF!</v>
      </c>
      <c r="AP31" t="e">
        <f t="shared" ca="1" si="23"/>
        <v>#REF!</v>
      </c>
      <c r="AQ31" t="e">
        <f t="shared" ca="1" si="24"/>
        <v>#REF!</v>
      </c>
      <c r="AR31" t="e">
        <f t="shared" ca="1" si="25"/>
        <v>#REF!</v>
      </c>
      <c r="AS31" t="e">
        <f t="shared" ca="1" si="26"/>
        <v>#REF!</v>
      </c>
      <c r="AT31" t="e">
        <f t="shared" ca="1" si="27"/>
        <v>#REF!</v>
      </c>
      <c r="AU31" t="e">
        <f t="shared" ca="1" si="28"/>
        <v>#REF!</v>
      </c>
      <c r="AV31" t="e">
        <f t="shared" ca="1" si="29"/>
        <v>#REF!</v>
      </c>
      <c r="AW31" t="e">
        <f t="shared" ca="1" si="30"/>
        <v>#REF!</v>
      </c>
      <c r="AX31" t="e">
        <f t="shared" ca="1" si="31"/>
        <v>#REF!</v>
      </c>
      <c r="AY31" t="e">
        <f t="shared" ca="1" si="32"/>
        <v>#REF!</v>
      </c>
      <c r="AZ31" t="e">
        <f t="shared" ca="1" si="33"/>
        <v>#REF!</v>
      </c>
      <c r="BA31" t="e">
        <f t="shared" ca="1" si="34"/>
        <v>#REF!</v>
      </c>
      <c r="BB31" t="e">
        <f t="shared" ca="1" si="35"/>
        <v>#REF!</v>
      </c>
      <c r="BC31" t="e">
        <f t="shared" ca="1" si="36"/>
        <v>#REF!</v>
      </c>
      <c r="BD31" t="e">
        <f t="shared" ca="1" si="37"/>
        <v>#REF!</v>
      </c>
      <c r="BE31" t="e">
        <f t="shared" ca="1" si="38"/>
        <v>#REF!</v>
      </c>
      <c r="BF31" t="e">
        <f t="shared" ca="1" si="39"/>
        <v>#REF!</v>
      </c>
      <c r="BG31" t="e">
        <f t="shared" ca="1" si="40"/>
        <v>#REF!</v>
      </c>
      <c r="BH31" t="e">
        <f t="shared" ca="1" si="41"/>
        <v>#REF!</v>
      </c>
      <c r="BI31" t="e">
        <f t="shared" ca="1" si="42"/>
        <v>#REF!</v>
      </c>
      <c r="BJ31" t="e">
        <f t="shared" ca="1" si="43"/>
        <v>#REF!</v>
      </c>
      <c r="BK31" t="e">
        <f t="shared" ca="1" si="44"/>
        <v>#REF!</v>
      </c>
      <c r="BL31" t="e">
        <f t="shared" ca="1" si="45"/>
        <v>#REF!</v>
      </c>
      <c r="BM31" t="e">
        <f t="shared" ca="1" si="46"/>
        <v>#REF!</v>
      </c>
      <c r="BN31" t="e">
        <f t="shared" ca="1" si="47"/>
        <v>#REF!</v>
      </c>
      <c r="BO31" t="e">
        <f t="shared" ca="1" si="48"/>
        <v>#REF!</v>
      </c>
      <c r="BP31" t="e">
        <f t="shared" ca="1" si="49"/>
        <v>#REF!</v>
      </c>
      <c r="BQ31" t="e">
        <f t="shared" ca="1" si="50"/>
        <v>#REF!</v>
      </c>
      <c r="BR31" t="e">
        <f t="shared" ca="1" si="51"/>
        <v>#REF!</v>
      </c>
      <c r="BS31" t="e">
        <f t="shared" ca="1" si="52"/>
        <v>#REF!</v>
      </c>
      <c r="BT31" t="e">
        <f t="shared" ca="1" si="53"/>
        <v>#REF!</v>
      </c>
      <c r="BU31" t="e">
        <f t="shared" ca="1" si="54"/>
        <v>#REF!</v>
      </c>
      <c r="BV31" t="e">
        <f t="shared" ca="1" si="55"/>
        <v>#REF!</v>
      </c>
      <c r="BW31" t="e">
        <f t="shared" ca="1" si="56"/>
        <v>#REF!</v>
      </c>
      <c r="BX31" t="e">
        <f t="shared" ca="1" si="57"/>
        <v>#REF!</v>
      </c>
      <c r="BY31" t="e">
        <f t="shared" ca="1" si="58"/>
        <v>#REF!</v>
      </c>
      <c r="BZ31" t="e">
        <f t="shared" ca="1" si="59"/>
        <v>#REF!</v>
      </c>
      <c r="CA31" t="e">
        <f t="shared" ca="1" si="60"/>
        <v>#REF!</v>
      </c>
      <c r="CB31" t="e">
        <f t="shared" ca="1" si="61"/>
        <v>#REF!</v>
      </c>
      <c r="CC31" t="e">
        <f t="shared" ca="1" si="62"/>
        <v>#REF!</v>
      </c>
      <c r="CD31" t="e">
        <f t="shared" ca="1" si="63"/>
        <v>#REF!</v>
      </c>
      <c r="CE31" t="e">
        <f t="shared" ca="1" si="64"/>
        <v>#REF!</v>
      </c>
      <c r="CF31" t="e">
        <f t="shared" ca="1" si="65"/>
        <v>#REF!</v>
      </c>
      <c r="CG31" t="e">
        <f t="shared" ca="1" si="66"/>
        <v>#REF!</v>
      </c>
      <c r="CH31" t="e">
        <f t="shared" ca="1" si="67"/>
        <v>#REF!</v>
      </c>
      <c r="CI31" t="e">
        <f t="shared" ca="1" si="68"/>
        <v>#REF!</v>
      </c>
      <c r="CJ31" t="e">
        <f t="shared" ca="1" si="69"/>
        <v>#REF!</v>
      </c>
      <c r="CK31" t="e">
        <f t="shared" ca="1" si="70"/>
        <v>#REF!</v>
      </c>
      <c r="CL31" t="e">
        <f t="shared" ca="1" si="71"/>
        <v>#REF!</v>
      </c>
      <c r="CM31" t="e">
        <f t="shared" ca="1" si="72"/>
        <v>#REF!</v>
      </c>
      <c r="CN31" t="e">
        <f t="shared" ca="1" si="73"/>
        <v>#REF!</v>
      </c>
      <c r="CO31" t="e">
        <f t="shared" ca="1" si="74"/>
        <v>#REF!</v>
      </c>
      <c r="CP31" t="e">
        <f t="shared" ca="1" si="75"/>
        <v>#REF!</v>
      </c>
      <c r="CQ31" t="e">
        <f t="shared" ca="1" si="76"/>
        <v>#REF!</v>
      </c>
      <c r="CR31" t="e">
        <f t="shared" ca="1" si="77"/>
        <v>#REF!</v>
      </c>
      <c r="CS31" t="e">
        <f t="shared" ca="1" si="78"/>
        <v>#REF!</v>
      </c>
      <c r="CT31" t="e">
        <f t="shared" ca="1" si="79"/>
        <v>#REF!</v>
      </c>
      <c r="CU31" t="e">
        <f t="shared" ca="1" si="80"/>
        <v>#REF!</v>
      </c>
      <c r="CV31" t="e">
        <f t="shared" ca="1" si="81"/>
        <v>#REF!</v>
      </c>
      <c r="CW31" t="e">
        <f t="shared" ca="1" si="82"/>
        <v>#REF!</v>
      </c>
      <c r="CX31" t="e">
        <f t="shared" ca="1" si="83"/>
        <v>#REF!</v>
      </c>
      <c r="CY31" t="e">
        <f t="shared" ca="1" si="84"/>
        <v>#REF!</v>
      </c>
      <c r="CZ31" t="e">
        <f t="shared" ca="1" si="85"/>
        <v>#REF!</v>
      </c>
      <c r="DA31" t="e">
        <f t="shared" ca="1" si="86"/>
        <v>#REF!</v>
      </c>
      <c r="DB31" t="e">
        <f t="shared" ca="1" si="87"/>
        <v>#REF!</v>
      </c>
      <c r="DC31" t="e">
        <f t="shared" ca="1" si="88"/>
        <v>#REF!</v>
      </c>
      <c r="DD31" t="e">
        <f t="shared" ca="1" si="89"/>
        <v>#REF!</v>
      </c>
      <c r="DE31" t="e">
        <f t="shared" ca="1" si="90"/>
        <v>#REF!</v>
      </c>
      <c r="DF31" t="e">
        <f t="shared" ca="1" si="91"/>
        <v>#REF!</v>
      </c>
      <c r="DG31" t="e">
        <f t="shared" ca="1" si="92"/>
        <v>#REF!</v>
      </c>
      <c r="DH31" t="e">
        <f t="shared" ca="1" si="93"/>
        <v>#REF!</v>
      </c>
      <c r="DI31" t="e">
        <f t="shared" ca="1" si="94"/>
        <v>#REF!</v>
      </c>
      <c r="DJ31" t="e">
        <f t="shared" ca="1" si="95"/>
        <v>#REF!</v>
      </c>
      <c r="DK31" t="e">
        <f t="shared" ca="1" si="96"/>
        <v>#REF!</v>
      </c>
    </row>
    <row r="32" spans="1:115" ht="14.45" x14ac:dyDescent="0.3">
      <c r="A32">
        <f>verzamelblad!A32</f>
        <v>28</v>
      </c>
      <c r="B32" s="21"/>
      <c r="C32" s="39"/>
      <c r="D32" s="39"/>
      <c r="E32" s="39"/>
      <c r="F32" s="39"/>
      <c r="G32" s="39"/>
      <c r="H32" s="39"/>
      <c r="I32" s="39"/>
      <c r="J32" s="39"/>
      <c r="K32" s="39"/>
      <c r="L32" s="38"/>
      <c r="M32" s="38"/>
      <c r="N32" s="38"/>
      <c r="O32" s="38"/>
      <c r="P32" s="39"/>
      <c r="Q32" s="214"/>
      <c r="S32" s="285">
        <f t="shared" si="3"/>
        <v>0</v>
      </c>
      <c r="T32" s="285">
        <f t="shared" si="4"/>
        <v>0</v>
      </c>
      <c r="U32">
        <f t="shared" si="0"/>
        <v>22</v>
      </c>
      <c r="V32">
        <f t="shared" si="1"/>
        <v>0</v>
      </c>
      <c r="W32">
        <f t="shared" si="2"/>
        <v>0</v>
      </c>
      <c r="X32" t="e">
        <f t="shared" ca="1" si="5"/>
        <v>#REF!</v>
      </c>
      <c r="Y32" t="e">
        <f t="shared" ca="1" si="6"/>
        <v>#REF!</v>
      </c>
      <c r="Z32" t="e">
        <f t="shared" ca="1" si="7"/>
        <v>#REF!</v>
      </c>
      <c r="AA32" t="e">
        <f t="shared" ca="1" si="8"/>
        <v>#REF!</v>
      </c>
      <c r="AB32" t="e">
        <f t="shared" ca="1" si="9"/>
        <v>#REF!</v>
      </c>
      <c r="AC32" t="e">
        <f t="shared" ca="1" si="10"/>
        <v>#REF!</v>
      </c>
      <c r="AD32" t="e">
        <f t="shared" ca="1" si="11"/>
        <v>#REF!</v>
      </c>
      <c r="AE32" t="e">
        <f t="shared" ca="1" si="12"/>
        <v>#REF!</v>
      </c>
      <c r="AF32" t="e">
        <f t="shared" ca="1" si="13"/>
        <v>#REF!</v>
      </c>
      <c r="AG32" t="e">
        <f t="shared" ca="1" si="14"/>
        <v>#REF!</v>
      </c>
      <c r="AH32" t="e">
        <f t="shared" ca="1" si="15"/>
        <v>#REF!</v>
      </c>
      <c r="AI32" t="e">
        <f t="shared" ca="1" si="16"/>
        <v>#REF!</v>
      </c>
      <c r="AJ32" t="e">
        <f t="shared" ca="1" si="17"/>
        <v>#REF!</v>
      </c>
      <c r="AK32" t="e">
        <f t="shared" ca="1" si="18"/>
        <v>#REF!</v>
      </c>
      <c r="AL32" t="e">
        <f t="shared" ca="1" si="19"/>
        <v>#REF!</v>
      </c>
      <c r="AM32" t="e">
        <f t="shared" ca="1" si="20"/>
        <v>#REF!</v>
      </c>
      <c r="AN32" t="e">
        <f t="shared" ca="1" si="21"/>
        <v>#REF!</v>
      </c>
      <c r="AO32" t="e">
        <f t="shared" ca="1" si="22"/>
        <v>#REF!</v>
      </c>
      <c r="AP32" t="e">
        <f t="shared" ca="1" si="23"/>
        <v>#REF!</v>
      </c>
      <c r="AQ32" t="e">
        <f t="shared" ca="1" si="24"/>
        <v>#REF!</v>
      </c>
      <c r="AR32" t="e">
        <f t="shared" ca="1" si="25"/>
        <v>#REF!</v>
      </c>
      <c r="AS32" t="e">
        <f t="shared" ca="1" si="26"/>
        <v>#REF!</v>
      </c>
      <c r="AT32" t="e">
        <f t="shared" ca="1" si="27"/>
        <v>#REF!</v>
      </c>
      <c r="AU32" t="e">
        <f t="shared" ca="1" si="28"/>
        <v>#REF!</v>
      </c>
      <c r="AV32" t="e">
        <f t="shared" ca="1" si="29"/>
        <v>#REF!</v>
      </c>
      <c r="AW32" t="e">
        <f t="shared" ca="1" si="30"/>
        <v>#REF!</v>
      </c>
      <c r="AX32" t="e">
        <f t="shared" ca="1" si="31"/>
        <v>#REF!</v>
      </c>
      <c r="AY32" t="e">
        <f t="shared" ca="1" si="32"/>
        <v>#REF!</v>
      </c>
      <c r="AZ32" t="e">
        <f t="shared" ca="1" si="33"/>
        <v>#REF!</v>
      </c>
      <c r="BA32" t="e">
        <f t="shared" ca="1" si="34"/>
        <v>#REF!</v>
      </c>
      <c r="BB32" t="e">
        <f t="shared" ca="1" si="35"/>
        <v>#REF!</v>
      </c>
      <c r="BC32" t="e">
        <f t="shared" ca="1" si="36"/>
        <v>#REF!</v>
      </c>
      <c r="BD32" t="e">
        <f t="shared" ca="1" si="37"/>
        <v>#REF!</v>
      </c>
      <c r="BE32" t="e">
        <f t="shared" ca="1" si="38"/>
        <v>#REF!</v>
      </c>
      <c r="BF32" t="e">
        <f t="shared" ca="1" si="39"/>
        <v>#REF!</v>
      </c>
      <c r="BG32" t="e">
        <f t="shared" ca="1" si="40"/>
        <v>#REF!</v>
      </c>
      <c r="BH32" t="e">
        <f t="shared" ca="1" si="41"/>
        <v>#REF!</v>
      </c>
      <c r="BI32" t="e">
        <f t="shared" ca="1" si="42"/>
        <v>#REF!</v>
      </c>
      <c r="BJ32" t="e">
        <f t="shared" ca="1" si="43"/>
        <v>#REF!</v>
      </c>
      <c r="BK32" t="e">
        <f t="shared" ca="1" si="44"/>
        <v>#REF!</v>
      </c>
      <c r="BL32" t="e">
        <f t="shared" ca="1" si="45"/>
        <v>#REF!</v>
      </c>
      <c r="BM32" t="e">
        <f t="shared" ca="1" si="46"/>
        <v>#REF!</v>
      </c>
      <c r="BN32" t="e">
        <f t="shared" ca="1" si="47"/>
        <v>#REF!</v>
      </c>
      <c r="BO32" t="e">
        <f t="shared" ca="1" si="48"/>
        <v>#REF!</v>
      </c>
      <c r="BP32" t="e">
        <f t="shared" ca="1" si="49"/>
        <v>#REF!</v>
      </c>
      <c r="BQ32" t="e">
        <f t="shared" ca="1" si="50"/>
        <v>#REF!</v>
      </c>
      <c r="BR32" t="e">
        <f t="shared" ca="1" si="51"/>
        <v>#REF!</v>
      </c>
      <c r="BS32" t="e">
        <f t="shared" ca="1" si="52"/>
        <v>#REF!</v>
      </c>
      <c r="BT32" t="e">
        <f t="shared" ca="1" si="53"/>
        <v>#REF!</v>
      </c>
      <c r="BU32" t="e">
        <f t="shared" ca="1" si="54"/>
        <v>#REF!</v>
      </c>
      <c r="BV32" t="e">
        <f t="shared" ca="1" si="55"/>
        <v>#REF!</v>
      </c>
      <c r="BW32" t="e">
        <f t="shared" ca="1" si="56"/>
        <v>#REF!</v>
      </c>
      <c r="BX32" t="e">
        <f t="shared" ca="1" si="57"/>
        <v>#REF!</v>
      </c>
      <c r="BY32" t="e">
        <f t="shared" ca="1" si="58"/>
        <v>#REF!</v>
      </c>
      <c r="BZ32" t="e">
        <f t="shared" ca="1" si="59"/>
        <v>#REF!</v>
      </c>
      <c r="CA32" t="e">
        <f t="shared" ca="1" si="60"/>
        <v>#REF!</v>
      </c>
      <c r="CB32" t="e">
        <f t="shared" ca="1" si="61"/>
        <v>#REF!</v>
      </c>
      <c r="CC32" t="e">
        <f t="shared" ca="1" si="62"/>
        <v>#REF!</v>
      </c>
      <c r="CD32" t="e">
        <f t="shared" ca="1" si="63"/>
        <v>#REF!</v>
      </c>
      <c r="CE32" t="e">
        <f t="shared" ca="1" si="64"/>
        <v>#REF!</v>
      </c>
      <c r="CF32" t="e">
        <f t="shared" ca="1" si="65"/>
        <v>#REF!</v>
      </c>
      <c r="CG32" t="e">
        <f t="shared" ca="1" si="66"/>
        <v>#REF!</v>
      </c>
      <c r="CH32" t="e">
        <f t="shared" ca="1" si="67"/>
        <v>#REF!</v>
      </c>
      <c r="CI32" t="e">
        <f t="shared" ca="1" si="68"/>
        <v>#REF!</v>
      </c>
      <c r="CJ32" t="e">
        <f t="shared" ca="1" si="69"/>
        <v>#REF!</v>
      </c>
      <c r="CK32" t="e">
        <f t="shared" ca="1" si="70"/>
        <v>#REF!</v>
      </c>
      <c r="CL32" t="e">
        <f t="shared" ca="1" si="71"/>
        <v>#REF!</v>
      </c>
      <c r="CM32" t="e">
        <f t="shared" ca="1" si="72"/>
        <v>#REF!</v>
      </c>
      <c r="CN32" t="e">
        <f t="shared" ca="1" si="73"/>
        <v>#REF!</v>
      </c>
      <c r="CO32" t="e">
        <f t="shared" ca="1" si="74"/>
        <v>#REF!</v>
      </c>
      <c r="CP32" t="e">
        <f t="shared" ca="1" si="75"/>
        <v>#REF!</v>
      </c>
      <c r="CQ32" t="e">
        <f t="shared" ca="1" si="76"/>
        <v>#REF!</v>
      </c>
      <c r="CR32" t="e">
        <f t="shared" ca="1" si="77"/>
        <v>#REF!</v>
      </c>
      <c r="CS32" t="e">
        <f t="shared" ca="1" si="78"/>
        <v>#REF!</v>
      </c>
      <c r="CT32" t="e">
        <f t="shared" ca="1" si="79"/>
        <v>#REF!</v>
      </c>
      <c r="CU32" t="e">
        <f t="shared" ca="1" si="80"/>
        <v>#REF!</v>
      </c>
      <c r="CV32" t="e">
        <f t="shared" ca="1" si="81"/>
        <v>#REF!</v>
      </c>
      <c r="CW32" t="e">
        <f t="shared" ca="1" si="82"/>
        <v>#REF!</v>
      </c>
      <c r="CX32" t="e">
        <f t="shared" ca="1" si="83"/>
        <v>#REF!</v>
      </c>
      <c r="CY32" t="e">
        <f t="shared" ca="1" si="84"/>
        <v>#REF!</v>
      </c>
      <c r="CZ32" t="e">
        <f t="shared" ca="1" si="85"/>
        <v>#REF!</v>
      </c>
      <c r="DA32" t="e">
        <f t="shared" ca="1" si="86"/>
        <v>#REF!</v>
      </c>
      <c r="DB32" t="e">
        <f t="shared" ca="1" si="87"/>
        <v>#REF!</v>
      </c>
      <c r="DC32" t="e">
        <f t="shared" ca="1" si="88"/>
        <v>#REF!</v>
      </c>
      <c r="DD32" t="e">
        <f t="shared" ca="1" si="89"/>
        <v>#REF!</v>
      </c>
      <c r="DE32" t="e">
        <f t="shared" ca="1" si="90"/>
        <v>#REF!</v>
      </c>
      <c r="DF32" t="e">
        <f t="shared" ca="1" si="91"/>
        <v>#REF!</v>
      </c>
      <c r="DG32" t="e">
        <f t="shared" ca="1" si="92"/>
        <v>#REF!</v>
      </c>
      <c r="DH32" t="e">
        <f t="shared" ca="1" si="93"/>
        <v>#REF!</v>
      </c>
      <c r="DI32" t="e">
        <f t="shared" ca="1" si="94"/>
        <v>#REF!</v>
      </c>
      <c r="DJ32" t="e">
        <f t="shared" ca="1" si="95"/>
        <v>#REF!</v>
      </c>
      <c r="DK32" t="e">
        <f t="shared" ca="1" si="96"/>
        <v>#REF!</v>
      </c>
    </row>
    <row r="33" spans="1:115" ht="14.45" x14ac:dyDescent="0.3">
      <c r="A33">
        <f>verzamelblad!A33</f>
        <v>29</v>
      </c>
      <c r="B33" s="21"/>
      <c r="C33" s="39"/>
      <c r="D33" s="39"/>
      <c r="E33" s="39"/>
      <c r="F33" s="39"/>
      <c r="G33" s="39"/>
      <c r="H33" s="39"/>
      <c r="I33" s="39"/>
      <c r="J33" s="39"/>
      <c r="K33" s="39"/>
      <c r="L33" s="38"/>
      <c r="M33" s="38"/>
      <c r="N33" s="38"/>
      <c r="O33" s="38"/>
      <c r="P33" s="39"/>
      <c r="Q33" s="214"/>
      <c r="S33" s="285">
        <f t="shared" si="3"/>
        <v>0</v>
      </c>
      <c r="T33" s="285">
        <f t="shared" si="4"/>
        <v>0</v>
      </c>
      <c r="U33">
        <f t="shared" si="0"/>
        <v>22</v>
      </c>
      <c r="V33">
        <f t="shared" si="1"/>
        <v>0</v>
      </c>
      <c r="W33">
        <f t="shared" si="2"/>
        <v>0</v>
      </c>
      <c r="X33" t="e">
        <f t="shared" ca="1" si="5"/>
        <v>#REF!</v>
      </c>
      <c r="Y33" t="e">
        <f t="shared" ca="1" si="6"/>
        <v>#REF!</v>
      </c>
      <c r="Z33" t="e">
        <f t="shared" ca="1" si="7"/>
        <v>#REF!</v>
      </c>
      <c r="AA33" t="e">
        <f t="shared" ca="1" si="8"/>
        <v>#REF!</v>
      </c>
      <c r="AB33" t="e">
        <f t="shared" ca="1" si="9"/>
        <v>#REF!</v>
      </c>
      <c r="AC33" t="e">
        <f t="shared" ca="1" si="10"/>
        <v>#REF!</v>
      </c>
      <c r="AD33" t="e">
        <f t="shared" ca="1" si="11"/>
        <v>#REF!</v>
      </c>
      <c r="AE33" t="e">
        <f t="shared" ca="1" si="12"/>
        <v>#REF!</v>
      </c>
      <c r="AF33" t="e">
        <f t="shared" ca="1" si="13"/>
        <v>#REF!</v>
      </c>
      <c r="AG33" t="e">
        <f t="shared" ca="1" si="14"/>
        <v>#REF!</v>
      </c>
      <c r="AH33" t="e">
        <f t="shared" ca="1" si="15"/>
        <v>#REF!</v>
      </c>
      <c r="AI33" t="e">
        <f t="shared" ca="1" si="16"/>
        <v>#REF!</v>
      </c>
      <c r="AJ33" t="e">
        <f t="shared" ca="1" si="17"/>
        <v>#REF!</v>
      </c>
      <c r="AK33" t="e">
        <f t="shared" ca="1" si="18"/>
        <v>#REF!</v>
      </c>
      <c r="AL33" t="e">
        <f t="shared" ca="1" si="19"/>
        <v>#REF!</v>
      </c>
      <c r="AM33" t="e">
        <f t="shared" ca="1" si="20"/>
        <v>#REF!</v>
      </c>
      <c r="AN33" t="e">
        <f t="shared" ca="1" si="21"/>
        <v>#REF!</v>
      </c>
      <c r="AO33" t="e">
        <f t="shared" ca="1" si="22"/>
        <v>#REF!</v>
      </c>
      <c r="AP33" t="e">
        <f t="shared" ca="1" si="23"/>
        <v>#REF!</v>
      </c>
      <c r="AQ33" t="e">
        <f t="shared" ca="1" si="24"/>
        <v>#REF!</v>
      </c>
      <c r="AR33" t="e">
        <f t="shared" ca="1" si="25"/>
        <v>#REF!</v>
      </c>
      <c r="AS33" t="e">
        <f t="shared" ca="1" si="26"/>
        <v>#REF!</v>
      </c>
      <c r="AT33" t="e">
        <f t="shared" ca="1" si="27"/>
        <v>#REF!</v>
      </c>
      <c r="AU33" t="e">
        <f t="shared" ca="1" si="28"/>
        <v>#REF!</v>
      </c>
      <c r="AV33" t="e">
        <f t="shared" ca="1" si="29"/>
        <v>#REF!</v>
      </c>
      <c r="AW33" t="e">
        <f t="shared" ca="1" si="30"/>
        <v>#REF!</v>
      </c>
      <c r="AX33" t="e">
        <f t="shared" ca="1" si="31"/>
        <v>#REF!</v>
      </c>
      <c r="AY33" t="e">
        <f t="shared" ca="1" si="32"/>
        <v>#REF!</v>
      </c>
      <c r="AZ33" t="e">
        <f t="shared" ca="1" si="33"/>
        <v>#REF!</v>
      </c>
      <c r="BA33" t="e">
        <f t="shared" ca="1" si="34"/>
        <v>#REF!</v>
      </c>
      <c r="BB33" t="e">
        <f t="shared" ca="1" si="35"/>
        <v>#REF!</v>
      </c>
      <c r="BC33" t="e">
        <f t="shared" ca="1" si="36"/>
        <v>#REF!</v>
      </c>
      <c r="BD33" t="e">
        <f t="shared" ca="1" si="37"/>
        <v>#REF!</v>
      </c>
      <c r="BE33" t="e">
        <f t="shared" ca="1" si="38"/>
        <v>#REF!</v>
      </c>
      <c r="BF33" t="e">
        <f t="shared" ca="1" si="39"/>
        <v>#REF!</v>
      </c>
      <c r="BG33" t="e">
        <f t="shared" ca="1" si="40"/>
        <v>#REF!</v>
      </c>
      <c r="BH33" t="e">
        <f t="shared" ca="1" si="41"/>
        <v>#REF!</v>
      </c>
      <c r="BI33" t="e">
        <f t="shared" ca="1" si="42"/>
        <v>#REF!</v>
      </c>
      <c r="BJ33" t="e">
        <f t="shared" ca="1" si="43"/>
        <v>#REF!</v>
      </c>
      <c r="BK33" t="e">
        <f t="shared" ca="1" si="44"/>
        <v>#REF!</v>
      </c>
      <c r="BL33" t="e">
        <f t="shared" ca="1" si="45"/>
        <v>#REF!</v>
      </c>
      <c r="BM33" t="e">
        <f t="shared" ca="1" si="46"/>
        <v>#REF!</v>
      </c>
      <c r="BN33" t="e">
        <f t="shared" ca="1" si="47"/>
        <v>#REF!</v>
      </c>
      <c r="BO33" t="e">
        <f t="shared" ca="1" si="48"/>
        <v>#REF!</v>
      </c>
      <c r="BP33" t="e">
        <f t="shared" ca="1" si="49"/>
        <v>#REF!</v>
      </c>
      <c r="BQ33" t="e">
        <f t="shared" ca="1" si="50"/>
        <v>#REF!</v>
      </c>
      <c r="BR33" t="e">
        <f t="shared" ca="1" si="51"/>
        <v>#REF!</v>
      </c>
      <c r="BS33" t="e">
        <f t="shared" ca="1" si="52"/>
        <v>#REF!</v>
      </c>
      <c r="BT33" t="e">
        <f t="shared" ca="1" si="53"/>
        <v>#REF!</v>
      </c>
      <c r="BU33" t="e">
        <f t="shared" ca="1" si="54"/>
        <v>#REF!</v>
      </c>
      <c r="BV33" t="e">
        <f t="shared" ca="1" si="55"/>
        <v>#REF!</v>
      </c>
      <c r="BW33" t="e">
        <f t="shared" ca="1" si="56"/>
        <v>#REF!</v>
      </c>
      <c r="BX33" t="e">
        <f t="shared" ca="1" si="57"/>
        <v>#REF!</v>
      </c>
      <c r="BY33" t="e">
        <f t="shared" ca="1" si="58"/>
        <v>#REF!</v>
      </c>
      <c r="BZ33" t="e">
        <f t="shared" ca="1" si="59"/>
        <v>#REF!</v>
      </c>
      <c r="CA33" t="e">
        <f t="shared" ca="1" si="60"/>
        <v>#REF!</v>
      </c>
      <c r="CB33" t="e">
        <f t="shared" ca="1" si="61"/>
        <v>#REF!</v>
      </c>
      <c r="CC33" t="e">
        <f t="shared" ca="1" si="62"/>
        <v>#REF!</v>
      </c>
      <c r="CD33" t="e">
        <f t="shared" ca="1" si="63"/>
        <v>#REF!</v>
      </c>
      <c r="CE33" t="e">
        <f t="shared" ca="1" si="64"/>
        <v>#REF!</v>
      </c>
      <c r="CF33" t="e">
        <f t="shared" ca="1" si="65"/>
        <v>#REF!</v>
      </c>
      <c r="CG33" t="e">
        <f t="shared" ca="1" si="66"/>
        <v>#REF!</v>
      </c>
      <c r="CH33" t="e">
        <f t="shared" ca="1" si="67"/>
        <v>#REF!</v>
      </c>
      <c r="CI33" t="e">
        <f t="shared" ca="1" si="68"/>
        <v>#REF!</v>
      </c>
      <c r="CJ33" t="e">
        <f t="shared" ca="1" si="69"/>
        <v>#REF!</v>
      </c>
      <c r="CK33" t="e">
        <f t="shared" ca="1" si="70"/>
        <v>#REF!</v>
      </c>
      <c r="CL33" t="e">
        <f t="shared" ca="1" si="71"/>
        <v>#REF!</v>
      </c>
      <c r="CM33" t="e">
        <f t="shared" ca="1" si="72"/>
        <v>#REF!</v>
      </c>
      <c r="CN33" t="e">
        <f t="shared" ca="1" si="73"/>
        <v>#REF!</v>
      </c>
      <c r="CO33" t="e">
        <f t="shared" ca="1" si="74"/>
        <v>#REF!</v>
      </c>
      <c r="CP33" t="e">
        <f t="shared" ca="1" si="75"/>
        <v>#REF!</v>
      </c>
      <c r="CQ33" t="e">
        <f t="shared" ca="1" si="76"/>
        <v>#REF!</v>
      </c>
      <c r="CR33" t="e">
        <f t="shared" ca="1" si="77"/>
        <v>#REF!</v>
      </c>
      <c r="CS33" t="e">
        <f t="shared" ca="1" si="78"/>
        <v>#REF!</v>
      </c>
      <c r="CT33" t="e">
        <f t="shared" ca="1" si="79"/>
        <v>#REF!</v>
      </c>
      <c r="CU33" t="e">
        <f t="shared" ca="1" si="80"/>
        <v>#REF!</v>
      </c>
      <c r="CV33" t="e">
        <f t="shared" ca="1" si="81"/>
        <v>#REF!</v>
      </c>
      <c r="CW33" t="e">
        <f t="shared" ca="1" si="82"/>
        <v>#REF!</v>
      </c>
      <c r="CX33" t="e">
        <f t="shared" ca="1" si="83"/>
        <v>#REF!</v>
      </c>
      <c r="CY33" t="e">
        <f t="shared" ca="1" si="84"/>
        <v>#REF!</v>
      </c>
      <c r="CZ33" t="e">
        <f t="shared" ca="1" si="85"/>
        <v>#REF!</v>
      </c>
      <c r="DA33" t="e">
        <f t="shared" ca="1" si="86"/>
        <v>#REF!</v>
      </c>
      <c r="DB33" t="e">
        <f t="shared" ca="1" si="87"/>
        <v>#REF!</v>
      </c>
      <c r="DC33" t="e">
        <f t="shared" ca="1" si="88"/>
        <v>#REF!</v>
      </c>
      <c r="DD33" t="e">
        <f t="shared" ca="1" si="89"/>
        <v>#REF!</v>
      </c>
      <c r="DE33" t="e">
        <f t="shared" ca="1" si="90"/>
        <v>#REF!</v>
      </c>
      <c r="DF33" t="e">
        <f t="shared" ca="1" si="91"/>
        <v>#REF!</v>
      </c>
      <c r="DG33" t="e">
        <f t="shared" ca="1" si="92"/>
        <v>#REF!</v>
      </c>
      <c r="DH33" t="e">
        <f t="shared" ca="1" si="93"/>
        <v>#REF!</v>
      </c>
      <c r="DI33" t="e">
        <f t="shared" ca="1" si="94"/>
        <v>#REF!</v>
      </c>
      <c r="DJ33" t="e">
        <f t="shared" ca="1" si="95"/>
        <v>#REF!</v>
      </c>
      <c r="DK33" t="e">
        <f t="shared" ca="1" si="96"/>
        <v>#REF!</v>
      </c>
    </row>
    <row r="34" spans="1:115" ht="14.45" x14ac:dyDescent="0.3">
      <c r="A34">
        <f>verzamelblad!A34</f>
        <v>30</v>
      </c>
      <c r="B34" s="21"/>
      <c r="C34" s="39"/>
      <c r="D34" s="39"/>
      <c r="E34" s="39"/>
      <c r="F34" s="39"/>
      <c r="G34" s="39"/>
      <c r="H34" s="39"/>
      <c r="I34" s="39"/>
      <c r="J34" s="39"/>
      <c r="K34" s="39"/>
      <c r="L34" s="38"/>
      <c r="M34" s="38"/>
      <c r="N34" s="38"/>
      <c r="O34" s="38"/>
      <c r="P34" s="39"/>
      <c r="Q34" s="214"/>
      <c r="S34" s="285">
        <f t="shared" si="3"/>
        <v>0</v>
      </c>
      <c r="T34" s="285">
        <f t="shared" si="4"/>
        <v>0</v>
      </c>
      <c r="U34">
        <f t="shared" si="0"/>
        <v>22</v>
      </c>
      <c r="V34">
        <f t="shared" si="1"/>
        <v>0</v>
      </c>
      <c r="W34">
        <f t="shared" si="2"/>
        <v>0</v>
      </c>
      <c r="X34" t="e">
        <f t="shared" ca="1" si="5"/>
        <v>#REF!</v>
      </c>
      <c r="Y34" t="e">
        <f t="shared" ca="1" si="6"/>
        <v>#REF!</v>
      </c>
      <c r="Z34" t="e">
        <f t="shared" ca="1" si="7"/>
        <v>#REF!</v>
      </c>
      <c r="AA34" t="e">
        <f t="shared" ca="1" si="8"/>
        <v>#REF!</v>
      </c>
      <c r="AB34" t="e">
        <f t="shared" ca="1" si="9"/>
        <v>#REF!</v>
      </c>
      <c r="AC34" t="e">
        <f t="shared" ca="1" si="10"/>
        <v>#REF!</v>
      </c>
      <c r="AD34" t="e">
        <f t="shared" ca="1" si="11"/>
        <v>#REF!</v>
      </c>
      <c r="AE34" t="e">
        <f t="shared" ca="1" si="12"/>
        <v>#REF!</v>
      </c>
      <c r="AF34" t="e">
        <f t="shared" ca="1" si="13"/>
        <v>#REF!</v>
      </c>
      <c r="AG34" t="e">
        <f t="shared" ca="1" si="14"/>
        <v>#REF!</v>
      </c>
      <c r="AH34" t="e">
        <f t="shared" ca="1" si="15"/>
        <v>#REF!</v>
      </c>
      <c r="AI34" t="e">
        <f t="shared" ca="1" si="16"/>
        <v>#REF!</v>
      </c>
      <c r="AJ34" t="e">
        <f t="shared" ca="1" si="17"/>
        <v>#REF!</v>
      </c>
      <c r="AK34" t="e">
        <f t="shared" ca="1" si="18"/>
        <v>#REF!</v>
      </c>
      <c r="AL34" t="e">
        <f t="shared" ca="1" si="19"/>
        <v>#REF!</v>
      </c>
      <c r="AM34" t="e">
        <f t="shared" ca="1" si="20"/>
        <v>#REF!</v>
      </c>
      <c r="AN34" t="e">
        <f t="shared" ca="1" si="21"/>
        <v>#REF!</v>
      </c>
      <c r="AO34" t="e">
        <f t="shared" ca="1" si="22"/>
        <v>#REF!</v>
      </c>
      <c r="AP34" t="e">
        <f t="shared" ca="1" si="23"/>
        <v>#REF!</v>
      </c>
      <c r="AQ34" t="e">
        <f t="shared" ca="1" si="24"/>
        <v>#REF!</v>
      </c>
      <c r="AR34" t="e">
        <f t="shared" ca="1" si="25"/>
        <v>#REF!</v>
      </c>
      <c r="AS34" t="e">
        <f t="shared" ca="1" si="26"/>
        <v>#REF!</v>
      </c>
      <c r="AT34" t="e">
        <f t="shared" ca="1" si="27"/>
        <v>#REF!</v>
      </c>
      <c r="AU34" t="e">
        <f t="shared" ca="1" si="28"/>
        <v>#REF!</v>
      </c>
      <c r="AV34" t="e">
        <f t="shared" ca="1" si="29"/>
        <v>#REF!</v>
      </c>
      <c r="AW34" t="e">
        <f t="shared" ca="1" si="30"/>
        <v>#REF!</v>
      </c>
      <c r="AX34" t="e">
        <f t="shared" ca="1" si="31"/>
        <v>#REF!</v>
      </c>
      <c r="AY34" t="e">
        <f t="shared" ca="1" si="32"/>
        <v>#REF!</v>
      </c>
      <c r="AZ34" t="e">
        <f t="shared" ca="1" si="33"/>
        <v>#REF!</v>
      </c>
      <c r="BA34" t="e">
        <f t="shared" ca="1" si="34"/>
        <v>#REF!</v>
      </c>
      <c r="BB34" t="e">
        <f t="shared" ca="1" si="35"/>
        <v>#REF!</v>
      </c>
      <c r="BC34" t="e">
        <f t="shared" ca="1" si="36"/>
        <v>#REF!</v>
      </c>
      <c r="BD34" t="e">
        <f t="shared" ca="1" si="37"/>
        <v>#REF!</v>
      </c>
      <c r="BE34" t="e">
        <f t="shared" ca="1" si="38"/>
        <v>#REF!</v>
      </c>
      <c r="BF34" t="e">
        <f t="shared" ca="1" si="39"/>
        <v>#REF!</v>
      </c>
      <c r="BG34" t="e">
        <f t="shared" ca="1" si="40"/>
        <v>#REF!</v>
      </c>
      <c r="BH34" t="e">
        <f t="shared" ca="1" si="41"/>
        <v>#REF!</v>
      </c>
      <c r="BI34" t="e">
        <f t="shared" ca="1" si="42"/>
        <v>#REF!</v>
      </c>
      <c r="BJ34" t="e">
        <f t="shared" ca="1" si="43"/>
        <v>#REF!</v>
      </c>
      <c r="BK34" t="e">
        <f t="shared" ca="1" si="44"/>
        <v>#REF!</v>
      </c>
      <c r="BL34" t="e">
        <f t="shared" ca="1" si="45"/>
        <v>#REF!</v>
      </c>
      <c r="BM34" t="e">
        <f t="shared" ca="1" si="46"/>
        <v>#REF!</v>
      </c>
      <c r="BN34" t="e">
        <f t="shared" ca="1" si="47"/>
        <v>#REF!</v>
      </c>
      <c r="BO34" t="e">
        <f t="shared" ca="1" si="48"/>
        <v>#REF!</v>
      </c>
      <c r="BP34" t="e">
        <f t="shared" ca="1" si="49"/>
        <v>#REF!</v>
      </c>
      <c r="BQ34" t="e">
        <f t="shared" ca="1" si="50"/>
        <v>#REF!</v>
      </c>
      <c r="BR34" t="e">
        <f t="shared" ca="1" si="51"/>
        <v>#REF!</v>
      </c>
      <c r="BS34" t="e">
        <f t="shared" ca="1" si="52"/>
        <v>#REF!</v>
      </c>
      <c r="BT34" t="e">
        <f t="shared" ca="1" si="53"/>
        <v>#REF!</v>
      </c>
      <c r="BU34" t="e">
        <f t="shared" ca="1" si="54"/>
        <v>#REF!</v>
      </c>
      <c r="BV34" t="e">
        <f t="shared" ca="1" si="55"/>
        <v>#REF!</v>
      </c>
      <c r="BW34" t="e">
        <f t="shared" ca="1" si="56"/>
        <v>#REF!</v>
      </c>
      <c r="BX34" t="e">
        <f t="shared" ca="1" si="57"/>
        <v>#REF!</v>
      </c>
      <c r="BY34" t="e">
        <f t="shared" ca="1" si="58"/>
        <v>#REF!</v>
      </c>
      <c r="BZ34" t="e">
        <f t="shared" ca="1" si="59"/>
        <v>#REF!</v>
      </c>
      <c r="CA34" t="e">
        <f t="shared" ca="1" si="60"/>
        <v>#REF!</v>
      </c>
      <c r="CB34" t="e">
        <f t="shared" ca="1" si="61"/>
        <v>#REF!</v>
      </c>
      <c r="CC34" t="e">
        <f t="shared" ca="1" si="62"/>
        <v>#REF!</v>
      </c>
      <c r="CD34" t="e">
        <f t="shared" ca="1" si="63"/>
        <v>#REF!</v>
      </c>
      <c r="CE34" t="e">
        <f t="shared" ca="1" si="64"/>
        <v>#REF!</v>
      </c>
      <c r="CF34" t="e">
        <f t="shared" ca="1" si="65"/>
        <v>#REF!</v>
      </c>
      <c r="CG34" t="e">
        <f t="shared" ca="1" si="66"/>
        <v>#REF!</v>
      </c>
      <c r="CH34" t="e">
        <f t="shared" ca="1" si="67"/>
        <v>#REF!</v>
      </c>
      <c r="CI34" t="e">
        <f t="shared" ca="1" si="68"/>
        <v>#REF!</v>
      </c>
      <c r="CJ34" t="e">
        <f t="shared" ca="1" si="69"/>
        <v>#REF!</v>
      </c>
      <c r="CK34" t="e">
        <f t="shared" ca="1" si="70"/>
        <v>#REF!</v>
      </c>
      <c r="CL34" t="e">
        <f t="shared" ca="1" si="71"/>
        <v>#REF!</v>
      </c>
      <c r="CM34" t="e">
        <f t="shared" ca="1" si="72"/>
        <v>#REF!</v>
      </c>
      <c r="CN34" t="e">
        <f t="shared" ca="1" si="73"/>
        <v>#REF!</v>
      </c>
      <c r="CO34" t="e">
        <f t="shared" ca="1" si="74"/>
        <v>#REF!</v>
      </c>
      <c r="CP34" t="e">
        <f t="shared" ca="1" si="75"/>
        <v>#REF!</v>
      </c>
      <c r="CQ34" t="e">
        <f t="shared" ca="1" si="76"/>
        <v>#REF!</v>
      </c>
      <c r="CR34" t="e">
        <f t="shared" ca="1" si="77"/>
        <v>#REF!</v>
      </c>
      <c r="CS34" t="e">
        <f t="shared" ca="1" si="78"/>
        <v>#REF!</v>
      </c>
      <c r="CT34" t="e">
        <f t="shared" ca="1" si="79"/>
        <v>#REF!</v>
      </c>
      <c r="CU34" t="e">
        <f t="shared" ca="1" si="80"/>
        <v>#REF!</v>
      </c>
      <c r="CV34" t="e">
        <f t="shared" ca="1" si="81"/>
        <v>#REF!</v>
      </c>
      <c r="CW34" t="e">
        <f t="shared" ca="1" si="82"/>
        <v>#REF!</v>
      </c>
      <c r="CX34" t="e">
        <f t="shared" ca="1" si="83"/>
        <v>#REF!</v>
      </c>
      <c r="CY34" t="e">
        <f t="shared" ca="1" si="84"/>
        <v>#REF!</v>
      </c>
      <c r="CZ34" t="e">
        <f t="shared" ca="1" si="85"/>
        <v>#REF!</v>
      </c>
      <c r="DA34" t="e">
        <f t="shared" ca="1" si="86"/>
        <v>#REF!</v>
      </c>
      <c r="DB34" t="e">
        <f t="shared" ca="1" si="87"/>
        <v>#REF!</v>
      </c>
      <c r="DC34" t="e">
        <f t="shared" ca="1" si="88"/>
        <v>#REF!</v>
      </c>
      <c r="DD34" t="e">
        <f t="shared" ca="1" si="89"/>
        <v>#REF!</v>
      </c>
      <c r="DE34" t="e">
        <f t="shared" ca="1" si="90"/>
        <v>#REF!</v>
      </c>
      <c r="DF34" t="e">
        <f t="shared" ca="1" si="91"/>
        <v>#REF!</v>
      </c>
      <c r="DG34" t="e">
        <f t="shared" ca="1" si="92"/>
        <v>#REF!</v>
      </c>
      <c r="DH34" t="e">
        <f t="shared" ca="1" si="93"/>
        <v>#REF!</v>
      </c>
      <c r="DI34" t="e">
        <f t="shared" ca="1" si="94"/>
        <v>#REF!</v>
      </c>
      <c r="DJ34" t="e">
        <f t="shared" ca="1" si="95"/>
        <v>#REF!</v>
      </c>
      <c r="DK34" t="e">
        <f t="shared" ca="1" si="96"/>
        <v>#REF!</v>
      </c>
    </row>
    <row r="35" spans="1:115" ht="14.45" x14ac:dyDescent="0.3">
      <c r="Q35" s="211"/>
    </row>
    <row r="36" spans="1:115" thickBot="1" x14ac:dyDescent="0.35">
      <c r="C36" s="79"/>
      <c r="D36" s="80">
        <f ca="1">SUM(D5:D34)</f>
        <v>0</v>
      </c>
      <c r="E36" s="79"/>
      <c r="F36" s="80">
        <f ca="1">SUM(F5:F34)</f>
        <v>0</v>
      </c>
      <c r="G36" s="80">
        <f t="shared" ref="G36:P36" ca="1" si="97">SUM(G5:G34)</f>
        <v>0</v>
      </c>
      <c r="H36" s="80">
        <f t="shared" ca="1" si="97"/>
        <v>0</v>
      </c>
      <c r="I36" s="80">
        <f t="shared" ca="1" si="97"/>
        <v>0</v>
      </c>
      <c r="J36" s="80">
        <f t="shared" ca="1" si="97"/>
        <v>0</v>
      </c>
      <c r="K36" s="80">
        <f t="shared" si="97"/>
        <v>0</v>
      </c>
      <c r="L36" s="208">
        <f t="shared" ca="1" si="97"/>
        <v>0</v>
      </c>
      <c r="M36" s="208">
        <f t="shared" ca="1" si="97"/>
        <v>0</v>
      </c>
      <c r="N36" s="208">
        <f t="shared" ca="1" si="97"/>
        <v>0</v>
      </c>
      <c r="O36" s="208">
        <f t="shared" ca="1" si="97"/>
        <v>0</v>
      </c>
      <c r="P36" s="80">
        <f t="shared" ca="1" si="97"/>
        <v>0</v>
      </c>
      <c r="Q36" s="214"/>
    </row>
    <row r="37" spans="1:115" thickTop="1" x14ac:dyDescent="0.3"/>
  </sheetData>
  <pageMargins left="0.70866141732283472" right="0.70866141732283472" top="0.94488188976377963" bottom="0.74803149606299213" header="0.31496062992125984" footer="0.31496062992125984"/>
  <pageSetup paperSize="9" scale="65" orientation="landscape" r:id="rId1"/>
  <headerFooter>
    <oddHeader>&amp;L&amp;G</oddHeader>
  </headerFooter>
  <colBreaks count="1" manualBreakCount="1">
    <brk id="17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5"/>
  <dimension ref="A3:J10"/>
  <sheetViews>
    <sheetView zoomScaleNormal="100" workbookViewId="0">
      <selection activeCell="CI22" sqref="CI22"/>
    </sheetView>
  </sheetViews>
  <sheetFormatPr defaultRowHeight="15" x14ac:dyDescent="0.25"/>
  <cols>
    <col min="2" max="2" width="11.7109375" style="4" customWidth="1"/>
    <col min="3" max="3" width="14.140625" style="233" customWidth="1"/>
    <col min="4" max="4" width="14.85546875" style="233" customWidth="1"/>
    <col min="5" max="5" width="27.42578125" customWidth="1"/>
    <col min="6" max="6" width="39.140625" customWidth="1"/>
    <col min="7" max="7" width="17.140625" style="50" customWidth="1"/>
    <col min="8" max="8" width="18" style="50" customWidth="1"/>
    <col min="9" max="9" width="11.42578125" customWidth="1"/>
  </cols>
  <sheetData>
    <row r="3" spans="1:10" ht="24.75" customHeight="1" x14ac:dyDescent="0.45">
      <c r="B3" s="234" t="str">
        <f>CONCATENATE("Wijzigingenblad, ",opdrachtnemer,", onderdeel van ",bestekcontract," ",besteknr,)</f>
        <v>Wijzigingenblad, , onderdeel van bestek 2016-S2800</v>
      </c>
      <c r="C3" s="231"/>
      <c r="D3" s="231"/>
      <c r="E3" s="13"/>
      <c r="F3" s="22"/>
      <c r="G3" s="220"/>
      <c r="H3" s="220"/>
      <c r="I3" s="15"/>
      <c r="J3" s="15"/>
    </row>
    <row r="5" spans="1:10" s="227" customFormat="1" ht="28.5" customHeight="1" x14ac:dyDescent="0.3">
      <c r="A5" s="228" t="s">
        <v>288</v>
      </c>
      <c r="B5" s="230" t="s">
        <v>296</v>
      </c>
      <c r="C5" s="232" t="s">
        <v>289</v>
      </c>
      <c r="D5" s="232" t="s">
        <v>290</v>
      </c>
      <c r="E5" s="228" t="s">
        <v>291</v>
      </c>
      <c r="F5" s="228" t="s">
        <v>292</v>
      </c>
      <c r="G5" s="229" t="s">
        <v>293</v>
      </c>
      <c r="H5" s="229" t="s">
        <v>294</v>
      </c>
      <c r="I5" s="228" t="s">
        <v>295</v>
      </c>
    </row>
    <row r="6" spans="1:10" ht="14.45" x14ac:dyDescent="0.3">
      <c r="A6">
        <v>1</v>
      </c>
    </row>
    <row r="7" spans="1:10" ht="14.45" x14ac:dyDescent="0.3">
      <c r="A7">
        <v>2</v>
      </c>
    </row>
    <row r="8" spans="1:10" ht="14.45" x14ac:dyDescent="0.3">
      <c r="A8">
        <v>3</v>
      </c>
    </row>
    <row r="9" spans="1:10" ht="14.45" x14ac:dyDescent="0.3">
      <c r="A9">
        <v>4</v>
      </c>
    </row>
    <row r="10" spans="1:10" ht="14.45" x14ac:dyDescent="0.3">
      <c r="A10">
        <v>5</v>
      </c>
    </row>
  </sheetData>
  <pageMargins left="0.7" right="0.7" top="0.75" bottom="0.75" header="0.3" footer="0.3"/>
  <pageSetup paperSize="9" scale="80" orientation="landscape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6">
    <tabColor rgb="FFEBEBEB"/>
  </sheetPr>
  <dimension ref="A1:J124"/>
  <sheetViews>
    <sheetView showZeros="0" topLeftCell="A3" zoomScaleNormal="100" workbookViewId="0">
      <selection activeCell="CI22" sqref="CI22"/>
    </sheetView>
  </sheetViews>
  <sheetFormatPr defaultColWidth="0" defaultRowHeight="0" customHeight="1" zeroHeight="1" x14ac:dyDescent="0.25"/>
  <cols>
    <col min="1" max="1" width="24.7109375" style="211" customWidth="1"/>
    <col min="2" max="2" width="9.28515625" style="211" customWidth="1"/>
    <col min="3" max="3" width="41.140625" style="211" customWidth="1"/>
    <col min="4" max="4" width="25.85546875" style="211" customWidth="1"/>
    <col min="5" max="5" width="23.85546875" style="211" hidden="1" customWidth="1"/>
    <col min="6" max="6" width="17.85546875" style="214" hidden="1" customWidth="1"/>
    <col min="7" max="7" width="19.42578125" style="214" hidden="1" customWidth="1"/>
    <col min="8" max="8" width="15.7109375" style="211" hidden="1" customWidth="1"/>
    <col min="9" max="9" width="16.42578125" style="211" hidden="1" customWidth="1"/>
    <col min="10" max="10" width="4.28515625" hidden="1" customWidth="1"/>
    <col min="11" max="16384" width="9.140625" hidden="1"/>
  </cols>
  <sheetData>
    <row r="1" spans="1:9" ht="14.45" x14ac:dyDescent="0.3">
      <c r="A1"/>
      <c r="B1"/>
      <c r="C1"/>
      <c r="D1"/>
      <c r="E1"/>
      <c r="F1" s="50"/>
      <c r="G1" s="50"/>
      <c r="H1"/>
      <c r="I1"/>
    </row>
    <row r="2" spans="1:9" ht="14.45" x14ac:dyDescent="0.3">
      <c r="A2"/>
      <c r="B2"/>
      <c r="C2"/>
      <c r="D2"/>
      <c r="E2"/>
      <c r="F2" s="50"/>
      <c r="G2" s="50"/>
      <c r="H2"/>
      <c r="I2"/>
    </row>
    <row r="3" spans="1:9" ht="14.45" x14ac:dyDescent="0.3">
      <c r="A3"/>
      <c r="B3"/>
      <c r="C3"/>
      <c r="D3"/>
      <c r="E3"/>
      <c r="F3" s="50"/>
      <c r="G3" s="50"/>
      <c r="H3"/>
      <c r="I3"/>
    </row>
    <row r="4" spans="1:9" ht="14.45" x14ac:dyDescent="0.3">
      <c r="A4"/>
      <c r="B4"/>
      <c r="C4"/>
      <c r="D4"/>
      <c r="E4"/>
      <c r="F4" s="50"/>
      <c r="G4" s="50"/>
      <c r="H4"/>
      <c r="I4"/>
    </row>
    <row r="5" spans="1:9" s="15" customFormat="1" ht="23.45" x14ac:dyDescent="0.45">
      <c r="A5" s="42" t="str">
        <f>CONCATENATE("Supplement op uitvoeringsbepaling ",D10,", onderdeel van ",bestekcontract," ",besteknr)</f>
        <v>Supplement op uitvoeringsbepaling , onderdeel van bestek 2016-S2800</v>
      </c>
      <c r="B5" s="13"/>
      <c r="C5" s="13"/>
      <c r="D5" s="22"/>
      <c r="F5" s="220"/>
      <c r="G5" s="220"/>
    </row>
    <row r="6" spans="1:9" ht="14.45" x14ac:dyDescent="0.3">
      <c r="A6" s="15"/>
      <c r="B6" s="15"/>
      <c r="C6" s="15"/>
      <c r="D6" s="15"/>
      <c r="E6" s="15"/>
      <c r="F6" s="220"/>
      <c r="G6" s="220"/>
      <c r="H6" s="15"/>
      <c r="I6"/>
    </row>
    <row r="7" spans="1:9" ht="14.45" x14ac:dyDescent="0.3">
      <c r="F7" s="221"/>
    </row>
    <row r="8" spans="1:9" ht="14.45" x14ac:dyDescent="0.3">
      <c r="F8" s="221"/>
    </row>
    <row r="9" spans="1:9" ht="14.45" x14ac:dyDescent="0.3">
      <c r="A9" s="213"/>
      <c r="B9" s="213"/>
      <c r="C9" s="213"/>
      <c r="D9" s="213"/>
      <c r="E9" s="213"/>
      <c r="F9" s="222"/>
      <c r="G9" s="222"/>
      <c r="H9" s="213"/>
    </row>
    <row r="10" spans="1:9" ht="14.45" x14ac:dyDescent="0.3">
      <c r="A10" s="211" t="s">
        <v>275</v>
      </c>
      <c r="B10" s="211" t="str">
        <f>opdrachtgever</f>
        <v>Stichting Openbaar Voortgezet Onderwijs Vlagtwedde</v>
      </c>
      <c r="F10" s="221"/>
      <c r="G10" s="221"/>
    </row>
    <row r="11" spans="1:9" ht="14.45" x14ac:dyDescent="0.3">
      <c r="G11" s="221"/>
    </row>
    <row r="12" spans="1:9" ht="14.45" x14ac:dyDescent="0.3">
      <c r="A12" s="211" t="s">
        <v>276</v>
      </c>
      <c r="G12" s="221"/>
    </row>
    <row r="13" spans="1:9" ht="14.45" x14ac:dyDescent="0.3">
      <c r="G13" s="221"/>
    </row>
    <row r="14" spans="1:9" ht="14.45" x14ac:dyDescent="0.3">
      <c r="A14" s="211" t="s">
        <v>277</v>
      </c>
      <c r="B14" s="211">
        <f>opdrachtnemer</f>
        <v>0</v>
      </c>
      <c r="G14" s="221"/>
    </row>
    <row r="15" spans="1:9" ht="14.45" x14ac:dyDescent="0.3">
      <c r="E15" s="213"/>
      <c r="F15" s="222"/>
      <c r="G15" s="221"/>
      <c r="H15" s="213"/>
    </row>
    <row r="16" spans="1:9" ht="14.45" x14ac:dyDescent="0.3">
      <c r="E16" s="214"/>
      <c r="G16" s="221"/>
      <c r="H16" s="214"/>
    </row>
    <row r="17" spans="1:9" ht="14.45" x14ac:dyDescent="0.3">
      <c r="A17" s="211" t="s">
        <v>278</v>
      </c>
      <c r="E17" s="214"/>
      <c r="G17" s="221"/>
      <c r="H17" s="214"/>
    </row>
    <row r="18" spans="1:9" ht="14.45" x14ac:dyDescent="0.3">
      <c r="E18" s="214"/>
      <c r="G18" s="221"/>
      <c r="H18" s="214"/>
    </row>
    <row r="19" spans="1:9" ht="14.45" x14ac:dyDescent="0.3">
      <c r="E19" s="214"/>
      <c r="G19" s="221"/>
      <c r="H19" s="214"/>
    </row>
    <row r="20" spans="1:9" ht="14.45" x14ac:dyDescent="0.3">
      <c r="A20" s="211" t="s">
        <v>279</v>
      </c>
      <c r="B20" s="226">
        <v>1</v>
      </c>
      <c r="G20" s="221"/>
    </row>
    <row r="21" spans="1:9" ht="14.45" x14ac:dyDescent="0.3">
      <c r="A21" s="211" t="s">
        <v>281</v>
      </c>
      <c r="B21" s="223">
        <f>VLOOKUP(B20,Wijzigingenblad!A6:B40,2)</f>
        <v>0</v>
      </c>
      <c r="E21" s="213"/>
      <c r="F21" s="222"/>
      <c r="G21" s="221"/>
    </row>
    <row r="22" spans="1:9" ht="14.45" x14ac:dyDescent="0.3">
      <c r="E22" s="215"/>
      <c r="F22" s="222"/>
      <c r="G22" s="221"/>
    </row>
    <row r="23" spans="1:9" ht="15.75" customHeight="1" x14ac:dyDescent="0.3">
      <c r="A23" s="211" t="s">
        <v>280</v>
      </c>
      <c r="C23" s="211" t="e">
        <f>CONCATENATE(VLOOKUP(B21,verzamelblad!A5:E34,3,)," te ",VLOOKUP(B21,verzamelblad!A5:E34,5))</f>
        <v>#N/A</v>
      </c>
      <c r="G23" s="221"/>
    </row>
    <row r="24" spans="1:9" ht="15.75" customHeight="1" x14ac:dyDescent="0.3">
      <c r="G24" s="221"/>
    </row>
    <row r="25" spans="1:9" ht="14.45" x14ac:dyDescent="0.3">
      <c r="C25" s="216"/>
      <c r="E25" s="212"/>
      <c r="F25" s="222"/>
      <c r="G25" s="221"/>
      <c r="H25" s="217"/>
      <c r="I25" s="218"/>
    </row>
    <row r="26" spans="1:9" ht="14.45" x14ac:dyDescent="0.3">
      <c r="A26" s="211" t="s">
        <v>282</v>
      </c>
      <c r="C26" s="224">
        <f>VLOOKUP(B20,Wijzigingenblad!A6:E40,3)</f>
        <v>0</v>
      </c>
      <c r="G26" s="221"/>
      <c r="I26" s="218"/>
    </row>
    <row r="27" spans="1:9" ht="14.45" x14ac:dyDescent="0.3">
      <c r="A27" s="211" t="s">
        <v>283</v>
      </c>
      <c r="C27" s="224">
        <f>VLOOKUP(B20,Wijzigingenblad!A6:E40,3)</f>
        <v>0</v>
      </c>
      <c r="D27" s="213"/>
      <c r="E27" s="213"/>
      <c r="F27" s="222"/>
      <c r="G27" s="221"/>
      <c r="H27" s="213"/>
      <c r="I27" s="218"/>
    </row>
    <row r="28" spans="1:9" ht="14.45" x14ac:dyDescent="0.3">
      <c r="C28" s="213"/>
      <c r="D28" s="213"/>
      <c r="E28" s="219"/>
      <c r="G28" s="221"/>
      <c r="I28" s="218"/>
    </row>
    <row r="29" spans="1:9" ht="14.45" x14ac:dyDescent="0.3">
      <c r="C29" s="213"/>
      <c r="D29" s="213"/>
      <c r="E29" s="219"/>
      <c r="G29" s="221"/>
      <c r="I29" s="218"/>
    </row>
    <row r="30" spans="1:9" ht="14.45" x14ac:dyDescent="0.3">
      <c r="A30" s="211" t="s">
        <v>284</v>
      </c>
      <c r="C30" s="213"/>
      <c r="D30" s="213"/>
      <c r="E30" s="219"/>
      <c r="G30" s="221"/>
      <c r="I30" s="218"/>
    </row>
    <row r="31" spans="1:9" ht="14.45" x14ac:dyDescent="0.3">
      <c r="C31" s="213"/>
      <c r="D31" s="213"/>
      <c r="E31" s="219"/>
      <c r="G31" s="221"/>
      <c r="I31" s="218"/>
    </row>
    <row r="32" spans="1:9" ht="15" x14ac:dyDescent="0.25">
      <c r="A32" s="352">
        <f>VLOOKUP(B20,Wijzigingenblad!A6:F40,6)</f>
        <v>0</v>
      </c>
      <c r="B32" s="353"/>
      <c r="C32" s="353"/>
      <c r="D32" s="354"/>
      <c r="E32" s="225"/>
      <c r="F32" s="225"/>
      <c r="G32" s="221"/>
      <c r="I32" s="218"/>
    </row>
    <row r="33" spans="1:9" ht="15" x14ac:dyDescent="0.25">
      <c r="A33" s="355"/>
      <c r="B33" s="356"/>
      <c r="C33" s="356"/>
      <c r="D33" s="357"/>
      <c r="E33" s="225"/>
      <c r="F33" s="225"/>
      <c r="G33" s="221"/>
      <c r="I33" s="218"/>
    </row>
    <row r="34" spans="1:9" ht="15" x14ac:dyDescent="0.25">
      <c r="A34" s="355"/>
      <c r="B34" s="356"/>
      <c r="C34" s="356"/>
      <c r="D34" s="357"/>
      <c r="E34" s="225"/>
      <c r="F34" s="225"/>
      <c r="G34" s="221"/>
      <c r="I34" s="218"/>
    </row>
    <row r="35" spans="1:9" ht="15" x14ac:dyDescent="0.25">
      <c r="A35" s="355"/>
      <c r="B35" s="356"/>
      <c r="C35" s="356"/>
      <c r="D35" s="357"/>
      <c r="E35" s="225"/>
      <c r="F35" s="225"/>
      <c r="G35" s="221"/>
      <c r="I35" s="218"/>
    </row>
    <row r="36" spans="1:9" ht="15" x14ac:dyDescent="0.25">
      <c r="A36" s="355"/>
      <c r="B36" s="356"/>
      <c r="C36" s="356"/>
      <c r="D36" s="357"/>
      <c r="E36" s="225"/>
      <c r="F36" s="225"/>
      <c r="G36" s="221"/>
      <c r="I36" s="218"/>
    </row>
    <row r="37" spans="1:9" ht="15" x14ac:dyDescent="0.25">
      <c r="A37" s="355"/>
      <c r="B37" s="356"/>
      <c r="C37" s="356"/>
      <c r="D37" s="357"/>
      <c r="E37" s="225"/>
      <c r="F37" s="225"/>
      <c r="G37" s="221"/>
      <c r="I37" s="218"/>
    </row>
    <row r="38" spans="1:9" ht="15" x14ac:dyDescent="0.25">
      <c r="A38" s="355"/>
      <c r="B38" s="356"/>
      <c r="C38" s="356"/>
      <c r="D38" s="357"/>
      <c r="E38" s="225"/>
      <c r="F38" s="225"/>
      <c r="G38" s="221"/>
      <c r="I38" s="218"/>
    </row>
    <row r="39" spans="1:9" ht="15" x14ac:dyDescent="0.25">
      <c r="A39" s="358"/>
      <c r="B39" s="359"/>
      <c r="C39" s="359"/>
      <c r="D39" s="360"/>
      <c r="G39" s="221"/>
    </row>
    <row r="40" spans="1:9" ht="14.45" x14ac:dyDescent="0.3">
      <c r="D40" s="213"/>
      <c r="E40" s="213"/>
      <c r="F40" s="222"/>
      <c r="G40" s="221"/>
      <c r="H40" s="213"/>
    </row>
    <row r="41" spans="1:9" ht="14.45" x14ac:dyDescent="0.3">
      <c r="A41" s="211" t="s">
        <v>285</v>
      </c>
      <c r="E41" s="219"/>
      <c r="G41" s="221"/>
    </row>
    <row r="42" spans="1:9" ht="14.45" x14ac:dyDescent="0.3">
      <c r="E42" s="219"/>
      <c r="G42" s="221"/>
    </row>
    <row r="43" spans="1:9" ht="14.45" x14ac:dyDescent="0.3">
      <c r="E43" s="219"/>
      <c r="G43" s="221"/>
    </row>
    <row r="44" spans="1:9" ht="14.45" x14ac:dyDescent="0.3">
      <c r="A44" s="211" t="s">
        <v>286</v>
      </c>
      <c r="C44" s="224">
        <f ca="1">TODAY()</f>
        <v>42761</v>
      </c>
      <c r="E44" s="219"/>
      <c r="G44" s="221"/>
    </row>
    <row r="45" spans="1:9" ht="14.45" x14ac:dyDescent="0.3">
      <c r="C45" s="211" t="s">
        <v>287</v>
      </c>
      <c r="E45" s="219"/>
      <c r="G45" s="221"/>
    </row>
    <row r="46" spans="1:9" ht="14.45" hidden="1" x14ac:dyDescent="0.3">
      <c r="E46" s="219"/>
      <c r="G46" s="221"/>
    </row>
    <row r="47" spans="1:9" ht="14.45" hidden="1" x14ac:dyDescent="0.3">
      <c r="E47" s="219"/>
      <c r="G47" s="221"/>
    </row>
    <row r="48" spans="1:9" ht="14.45" hidden="1" x14ac:dyDescent="0.3">
      <c r="E48" s="219"/>
      <c r="G48" s="221"/>
    </row>
    <row r="49" spans="4:8" ht="14.45" hidden="1" x14ac:dyDescent="0.3">
      <c r="G49" s="221"/>
    </row>
    <row r="50" spans="4:8" ht="14.45" hidden="1" x14ac:dyDescent="0.3">
      <c r="G50" s="221"/>
    </row>
    <row r="51" spans="4:8" ht="14.45" hidden="1" x14ac:dyDescent="0.3">
      <c r="D51" s="213"/>
      <c r="E51" s="213"/>
      <c r="F51" s="222"/>
      <c r="G51" s="221"/>
      <c r="H51" s="213"/>
    </row>
    <row r="52" spans="4:8" ht="14.45" hidden="1" x14ac:dyDescent="0.3">
      <c r="E52" s="219"/>
      <c r="G52" s="221"/>
    </row>
    <row r="53" spans="4:8" ht="14.45" hidden="1" x14ac:dyDescent="0.3">
      <c r="E53" s="219"/>
      <c r="G53" s="221"/>
    </row>
    <row r="54" spans="4:8" ht="14.45" hidden="1" x14ac:dyDescent="0.3">
      <c r="E54" s="219"/>
      <c r="G54" s="221"/>
    </row>
    <row r="55" spans="4:8" ht="14.45" hidden="1" x14ac:dyDescent="0.3">
      <c r="E55" s="219"/>
      <c r="G55" s="221"/>
    </row>
    <row r="56" spans="4:8" ht="14.45" hidden="1" x14ac:dyDescent="0.3">
      <c r="E56" s="219"/>
      <c r="G56" s="221"/>
    </row>
    <row r="57" spans="4:8" ht="14.45" hidden="1" x14ac:dyDescent="0.3">
      <c r="E57" s="219"/>
      <c r="G57" s="221"/>
    </row>
    <row r="58" spans="4:8" ht="14.45" hidden="1" x14ac:dyDescent="0.3">
      <c r="E58" s="219"/>
      <c r="G58" s="221"/>
    </row>
    <row r="59" spans="4:8" ht="14.45" hidden="1" x14ac:dyDescent="0.3">
      <c r="E59" s="219"/>
      <c r="G59" s="221"/>
    </row>
    <row r="60" spans="4:8" ht="14.45" hidden="1" x14ac:dyDescent="0.3">
      <c r="E60" s="219"/>
      <c r="G60" s="221"/>
    </row>
    <row r="61" spans="4:8" ht="14.45" hidden="1" x14ac:dyDescent="0.3">
      <c r="E61" s="219"/>
      <c r="G61" s="221"/>
    </row>
    <row r="62" spans="4:8" ht="14.45" hidden="1" x14ac:dyDescent="0.3">
      <c r="G62" s="221"/>
    </row>
    <row r="63" spans="4:8" ht="14.45" hidden="1" x14ac:dyDescent="0.3">
      <c r="D63" s="213"/>
      <c r="E63" s="213"/>
      <c r="F63" s="222"/>
      <c r="G63" s="221"/>
      <c r="H63" s="213"/>
    </row>
    <row r="64" spans="4:8" ht="14.45" hidden="1" x14ac:dyDescent="0.3">
      <c r="D64" s="213"/>
      <c r="E64" s="213"/>
      <c r="F64" s="222"/>
      <c r="G64" s="221"/>
      <c r="H64" s="213"/>
    </row>
    <row r="65" spans="4:8" ht="14.45" hidden="1" x14ac:dyDescent="0.3">
      <c r="D65" s="219"/>
      <c r="E65" s="219"/>
      <c r="F65" s="222"/>
      <c r="G65" s="221"/>
      <c r="H65" s="219"/>
    </row>
    <row r="66" spans="4:8" ht="14.45" hidden="1" x14ac:dyDescent="0.3">
      <c r="D66" s="219"/>
      <c r="E66" s="219"/>
      <c r="F66" s="222"/>
      <c r="G66" s="221"/>
      <c r="H66" s="219"/>
    </row>
    <row r="67" spans="4:8" ht="14.45" hidden="1" x14ac:dyDescent="0.3">
      <c r="D67" s="219"/>
      <c r="E67" s="219"/>
      <c r="F67" s="222"/>
      <c r="G67" s="221"/>
      <c r="H67" s="219"/>
    </row>
    <row r="68" spans="4:8" ht="14.45" hidden="1" x14ac:dyDescent="0.3">
      <c r="D68" s="219"/>
      <c r="E68" s="219"/>
      <c r="F68" s="222"/>
      <c r="G68" s="221"/>
      <c r="H68" s="219"/>
    </row>
    <row r="69" spans="4:8" ht="14.45" hidden="1" x14ac:dyDescent="0.3">
      <c r="D69" s="219"/>
      <c r="E69" s="219"/>
      <c r="F69" s="222"/>
      <c r="G69" s="221"/>
      <c r="H69" s="219"/>
    </row>
    <row r="70" spans="4:8" ht="14.45" hidden="1" x14ac:dyDescent="0.3">
      <c r="D70" s="219"/>
      <c r="E70" s="219"/>
      <c r="F70" s="222"/>
      <c r="G70" s="221"/>
      <c r="H70" s="219"/>
    </row>
    <row r="71" spans="4:8" ht="14.45" hidden="1" x14ac:dyDescent="0.3">
      <c r="D71" s="219"/>
      <c r="E71" s="219"/>
      <c r="F71" s="222"/>
      <c r="G71" s="221"/>
      <c r="H71" s="219"/>
    </row>
    <row r="72" spans="4:8" ht="14.45" hidden="1" x14ac:dyDescent="0.3">
      <c r="D72" s="219"/>
      <c r="E72" s="219"/>
      <c r="F72" s="222"/>
      <c r="G72" s="221"/>
      <c r="H72" s="219"/>
    </row>
    <row r="73" spans="4:8" ht="14.45" hidden="1" x14ac:dyDescent="0.3">
      <c r="D73" s="219"/>
      <c r="E73" s="219"/>
      <c r="F73" s="222"/>
      <c r="G73" s="221"/>
      <c r="H73" s="219"/>
    </row>
    <row r="74" spans="4:8" ht="14.45" hidden="1" x14ac:dyDescent="0.3">
      <c r="D74" s="219"/>
      <c r="E74" s="219"/>
      <c r="F74" s="222"/>
      <c r="G74" s="221"/>
      <c r="H74" s="219"/>
    </row>
    <row r="75" spans="4:8" ht="14.45" hidden="1" x14ac:dyDescent="0.3">
      <c r="D75" s="219"/>
      <c r="E75" s="219"/>
      <c r="F75" s="222"/>
      <c r="G75" s="221"/>
      <c r="H75" s="219"/>
    </row>
    <row r="76" spans="4:8" ht="14.45" hidden="1" x14ac:dyDescent="0.3">
      <c r="D76" s="219"/>
      <c r="E76" s="219"/>
      <c r="F76" s="222"/>
      <c r="G76" s="221"/>
      <c r="H76" s="219"/>
    </row>
    <row r="77" spans="4:8" ht="14.45" hidden="1" x14ac:dyDescent="0.3">
      <c r="D77" s="219"/>
      <c r="E77" s="219"/>
      <c r="F77" s="222"/>
      <c r="G77" s="221"/>
      <c r="H77" s="219"/>
    </row>
    <row r="78" spans="4:8" ht="14.45" hidden="1" x14ac:dyDescent="0.3">
      <c r="D78" s="219"/>
      <c r="E78" s="219"/>
      <c r="F78" s="222"/>
      <c r="G78" s="221"/>
      <c r="H78" s="219"/>
    </row>
    <row r="79" spans="4:8" ht="14.45" hidden="1" x14ac:dyDescent="0.3">
      <c r="G79" s="221"/>
    </row>
    <row r="80" spans="4:8" ht="14.45" hidden="1" x14ac:dyDescent="0.3">
      <c r="G80" s="221"/>
    </row>
    <row r="81" spans="4:8" ht="14.45" hidden="1" x14ac:dyDescent="0.3">
      <c r="G81" s="221"/>
      <c r="H81" s="214"/>
    </row>
    <row r="82" spans="4:8" ht="14.45" hidden="1" x14ac:dyDescent="0.3">
      <c r="G82" s="221"/>
    </row>
    <row r="83" spans="4:8" ht="14.45" hidden="1" x14ac:dyDescent="0.3">
      <c r="E83" s="213"/>
    </row>
    <row r="84" spans="4:8" ht="14.45" hidden="1" x14ac:dyDescent="0.3">
      <c r="D84" s="214"/>
      <c r="E84" s="213"/>
      <c r="H84" s="214"/>
    </row>
    <row r="85" spans="4:8" ht="14.45" hidden="1" x14ac:dyDescent="0.3"/>
    <row r="86" spans="4:8" ht="14.45" hidden="1" x14ac:dyDescent="0.3"/>
    <row r="87" spans="4:8" ht="14.45" hidden="1" x14ac:dyDescent="0.3"/>
    <row r="88" spans="4:8" ht="14.45" hidden="1" x14ac:dyDescent="0.3"/>
    <row r="89" spans="4:8" ht="14.45" hidden="1" x14ac:dyDescent="0.3"/>
    <row r="90" spans="4:8" ht="14.45" hidden="1" x14ac:dyDescent="0.3"/>
    <row r="91" spans="4:8" ht="14.45" hidden="1" x14ac:dyDescent="0.3"/>
    <row r="92" spans="4:8" ht="14.45" hidden="1" x14ac:dyDescent="0.3"/>
    <row r="93" spans="4:8" ht="14.45" hidden="1" x14ac:dyDescent="0.3"/>
    <row r="94" spans="4:8" ht="14.45" hidden="1" x14ac:dyDescent="0.3"/>
    <row r="95" spans="4:8" ht="14.45" hidden="1" x14ac:dyDescent="0.3"/>
    <row r="96" spans="4:8" ht="14.45" hidden="1" x14ac:dyDescent="0.3"/>
    <row r="97" ht="14.45" hidden="1" x14ac:dyDescent="0.3"/>
    <row r="98" ht="14.45" hidden="1" x14ac:dyDescent="0.3"/>
    <row r="99" ht="14.45" hidden="1" x14ac:dyDescent="0.3"/>
    <row r="100" ht="14.45" hidden="1" x14ac:dyDescent="0.3"/>
    <row r="101" ht="14.45" hidden="1" x14ac:dyDescent="0.3"/>
    <row r="102" ht="14.45" hidden="1" x14ac:dyDescent="0.3"/>
    <row r="103" ht="14.45" hidden="1" x14ac:dyDescent="0.3"/>
    <row r="104" ht="14.45" hidden="1" x14ac:dyDescent="0.3"/>
    <row r="105" ht="14.45" hidden="1" x14ac:dyDescent="0.3"/>
    <row r="106" ht="14.45" hidden="1" x14ac:dyDescent="0.3"/>
    <row r="107" ht="14.45" hidden="1" x14ac:dyDescent="0.3"/>
    <row r="108" ht="14.45" hidden="1" x14ac:dyDescent="0.3"/>
    <row r="109" ht="14.45" hidden="1" x14ac:dyDescent="0.3"/>
    <row r="110" ht="14.45" hidden="1" x14ac:dyDescent="0.3"/>
    <row r="111" ht="14.45" hidden="1" x14ac:dyDescent="0.3"/>
    <row r="112" ht="14.45" hidden="1" x14ac:dyDescent="0.3"/>
    <row r="113" ht="14.45" hidden="1" x14ac:dyDescent="0.3"/>
    <row r="114" ht="14.45" hidden="1" x14ac:dyDescent="0.3"/>
    <row r="115" ht="14.45" hidden="1" x14ac:dyDescent="0.3"/>
    <row r="116" ht="14.45" hidden="1" x14ac:dyDescent="0.3"/>
    <row r="117" ht="14.45" hidden="1" x14ac:dyDescent="0.3"/>
    <row r="118" ht="14.45" hidden="1" x14ac:dyDescent="0.3"/>
    <row r="119" ht="14.45" hidden="1" x14ac:dyDescent="0.3"/>
    <row r="120" ht="14.45" hidden="1" x14ac:dyDescent="0.3"/>
    <row r="121" ht="14.45" hidden="1" x14ac:dyDescent="0.3"/>
    <row r="122" ht="14.45" hidden="1" x14ac:dyDescent="0.3"/>
    <row r="123" ht="14.45" hidden="1" x14ac:dyDescent="0.3"/>
    <row r="124" ht="14.45" hidden="1" x14ac:dyDescent="0.3"/>
  </sheetData>
  <mergeCells count="1">
    <mergeCell ref="A32:D39"/>
  </mergeCells>
  <conditionalFormatting sqref="F17">
    <cfRule type="containsText" dxfId="2" priority="2" operator="containsText" text="te laag">
      <formula>NOT(ISERROR(SEARCH("te laag",F17)))</formula>
    </cfRule>
  </conditionalFormatting>
  <conditionalFormatting sqref="F18">
    <cfRule type="containsText" dxfId="1" priority="1" operator="containsText" text="te laag">
      <formula>NOT(ISERROR(SEARCH("te laag",F18)))</formula>
    </cfRule>
  </conditionalFormatting>
  <pageMargins left="0.7" right="0.7" top="0.75" bottom="0.75" header="0.3" footer="0.3"/>
  <pageSetup paperSize="9" scale="86" orientation="portrait" r:id="rId1"/>
  <headerFooter>
    <oddHeader>&amp;L&amp;G</oddHeader>
    <oddFooter>&amp;L* Alle bedragen zijn excl. btw&amp;R® Alpha Adviesbureau</oddFooter>
  </headerFooter>
  <colBreaks count="1" manualBreakCount="1">
    <brk id="6" max="42" man="1"/>
  </colBreak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A4039F39-5B78-4033-BFAC-463A94091421}">
            <xm:f>NOT(ISERROR(SEARCH("te laag",F16)))</xm:f>
            <xm:f>"te laag"</xm:f>
            <x14:dxf>
              <fill>
                <patternFill>
                  <bgColor rgb="FFFF0000"/>
                </patternFill>
              </fill>
            </x14:dxf>
          </x14:cfRule>
          <xm:sqref>F16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16</vt:i4>
      </vt:variant>
    </vt:vector>
  </HeadingPairs>
  <TitlesOfParts>
    <vt:vector size="25" baseType="lpstr">
      <vt:lpstr>verzamelblad</vt:lpstr>
      <vt:lpstr>basisgegevens</vt:lpstr>
      <vt:lpstr>uurtariefopbouw</vt:lpstr>
      <vt:lpstr>1</vt:lpstr>
      <vt:lpstr>1a</vt:lpstr>
      <vt:lpstr>2</vt:lpstr>
      <vt:lpstr>Totaalblad</vt:lpstr>
      <vt:lpstr>Wijzigingenblad</vt:lpstr>
      <vt:lpstr>Supplement</vt:lpstr>
      <vt:lpstr>'1'!Afdrukbereik</vt:lpstr>
      <vt:lpstr>'1a'!Afdrukbereik</vt:lpstr>
      <vt:lpstr>'2'!Afdrukbereik</vt:lpstr>
      <vt:lpstr>basisgegevens!Afdrukbereik</vt:lpstr>
      <vt:lpstr>Supplement!Afdrukbereik</vt:lpstr>
      <vt:lpstr>verzamelblad!Afdrukbereik</vt:lpstr>
      <vt:lpstr>bestekcontract</vt:lpstr>
      <vt:lpstr>besteknr</vt:lpstr>
      <vt:lpstr>directtoezicht</vt:lpstr>
      <vt:lpstr>offertetarief</vt:lpstr>
      <vt:lpstr>opdrachtgever</vt:lpstr>
      <vt:lpstr>opdrachtnemer</vt:lpstr>
      <vt:lpstr>opdrachtnemerplaats</vt:lpstr>
      <vt:lpstr>plaatsopdrnmr</vt:lpstr>
      <vt:lpstr>regietarief</vt:lpstr>
      <vt:lpstr>spectarief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Godlieb</dc:creator>
  <cp:lastModifiedBy>Mathieu Lanting</cp:lastModifiedBy>
  <cp:lastPrinted>2016-12-12T12:29:04Z</cp:lastPrinted>
  <dcterms:created xsi:type="dcterms:W3CDTF">2012-08-02T07:38:51Z</dcterms:created>
  <dcterms:modified xsi:type="dcterms:W3CDTF">2017-01-26T12:37:54Z</dcterms:modified>
</cp:coreProperties>
</file>