
<file path=[Content_Types].xml><?xml version="1.0" encoding="utf-8"?>
<Types xmlns="http://schemas.openxmlformats.org/package/2006/content-types">
  <Default Extension="xml" ContentType="application/xml"/>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6423"/>
  <workbookPr showInkAnnotation="0" codeName="ThisWorkbook" autoCompressPictures="0"/>
  <bookViews>
    <workbookView xWindow="0" yWindow="0" windowWidth="48200" windowHeight="26320" tabRatio="1000" firstSheet="1" activeTab="1"/>
  </bookViews>
  <sheets>
    <sheet name="Info blad" sheetId="11" state="hidden" r:id="rId1"/>
    <sheet name="Toelichting Calculatiemodel" sheetId="42" r:id="rId2"/>
    <sheet name="Voorblad" sheetId="33" r:id="rId3"/>
    <sheet name="Uitleg calculatiemodule" sheetId="34" state="hidden" r:id="rId4"/>
    <sheet name="1.0-Contractblad" sheetId="31" r:id="rId5"/>
    <sheet name="1.1a-Jaarprijzen" sheetId="28" r:id="rId6"/>
    <sheet name="1.2-Kengetal" sheetId="1" r:id="rId7"/>
    <sheet name="1.3-Basis ruimtestaat" sheetId="2" r:id="rId8"/>
    <sheet name="1.3a-Mutaties" sheetId="39" state="hidden" r:id="rId9"/>
    <sheet name="1.4-Premies en opslagen" sheetId="29" r:id="rId10"/>
    <sheet name="1.5 Opbouw uurtarieven" sheetId="32" r:id="rId11"/>
    <sheet name="1.6-Machine-investeringskosten" sheetId="10" r:id="rId12"/>
    <sheet name="1.8-Afroepprijs" sheetId="5" r:id="rId13"/>
    <sheet name="1.9-Glasbewassing" sheetId="35" r:id="rId14"/>
  </sheets>
  <externalReferences>
    <externalReference r:id="rId15"/>
    <externalReference r:id="rId16"/>
    <externalReference r:id="rId17"/>
  </externalReferences>
  <definedNames>
    <definedName name="_1F" localSheetId="13" hidden="1">[1]Blad1!#REF!</definedName>
    <definedName name="_2F" localSheetId="8" hidden="1">[1]Blad1!#REF!</definedName>
    <definedName name="_2F" hidden="1">[1]Blad1!#REF!</definedName>
    <definedName name="_Fill" localSheetId="8" hidden="1">'[2]#REF'!#REF!</definedName>
    <definedName name="_Fill" localSheetId="13" hidden="1">'[2]#REF'!#REF!</definedName>
    <definedName name="_Fill" hidden="1">'[2]#REF'!#REF!</definedName>
    <definedName name="_xlnm._FilterDatabase" localSheetId="5" hidden="1">'1.1a-Jaarprijzen'!$B$10:$N$10</definedName>
    <definedName name="_xlnm._FilterDatabase" localSheetId="6" hidden="1">'1.2-Kengetal'!$C$9:$P$9</definedName>
    <definedName name="_xlnm._FilterDatabase" localSheetId="7" hidden="1">'1.3-Basis ruimtestaat'!$B$10:$AA$266</definedName>
    <definedName name="_xlnm._FilterDatabase" localSheetId="8" hidden="1">'1.3a-Mutaties'!$D$10:$Z$20</definedName>
    <definedName name="_Key1" localSheetId="8" hidden="1">'[2]#REF'!#REF!</definedName>
    <definedName name="_Key1" localSheetId="13" hidden="1">'[2]#REF'!#REF!</definedName>
    <definedName name="_Key1" hidden="1">'[2]#REF'!#REF!</definedName>
    <definedName name="_Key2" localSheetId="13" hidden="1">#REF!</definedName>
    <definedName name="_Key2" hidden="1">#REF!</definedName>
    <definedName name="_Order1" hidden="1">255</definedName>
    <definedName name="_Order2" hidden="1">255</definedName>
    <definedName name="_Sort" localSheetId="13" hidden="1">#REF!</definedName>
    <definedName name="_Sort" hidden="1">#REF!</definedName>
    <definedName name="_xlnm.Print_Area" localSheetId="4">'1.0-Contractblad'!$C$10:$J$156</definedName>
    <definedName name="_xlnm.Print_Area" localSheetId="5">'1.1a-Jaarprijzen'!$A$1:$N$73</definedName>
    <definedName name="_xlnm.Print_Area" localSheetId="6">'1.2-Kengetal'!$B$2:$P$46</definedName>
    <definedName name="_xlnm.Print_Area" localSheetId="7">'1.3-Basis ruimtestaat'!$E$11:$Z$266</definedName>
    <definedName name="_xlnm.Print_Area" localSheetId="8">'1.3a-Mutaties'!$E$11:$Z$20</definedName>
    <definedName name="_xlnm.Print_Area" localSheetId="9">'1.4-Premies en opslagen'!$B:$F</definedName>
    <definedName name="_xlnm.Print_Area" localSheetId="10">'1.5 Opbouw uurtarieven'!$B$1:$AU$44</definedName>
    <definedName name="_xlnm.Print_Area" localSheetId="11">'1.6-Machine-investeringskosten'!$A$2:$E$117</definedName>
    <definedName name="_xlnm.Print_Area" localSheetId="12">'1.8-Afroepprijs'!$A$3:$H$61</definedName>
    <definedName name="_xlnm.Print_Area" localSheetId="13">'1.9-Glasbewassing'!$A$3:$S$38</definedName>
    <definedName name="_xlnm.Print_Area" localSheetId="0">'Info blad'!$A$1:$I$49</definedName>
    <definedName name="_xlnm.Print_Area" localSheetId="1">'Toelichting Calculatiemodel'!$A$3:$C$151</definedName>
    <definedName name="_xlnm.Print_Area" localSheetId="3">'Uitleg calculatiemodule'!$C$1:$M$69</definedName>
    <definedName name="_xlnm.Print_Area" localSheetId="2">Voorblad!$B$1:$I$58</definedName>
    <definedName name="_xlnm.Print_Titles" localSheetId="4">'1.0-Contractblad'!$1:$12</definedName>
    <definedName name="_xlnm.Print_Titles" localSheetId="6">'1.2-Kengetal'!$9:$9</definedName>
    <definedName name="_xlnm.Print_Titles" localSheetId="7">'1.3-Basis ruimtestaat'!$E:$I,'1.3-Basis ruimtestaat'!$3:$10</definedName>
    <definedName name="_xlnm.Print_Titles" localSheetId="8">'1.3a-Mutaties'!$E:$I,'1.3a-Mutaties'!$3:$10</definedName>
    <definedName name="_xlnm.Print_Titles" localSheetId="11">'1.6-Machine-investeringskosten'!$B:$B,'1.6-Machine-investeringskosten'!$3:$9</definedName>
    <definedName name="_xlnm.Print_Titles" localSheetId="12">'1.8-Afroepprijs'!$4:$12</definedName>
    <definedName name="_xlnm.Print_Titles" localSheetId="13">'1.9-Glasbewassing'!$4:$12</definedName>
    <definedName name="Allelocaties" localSheetId="8">'1.3a-Mutaties'!$A:$T</definedName>
    <definedName name="Allelocaties">'1.3-Basis ruimtestaat'!$A:$T</definedName>
    <definedName name="_xlnm.Database" localSheetId="8">'1.3a-Mutaties'!$D$10:$Z$20</definedName>
    <definedName name="_xlnm.Database">'1.3-Basis ruimtestaat'!$D$10:$Z$266</definedName>
    <definedName name="database2" localSheetId="8">'1.3a-Mutaties'!$C$10:$Z$20</definedName>
    <definedName name="database2">'1.3-Basis ruimtestaat'!$C$10:$Z$266</definedName>
    <definedName name="datamutaties" localSheetId="13">#REF!</definedName>
    <definedName name="han" localSheetId="8" hidden="1">'[2]#REF'!#REF!</definedName>
    <definedName name="han" localSheetId="13" hidden="1">'[2]#REF'!#REF!</definedName>
    <definedName name="han" hidden="1">'[2]#REF'!#REF!</definedName>
    <definedName name="HTML_CodePage" hidden="1">1252</definedName>
    <definedName name="HTML_Control" localSheetId="4" hidden="1">{"'ma_vr'!$A$1:$AA$42"}</definedName>
    <definedName name="HTML_Control" localSheetId="13" hidden="1">{"'ma_vr'!$A$1:$AA$42"}</definedName>
    <definedName name="HTML_Control" hidden="1">{"'ma_vr'!$A$1:$AA$42"}</definedName>
    <definedName name="HTML_Description" hidden="1">""</definedName>
    <definedName name="HTML_Email" hidden="1">""</definedName>
    <definedName name="HTML_Header" hidden="1">"ma_vr"</definedName>
    <definedName name="HTML_LastUpdate" hidden="1">"06-04-2000"</definedName>
    <definedName name="HTML_LineAfter" hidden="1">FALSE</definedName>
    <definedName name="HTML_LineBefore" hidden="1">FALSE</definedName>
    <definedName name="HTML_Name" hidden="1">"R.Ballast"</definedName>
    <definedName name="HTML_OBDlg2" hidden="1">TRUE</definedName>
    <definedName name="HTML_OBDlg4" hidden="1">TRUE</definedName>
    <definedName name="HTML_OS" hidden="1">0</definedName>
    <definedName name="HTML_PathFile" hidden="1">"F:\MS Office\Tarieven 2000\HTML.htm"</definedName>
    <definedName name="HTML_Title" hidden="1">"Tarief2000_basisRB"</definedName>
    <definedName name="Kengetal" localSheetId="13">'[3]1.2-Kengetal'!$C$10:$O$34</definedName>
    <definedName name="Kengetal">'1.2-Kengetal'!$C$10:$P$33</definedName>
    <definedName name="LOCATIE" localSheetId="8">'1.3a-Mutaties'!$E:$R</definedName>
    <definedName name="LOCATIE">'1.3-Basis ruimtestaat'!$E:$R</definedName>
    <definedName name="Loongroep">'1.5 Opbouw uurtarieven'!$A$18:$A$42</definedName>
    <definedName name="Loongroepen">'1.5 Opbouw uurtarieven'!$A$12:$A$46</definedName>
    <definedName name="Meters" localSheetId="8">'1.3a-Mutaties'!$K:$K</definedName>
    <definedName name="Meters" localSheetId="13">'[3]1.3-Basis ruimtestaat'!$K:$K</definedName>
    <definedName name="Meters">'1.3-Basis ruimtestaat'!$K:$K</definedName>
    <definedName name="Perceel" localSheetId="8">'1.3a-Mutaties'!$F:$U</definedName>
    <definedName name="Perceel">'1.3-Basis ruimtestaat'!$F:$U</definedName>
    <definedName name="PERCEEL2" localSheetId="8">'1.3a-Mutaties'!$A:$U</definedName>
    <definedName name="PERCEEL2">'1.3-Basis ruimtestaat'!$A:$U</definedName>
    <definedName name="q" localSheetId="8" hidden="1">[1]Blad1!#REF!</definedName>
    <definedName name="q" localSheetId="13" hidden="1">[1]Blad1!#REF!</definedName>
    <definedName name="q" hidden="1">[1]Blad1!#REF!</definedName>
    <definedName name="Tabel">'1.4-Premies en opslagen'!$L$3:$M$5</definedName>
    <definedName name="Totaal" localSheetId="8">'1.3a-Mutaties'!$A$10:$T$20</definedName>
    <definedName name="Totaal">'1.3-Basis ruimtestaat'!$A$10:$T$266</definedName>
    <definedName name="Totaal2" localSheetId="8">'1.3a-Mutaties'!$E$10:$T$44</definedName>
    <definedName name="Totaal2" localSheetId="13">'[3]1.3-Basis ruimtestaat'!$E$10:$T$388</definedName>
    <definedName name="Totaal2">'1.3-Basis ruimtestaat'!$E$10:$T$266</definedName>
    <definedName name="UREMAVR" localSheetId="8">'1.3a-Mutaties'!$R$10:$R$44</definedName>
    <definedName name="UREMAVR" localSheetId="13">'[3]1.3-Basis ruimtestaat'!$R$10:$R$388</definedName>
    <definedName name="UREMAVR">'1.3-Basis ruimtestaat'!$R$10:$R$266</definedName>
    <definedName name="URENEWEEKEND" localSheetId="8">'1.3a-Mutaties'!$T$10:$T$44</definedName>
    <definedName name="URENEWEEKEND" localSheetId="13">'[3]1.3-Basis ruimtestaat'!$T$10:$T$388</definedName>
    <definedName name="URENEWEEKEND">'1.3-Basis ruimtestaat'!$T$10:$T$266</definedName>
    <definedName name="URENNALOOP" localSheetId="8">'1.3a-Mutaties'!$S$10:$S$44</definedName>
    <definedName name="URENNALOOP" localSheetId="13">'[3]1.3-Basis ruimtestaat'!$S$10:$S$388</definedName>
    <definedName name="URENNALOOP">'1.3-Basis ruimtestaat'!$S$10:$S$266</definedName>
  </definedName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Z266" i="2" l="1"/>
  <c r="Z265" i="2"/>
  <c r="Z264" i="2"/>
  <c r="Z263" i="2"/>
  <c r="Z262" i="2"/>
  <c r="Z261" i="2"/>
  <c r="Z260" i="2"/>
  <c r="Z259" i="2"/>
  <c r="Z258" i="2"/>
  <c r="Z257" i="2"/>
  <c r="Z256" i="2"/>
  <c r="Z255" i="2"/>
  <c r="Z254" i="2"/>
  <c r="Z253" i="2"/>
  <c r="Z252" i="2"/>
  <c r="Z251" i="2"/>
  <c r="Z250" i="2"/>
  <c r="Z249" i="2"/>
  <c r="Z248" i="2"/>
  <c r="Z247" i="2"/>
  <c r="Z246" i="2"/>
  <c r="Z245" i="2"/>
  <c r="Z244" i="2"/>
  <c r="Z243" i="2"/>
  <c r="Z242" i="2"/>
  <c r="Z241" i="2"/>
  <c r="Z240" i="2"/>
  <c r="Z239" i="2"/>
  <c r="Z238" i="2"/>
  <c r="Z237" i="2"/>
  <c r="Z236" i="2"/>
  <c r="Z235" i="2"/>
  <c r="Z234" i="2"/>
  <c r="Z233" i="2"/>
  <c r="Z232" i="2"/>
  <c r="Z231" i="2"/>
  <c r="Z230" i="2"/>
  <c r="Z229" i="2"/>
  <c r="Z228" i="2"/>
  <c r="Z227" i="2"/>
  <c r="Z226" i="2"/>
  <c r="Z225" i="2"/>
  <c r="Z224" i="2"/>
  <c r="Z223" i="2"/>
  <c r="Z222" i="2"/>
  <c r="Z221" i="2"/>
  <c r="Z220" i="2"/>
  <c r="Z219" i="2"/>
  <c r="Z218" i="2"/>
  <c r="Z217" i="2"/>
  <c r="Z216" i="2"/>
  <c r="Z215" i="2"/>
  <c r="Z214" i="2"/>
  <c r="Z213" i="2"/>
  <c r="Z212" i="2"/>
  <c r="Z211" i="2"/>
  <c r="Z210" i="2"/>
  <c r="Z209" i="2"/>
  <c r="Z208" i="2"/>
  <c r="Z207" i="2"/>
  <c r="Z206" i="2"/>
  <c r="Z205" i="2"/>
  <c r="Z204" i="2"/>
  <c r="Z203" i="2"/>
  <c r="Z202" i="2"/>
  <c r="Z201" i="2"/>
  <c r="Z200" i="2"/>
  <c r="Z199" i="2"/>
  <c r="Z198" i="2"/>
  <c r="Z197" i="2"/>
  <c r="Z196" i="2"/>
  <c r="Z195" i="2"/>
  <c r="Z194" i="2"/>
  <c r="Z193" i="2"/>
  <c r="Z192" i="2"/>
  <c r="Z191" i="2"/>
  <c r="Z190" i="2"/>
  <c r="Z189" i="2"/>
  <c r="Z188" i="2"/>
  <c r="Z187" i="2"/>
  <c r="Z186" i="2"/>
  <c r="Z185" i="2"/>
  <c r="Z184" i="2"/>
  <c r="Z183" i="2"/>
  <c r="Z182" i="2"/>
  <c r="Z181" i="2"/>
  <c r="Z180" i="2"/>
  <c r="Z179" i="2"/>
  <c r="Z178" i="2"/>
  <c r="Z177" i="2"/>
  <c r="Z176" i="2"/>
  <c r="Z175" i="2"/>
  <c r="Z174" i="2"/>
  <c r="Z173" i="2"/>
  <c r="Z172" i="2"/>
  <c r="Z171" i="2"/>
  <c r="Z170" i="2"/>
  <c r="Z169" i="2"/>
  <c r="Z168" i="2"/>
  <c r="Z167" i="2"/>
  <c r="Z166" i="2"/>
  <c r="Z165" i="2"/>
  <c r="Z164" i="2"/>
  <c r="Z163" i="2"/>
  <c r="Z162" i="2"/>
  <c r="Z161" i="2"/>
  <c r="Z160" i="2"/>
  <c r="Z159" i="2"/>
  <c r="Z158" i="2"/>
  <c r="Z157" i="2"/>
  <c r="Z156" i="2"/>
  <c r="Z155" i="2"/>
  <c r="Z154" i="2"/>
  <c r="Z153" i="2"/>
  <c r="Z152" i="2"/>
  <c r="Z151" i="2"/>
  <c r="Z150" i="2"/>
  <c r="Z149" i="2"/>
  <c r="Z148" i="2"/>
  <c r="Z147" i="2"/>
  <c r="Z146" i="2"/>
  <c r="Z145" i="2"/>
  <c r="Z144" i="2"/>
  <c r="Z143" i="2"/>
  <c r="Z142" i="2"/>
  <c r="Z141" i="2"/>
  <c r="Z140" i="2"/>
  <c r="Z139" i="2"/>
  <c r="Z138" i="2"/>
  <c r="Z137" i="2"/>
  <c r="Z136" i="2"/>
  <c r="Z135" i="2"/>
  <c r="Z134" i="2"/>
  <c r="Z133" i="2"/>
  <c r="Z132" i="2"/>
  <c r="Z131" i="2"/>
  <c r="Z130" i="2"/>
  <c r="Z129" i="2"/>
  <c r="Z128" i="2"/>
  <c r="Z127" i="2"/>
  <c r="Z126" i="2"/>
  <c r="Z125" i="2"/>
  <c r="Z124" i="2"/>
  <c r="Z123" i="2"/>
  <c r="Z122" i="2"/>
  <c r="Z121" i="2"/>
  <c r="Z120" i="2"/>
  <c r="Z119" i="2"/>
  <c r="Z118" i="2"/>
  <c r="Z117" i="2"/>
  <c r="Z116" i="2"/>
  <c r="Z115" i="2"/>
  <c r="Z114" i="2"/>
  <c r="Z113" i="2"/>
  <c r="Z112" i="2"/>
  <c r="Z111" i="2"/>
  <c r="Z110" i="2"/>
  <c r="Z109" i="2"/>
  <c r="Z108" i="2"/>
  <c r="Z107" i="2"/>
  <c r="Z106" i="2"/>
  <c r="Z105" i="2"/>
  <c r="Z104" i="2"/>
  <c r="Z103" i="2"/>
  <c r="Z102" i="2"/>
  <c r="Z101" i="2"/>
  <c r="Z100" i="2"/>
  <c r="Z99" i="2"/>
  <c r="Z98" i="2"/>
  <c r="Z97" i="2"/>
  <c r="Z96" i="2"/>
  <c r="Z95" i="2"/>
  <c r="Z94" i="2"/>
  <c r="Z93" i="2"/>
  <c r="Z92" i="2"/>
  <c r="Z91" i="2"/>
  <c r="Z90" i="2"/>
  <c r="Z89" i="2"/>
  <c r="Z88" i="2"/>
  <c r="Z87" i="2"/>
  <c r="Z86" i="2"/>
  <c r="Z85" i="2"/>
  <c r="Z84" i="2"/>
  <c r="Z83" i="2"/>
  <c r="Z82" i="2"/>
  <c r="Z81" i="2"/>
  <c r="Z80" i="2"/>
  <c r="Z79" i="2"/>
  <c r="Z78" i="2"/>
  <c r="Z77" i="2"/>
  <c r="Z76" i="2"/>
  <c r="Z75" i="2"/>
  <c r="Z74" i="2"/>
  <c r="Z73" i="2"/>
  <c r="Z72" i="2"/>
  <c r="Z71" i="2"/>
  <c r="Z70" i="2"/>
  <c r="Z69" i="2"/>
  <c r="Z68" i="2"/>
  <c r="Z67" i="2"/>
  <c r="Z66" i="2"/>
  <c r="Z65" i="2"/>
  <c r="Z64" i="2"/>
  <c r="Z63" i="2"/>
  <c r="Z62" i="2"/>
  <c r="Z61" i="2"/>
  <c r="Z60" i="2"/>
  <c r="Z59" i="2"/>
  <c r="Z58" i="2"/>
  <c r="Z57" i="2"/>
  <c r="Z56" i="2"/>
  <c r="Z55" i="2"/>
  <c r="Z54" i="2"/>
  <c r="Z53" i="2"/>
  <c r="Z52" i="2"/>
  <c r="Z51" i="2"/>
  <c r="Z50" i="2"/>
  <c r="Z49" i="2"/>
  <c r="Z48" i="2"/>
  <c r="Z47" i="2"/>
  <c r="Z46" i="2"/>
  <c r="Z45" i="2"/>
  <c r="Z44" i="2"/>
  <c r="Z43" i="2"/>
  <c r="Z42" i="2"/>
  <c r="Z41" i="2"/>
  <c r="Z40" i="2"/>
  <c r="Z39" i="2"/>
  <c r="Z38" i="2"/>
  <c r="Z37" i="2"/>
  <c r="Z36" i="2"/>
  <c r="Z35" i="2"/>
  <c r="Z34" i="2"/>
  <c r="Z33" i="2"/>
  <c r="Z32" i="2"/>
  <c r="Z31" i="2"/>
  <c r="Z30" i="2"/>
  <c r="Z29" i="2"/>
  <c r="Z28" i="2"/>
  <c r="Z27" i="2"/>
  <c r="Z26" i="2"/>
  <c r="Z25" i="2"/>
  <c r="Z24" i="2"/>
  <c r="Z23" i="2"/>
  <c r="Z22" i="2"/>
  <c r="Z21" i="2"/>
  <c r="Z20" i="2"/>
  <c r="Z19" i="2"/>
  <c r="Z18" i="2"/>
  <c r="Z17" i="2"/>
  <c r="Z16" i="2"/>
  <c r="Z15" i="2"/>
  <c r="Z14" i="2"/>
  <c r="Z13" i="2"/>
  <c r="Z12" i="2"/>
  <c r="Z11" i="2"/>
  <c r="H11" i="28"/>
  <c r="I11" i="28"/>
  <c r="K11" i="28"/>
  <c r="E11" i="28"/>
  <c r="F11" i="28"/>
  <c r="J11" i="28"/>
  <c r="E12" i="28"/>
  <c r="F12" i="28"/>
  <c r="H12" i="28"/>
  <c r="I12" i="28"/>
  <c r="J12" i="28"/>
  <c r="E13" i="28"/>
  <c r="F13" i="28"/>
  <c r="H13" i="28"/>
  <c r="I13" i="28"/>
  <c r="J13" i="28"/>
  <c r="E14" i="28"/>
  <c r="F14" i="28"/>
  <c r="H14" i="28"/>
  <c r="I14" i="28"/>
  <c r="J14" i="28"/>
  <c r="E15" i="28"/>
  <c r="F15" i="28"/>
  <c r="H15" i="28"/>
  <c r="I15" i="28"/>
  <c r="J15" i="28"/>
  <c r="E16" i="28"/>
  <c r="F16" i="28"/>
  <c r="H16" i="28"/>
  <c r="I16" i="28"/>
  <c r="J16" i="28"/>
  <c r="E17" i="28"/>
  <c r="F17" i="28"/>
  <c r="H17" i="28"/>
  <c r="I17" i="28"/>
  <c r="J17" i="28"/>
  <c r="E18" i="28"/>
  <c r="F18" i="28"/>
  <c r="H18" i="28"/>
  <c r="I18" i="28"/>
  <c r="J18" i="28"/>
  <c r="E19" i="28"/>
  <c r="F19" i="28"/>
  <c r="H19" i="28"/>
  <c r="I19" i="28"/>
  <c r="J19" i="28"/>
  <c r="E20" i="28"/>
  <c r="F20" i="28"/>
  <c r="H20" i="28"/>
  <c r="I20" i="28"/>
  <c r="J20" i="28"/>
  <c r="E21" i="28"/>
  <c r="F21" i="28"/>
  <c r="H21" i="28"/>
  <c r="I21" i="28"/>
  <c r="J21" i="28"/>
  <c r="E22" i="28"/>
  <c r="F22" i="28"/>
  <c r="H22" i="28"/>
  <c r="I22" i="28"/>
  <c r="J22" i="28"/>
  <c r="E23" i="28"/>
  <c r="F23" i="28"/>
  <c r="H23" i="28"/>
  <c r="I23" i="28"/>
  <c r="J23" i="28"/>
  <c r="E24" i="28"/>
  <c r="F24" i="28"/>
  <c r="H24" i="28"/>
  <c r="I24" i="28"/>
  <c r="J24" i="28"/>
  <c r="E25" i="28"/>
  <c r="F25" i="28"/>
  <c r="H25" i="28"/>
  <c r="I25" i="28"/>
  <c r="J25" i="28"/>
  <c r="E26" i="28"/>
  <c r="F26" i="28"/>
  <c r="H26" i="28"/>
  <c r="I26" i="28"/>
  <c r="J26" i="28"/>
  <c r="K12" i="28"/>
  <c r="K13" i="28"/>
  <c r="K14" i="28"/>
  <c r="K15" i="28"/>
  <c r="K16" i="28"/>
  <c r="K17" i="28"/>
  <c r="K18" i="28"/>
  <c r="K19" i="28"/>
  <c r="K20" i="28"/>
  <c r="K21" i="28"/>
  <c r="K22" i="28"/>
  <c r="K23" i="28"/>
  <c r="K24" i="28"/>
  <c r="K25" i="28"/>
  <c r="K26" i="28"/>
  <c r="F62" i="28"/>
  <c r="P15" i="28"/>
  <c r="Q15" i="28"/>
  <c r="P16" i="28"/>
  <c r="Q16" i="28"/>
  <c r="P17" i="28"/>
  <c r="Q17" i="28"/>
  <c r="P18" i="28"/>
  <c r="Q18" i="28"/>
  <c r="P19" i="28"/>
  <c r="Q19" i="28"/>
  <c r="F63" i="28"/>
  <c r="F64" i="28"/>
  <c r="F66" i="28"/>
  <c r="J6" i="32"/>
  <c r="C7" i="29"/>
  <c r="G54" i="29"/>
  <c r="G60" i="29"/>
  <c r="F65" i="29"/>
  <c r="F64" i="29"/>
  <c r="F63" i="29"/>
  <c r="F62" i="29"/>
  <c r="D54" i="29"/>
  <c r="D60" i="29"/>
  <c r="C62" i="29"/>
  <c r="C63" i="29"/>
  <c r="C64" i="29"/>
  <c r="C65" i="29"/>
  <c r="D66" i="29"/>
  <c r="G66" i="29"/>
  <c r="U32" i="32"/>
  <c r="D42" i="29"/>
  <c r="D45" i="29"/>
  <c r="D27" i="29"/>
  <c r="D33" i="29"/>
  <c r="R12" i="32"/>
  <c r="R32" i="32"/>
  <c r="L13" i="32"/>
  <c r="N13" i="32"/>
  <c r="O13" i="32"/>
  <c r="Q13" i="32"/>
  <c r="L14" i="32"/>
  <c r="N14" i="32"/>
  <c r="O14" i="32"/>
  <c r="Q14" i="32"/>
  <c r="L15" i="32"/>
  <c r="N15" i="32"/>
  <c r="O15" i="32"/>
  <c r="Q15" i="32"/>
  <c r="L16" i="32"/>
  <c r="N16" i="32"/>
  <c r="O16" i="32"/>
  <c r="Q16" i="32"/>
  <c r="L17" i="32"/>
  <c r="N17" i="32"/>
  <c r="O17" i="32"/>
  <c r="Q17" i="32"/>
  <c r="L18" i="32"/>
  <c r="N18" i="32"/>
  <c r="O18" i="32"/>
  <c r="Q18" i="32"/>
  <c r="L19" i="32"/>
  <c r="N19" i="32"/>
  <c r="O19" i="32"/>
  <c r="Q19" i="32"/>
  <c r="L20" i="32"/>
  <c r="N20" i="32"/>
  <c r="O20" i="32"/>
  <c r="Q20" i="32"/>
  <c r="L21" i="32"/>
  <c r="N21" i="32"/>
  <c r="O21" i="32"/>
  <c r="Q21" i="32"/>
  <c r="L22" i="32"/>
  <c r="N22" i="32"/>
  <c r="O22" i="32"/>
  <c r="Q22" i="32"/>
  <c r="L23" i="32"/>
  <c r="N23" i="32"/>
  <c r="O23" i="32"/>
  <c r="Q23" i="32"/>
  <c r="L24" i="32"/>
  <c r="N24" i="32"/>
  <c r="O24" i="32"/>
  <c r="Q24" i="32"/>
  <c r="L25" i="32"/>
  <c r="N25" i="32"/>
  <c r="O25" i="32"/>
  <c r="Q25" i="32"/>
  <c r="L26" i="32"/>
  <c r="N26" i="32"/>
  <c r="O26" i="32"/>
  <c r="Q26" i="32"/>
  <c r="L27" i="32"/>
  <c r="N27" i="32"/>
  <c r="O27" i="32"/>
  <c r="Q27" i="32"/>
  <c r="L28" i="32"/>
  <c r="N28" i="32"/>
  <c r="O28" i="32"/>
  <c r="Q28" i="32"/>
  <c r="L29" i="32"/>
  <c r="N29" i="32"/>
  <c r="O29" i="32"/>
  <c r="Q29" i="32"/>
  <c r="L30" i="32"/>
  <c r="N30" i="32"/>
  <c r="O30" i="32"/>
  <c r="Q30" i="32"/>
  <c r="L31" i="32"/>
  <c r="N31" i="32"/>
  <c r="O31" i="32"/>
  <c r="Q31" i="32"/>
  <c r="Q38" i="32"/>
  <c r="Q40" i="32"/>
  <c r="D40" i="29"/>
  <c r="D22" i="29"/>
  <c r="J15" i="32"/>
  <c r="J18" i="32"/>
  <c r="J27" i="32"/>
  <c r="J29" i="32"/>
  <c r="J31" i="32"/>
  <c r="J13" i="32"/>
  <c r="J14" i="32"/>
  <c r="J16" i="32"/>
  <c r="J17" i="32"/>
  <c r="J19" i="32"/>
  <c r="J20" i="32"/>
  <c r="J21" i="32"/>
  <c r="J22" i="32"/>
  <c r="J23" i="32"/>
  <c r="J24" i="32"/>
  <c r="J25" i="32"/>
  <c r="J26" i="32"/>
  <c r="J28" i="32"/>
  <c r="J30" i="32"/>
  <c r="Q39" i="32"/>
  <c r="I11" i="2"/>
  <c r="I12" i="2"/>
  <c r="I13" i="2"/>
  <c r="I14" i="2"/>
  <c r="I15" i="2"/>
  <c r="I16" i="2"/>
  <c r="I17" i="2"/>
  <c r="I18" i="2"/>
  <c r="I19" i="2"/>
  <c r="I20" i="2"/>
  <c r="I21" i="2"/>
  <c r="I23" i="2"/>
  <c r="I24" i="2"/>
  <c r="I25" i="2"/>
  <c r="I26" i="2"/>
  <c r="I27" i="2"/>
  <c r="I28" i="2"/>
  <c r="I29" i="2"/>
  <c r="I30" i="2"/>
  <c r="I31" i="2"/>
  <c r="I32" i="2"/>
  <c r="I33" i="2"/>
  <c r="I34" i="2"/>
  <c r="I35" i="2"/>
  <c r="I36" i="2"/>
  <c r="I37" i="2"/>
  <c r="I38" i="2"/>
  <c r="I39" i="2"/>
  <c r="I40" i="2"/>
  <c r="I41" i="2"/>
  <c r="I42" i="2"/>
  <c r="I43" i="2"/>
  <c r="I44" i="2"/>
  <c r="I45" i="2"/>
  <c r="I46" i="2"/>
  <c r="I47" i="2"/>
  <c r="I48" i="2"/>
  <c r="I49" i="2"/>
  <c r="I50" i="2"/>
  <c r="I51" i="2"/>
  <c r="I52" i="2"/>
  <c r="I53" i="2"/>
  <c r="I54" i="2"/>
  <c r="I55" i="2"/>
  <c r="I56" i="2"/>
  <c r="I57" i="2"/>
  <c r="I58" i="2"/>
  <c r="I59" i="2"/>
  <c r="I60" i="2"/>
  <c r="I61" i="2"/>
  <c r="I62" i="2"/>
  <c r="I63" i="2"/>
  <c r="I64" i="2"/>
  <c r="I65" i="2"/>
  <c r="I66" i="2"/>
  <c r="I67" i="2"/>
  <c r="I68" i="2"/>
  <c r="I69" i="2"/>
  <c r="I70" i="2"/>
  <c r="I71" i="2"/>
  <c r="I72" i="2"/>
  <c r="I73" i="2"/>
  <c r="I74" i="2"/>
  <c r="I75" i="2"/>
  <c r="I76" i="2"/>
  <c r="I77" i="2"/>
  <c r="I78" i="2"/>
  <c r="I79" i="2"/>
  <c r="I80" i="2"/>
  <c r="I81" i="2"/>
  <c r="I82" i="2"/>
  <c r="I83" i="2"/>
  <c r="I84" i="2"/>
  <c r="I85" i="2"/>
  <c r="I86" i="2"/>
  <c r="I87" i="2"/>
  <c r="I88" i="2"/>
  <c r="I89" i="2"/>
  <c r="I90" i="2"/>
  <c r="I91" i="2"/>
  <c r="I92" i="2"/>
  <c r="I93" i="2"/>
  <c r="I94" i="2"/>
  <c r="I95" i="2"/>
  <c r="I96" i="2"/>
  <c r="I97" i="2"/>
  <c r="I98" i="2"/>
  <c r="I99" i="2"/>
  <c r="I100" i="2"/>
  <c r="I101" i="2"/>
  <c r="I102" i="2"/>
  <c r="I103" i="2"/>
  <c r="I104" i="2"/>
  <c r="I105" i="2"/>
  <c r="I106" i="2"/>
  <c r="I107" i="2"/>
  <c r="I108" i="2"/>
  <c r="I109" i="2"/>
  <c r="I110" i="2"/>
  <c r="I111" i="2"/>
  <c r="I112" i="2"/>
  <c r="I113" i="2"/>
  <c r="I114" i="2"/>
  <c r="I115" i="2"/>
  <c r="I116" i="2"/>
  <c r="I117" i="2"/>
  <c r="I118" i="2"/>
  <c r="I119" i="2"/>
  <c r="I120" i="2"/>
  <c r="I121" i="2"/>
  <c r="I122" i="2"/>
  <c r="I123" i="2"/>
  <c r="I124" i="2"/>
  <c r="I125" i="2"/>
  <c r="I126" i="2"/>
  <c r="I127" i="2"/>
  <c r="I128" i="2"/>
  <c r="I129" i="2"/>
  <c r="I130" i="2"/>
  <c r="I131" i="2"/>
  <c r="I132" i="2"/>
  <c r="I133" i="2"/>
  <c r="I134" i="2"/>
  <c r="I135" i="2"/>
  <c r="I136" i="2"/>
  <c r="I137" i="2"/>
  <c r="I138" i="2"/>
  <c r="I139" i="2"/>
  <c r="I140" i="2"/>
  <c r="I141" i="2"/>
  <c r="I142" i="2"/>
  <c r="I143" i="2"/>
  <c r="I144" i="2"/>
  <c r="I145" i="2"/>
  <c r="I146" i="2"/>
  <c r="I147" i="2"/>
  <c r="I148" i="2"/>
  <c r="I149" i="2"/>
  <c r="I150" i="2"/>
  <c r="I151" i="2"/>
  <c r="I152" i="2"/>
  <c r="I153" i="2"/>
  <c r="I154" i="2"/>
  <c r="I155" i="2"/>
  <c r="I156" i="2"/>
  <c r="I157" i="2"/>
  <c r="I158" i="2"/>
  <c r="I159" i="2"/>
  <c r="I160" i="2"/>
  <c r="I161" i="2"/>
  <c r="I162" i="2"/>
  <c r="I163" i="2"/>
  <c r="I164" i="2"/>
  <c r="I165" i="2"/>
  <c r="I166" i="2"/>
  <c r="I167" i="2"/>
  <c r="I168" i="2"/>
  <c r="I169" i="2"/>
  <c r="I170" i="2"/>
  <c r="I171" i="2"/>
  <c r="I172" i="2"/>
  <c r="I173" i="2"/>
  <c r="I174" i="2"/>
  <c r="I175" i="2"/>
  <c r="I176" i="2"/>
  <c r="I177" i="2"/>
  <c r="I178" i="2"/>
  <c r="I179" i="2"/>
  <c r="I180" i="2"/>
  <c r="I181" i="2"/>
  <c r="I182" i="2"/>
  <c r="I183" i="2"/>
  <c r="I184" i="2"/>
  <c r="I185" i="2"/>
  <c r="I186" i="2"/>
  <c r="I187" i="2"/>
  <c r="I188" i="2"/>
  <c r="I189" i="2"/>
  <c r="I190" i="2"/>
  <c r="I191" i="2"/>
  <c r="I192" i="2"/>
  <c r="I193" i="2"/>
  <c r="I194" i="2"/>
  <c r="I195" i="2"/>
  <c r="I196" i="2"/>
  <c r="I197" i="2"/>
  <c r="I198" i="2"/>
  <c r="I199" i="2"/>
  <c r="I200" i="2"/>
  <c r="I201" i="2"/>
  <c r="I202" i="2"/>
  <c r="I203" i="2"/>
  <c r="I204" i="2"/>
  <c r="I205" i="2"/>
  <c r="I206" i="2"/>
  <c r="I207" i="2"/>
  <c r="I208" i="2"/>
  <c r="I209" i="2"/>
  <c r="I210" i="2"/>
  <c r="I211" i="2"/>
  <c r="I212" i="2"/>
  <c r="I213" i="2"/>
  <c r="I214" i="2"/>
  <c r="I215" i="2"/>
  <c r="I216" i="2"/>
  <c r="I217" i="2"/>
  <c r="I218" i="2"/>
  <c r="I219" i="2"/>
  <c r="I220" i="2"/>
  <c r="I221" i="2"/>
  <c r="I222" i="2"/>
  <c r="I223" i="2"/>
  <c r="I224" i="2"/>
  <c r="I225" i="2"/>
  <c r="I226" i="2"/>
  <c r="I227" i="2"/>
  <c r="I228" i="2"/>
  <c r="I229" i="2"/>
  <c r="I230" i="2"/>
  <c r="I231" i="2"/>
  <c r="I232" i="2"/>
  <c r="I233" i="2"/>
  <c r="I234" i="2"/>
  <c r="I235" i="2"/>
  <c r="I236" i="2"/>
  <c r="I237" i="2"/>
  <c r="I238" i="2"/>
  <c r="I239" i="2"/>
  <c r="I240" i="2"/>
  <c r="I241" i="2"/>
  <c r="I242" i="2"/>
  <c r="I243" i="2"/>
  <c r="I244" i="2"/>
  <c r="I245" i="2"/>
  <c r="I246" i="2"/>
  <c r="I247" i="2"/>
  <c r="I248" i="2"/>
  <c r="I249" i="2"/>
  <c r="I250" i="2"/>
  <c r="I251" i="2"/>
  <c r="I252" i="2"/>
  <c r="I253" i="2"/>
  <c r="I254" i="2"/>
  <c r="I255" i="2"/>
  <c r="I256" i="2"/>
  <c r="I257" i="2"/>
  <c r="I258" i="2"/>
  <c r="I259" i="2"/>
  <c r="I260" i="2"/>
  <c r="I261" i="2"/>
  <c r="I262" i="2"/>
  <c r="I263" i="2"/>
  <c r="I264" i="2"/>
  <c r="I265" i="2"/>
  <c r="I266" i="2"/>
  <c r="K42" i="2"/>
  <c r="K43" i="2"/>
  <c r="K83" i="2"/>
  <c r="K87" i="2"/>
  <c r="E4" i="2"/>
  <c r="G4" i="2"/>
  <c r="E5" i="2"/>
  <c r="E6" i="2"/>
  <c r="G6" i="2"/>
  <c r="E7" i="2"/>
  <c r="G7" i="2"/>
  <c r="E8" i="2"/>
  <c r="G8" i="2"/>
  <c r="I8" i="2"/>
  <c r="P20" i="28"/>
  <c r="P21" i="28"/>
  <c r="P22" i="28"/>
  <c r="P23" i="28"/>
  <c r="P24" i="28"/>
  <c r="P25" i="28"/>
  <c r="P26" i="28"/>
  <c r="P11" i="2"/>
  <c r="V11" i="2"/>
  <c r="S11" i="2"/>
  <c r="W11" i="2"/>
  <c r="T11" i="2"/>
  <c r="P12" i="2"/>
  <c r="V12" i="2"/>
  <c r="S12" i="2"/>
  <c r="W12" i="2"/>
  <c r="T12" i="2"/>
  <c r="P13" i="2"/>
  <c r="V13" i="2"/>
  <c r="S13" i="2"/>
  <c r="W13" i="2"/>
  <c r="T13" i="2"/>
  <c r="P14" i="2"/>
  <c r="V14" i="2"/>
  <c r="S14" i="2"/>
  <c r="W14" i="2"/>
  <c r="T14" i="2"/>
  <c r="P15" i="2"/>
  <c r="V15" i="2"/>
  <c r="S15" i="2"/>
  <c r="W15" i="2"/>
  <c r="T15" i="2"/>
  <c r="P16" i="2"/>
  <c r="V16" i="2"/>
  <c r="S16" i="2"/>
  <c r="W16" i="2"/>
  <c r="T16" i="2"/>
  <c r="P17" i="2"/>
  <c r="V17" i="2"/>
  <c r="S17" i="2"/>
  <c r="W17" i="2"/>
  <c r="T17" i="2"/>
  <c r="P18" i="2"/>
  <c r="V18" i="2"/>
  <c r="S18" i="2"/>
  <c r="W18" i="2"/>
  <c r="T18" i="2"/>
  <c r="P19" i="2"/>
  <c r="V19" i="2"/>
  <c r="S19" i="2"/>
  <c r="W19" i="2"/>
  <c r="T19" i="2"/>
  <c r="P20" i="2"/>
  <c r="V20" i="2"/>
  <c r="S20" i="2"/>
  <c r="W20" i="2"/>
  <c r="T20" i="2"/>
  <c r="P21" i="2"/>
  <c r="V21" i="2"/>
  <c r="S21" i="2"/>
  <c r="W21" i="2"/>
  <c r="T21" i="2"/>
  <c r="P22" i="2"/>
  <c r="V22" i="2"/>
  <c r="S22" i="2"/>
  <c r="P23" i="2"/>
  <c r="V23" i="2"/>
  <c r="S23" i="2"/>
  <c r="W23" i="2"/>
  <c r="T23" i="2"/>
  <c r="P24" i="2"/>
  <c r="V24" i="2"/>
  <c r="S24" i="2"/>
  <c r="W24" i="2"/>
  <c r="T24" i="2"/>
  <c r="P25" i="2"/>
  <c r="V25" i="2"/>
  <c r="S25" i="2"/>
  <c r="W25" i="2"/>
  <c r="T25" i="2"/>
  <c r="P26" i="2"/>
  <c r="V26" i="2"/>
  <c r="S26" i="2"/>
  <c r="W26" i="2"/>
  <c r="T26" i="2"/>
  <c r="P27" i="2"/>
  <c r="V27" i="2"/>
  <c r="S27" i="2"/>
  <c r="W27" i="2"/>
  <c r="T27" i="2"/>
  <c r="P28" i="2"/>
  <c r="V28" i="2"/>
  <c r="S28" i="2"/>
  <c r="W28" i="2"/>
  <c r="T28" i="2"/>
  <c r="P29" i="2"/>
  <c r="V29" i="2"/>
  <c r="S29" i="2"/>
  <c r="W29" i="2"/>
  <c r="T29" i="2"/>
  <c r="P30" i="2"/>
  <c r="V30" i="2"/>
  <c r="S30" i="2"/>
  <c r="W30" i="2"/>
  <c r="T30" i="2"/>
  <c r="P31" i="2"/>
  <c r="V31" i="2"/>
  <c r="S31" i="2"/>
  <c r="W31" i="2"/>
  <c r="T31" i="2"/>
  <c r="P32" i="2"/>
  <c r="V32" i="2"/>
  <c r="S32" i="2"/>
  <c r="W32" i="2"/>
  <c r="T32" i="2"/>
  <c r="P33" i="2"/>
  <c r="V33" i="2"/>
  <c r="S33" i="2"/>
  <c r="W33" i="2"/>
  <c r="T33" i="2"/>
  <c r="P34" i="2"/>
  <c r="V34" i="2"/>
  <c r="S34" i="2"/>
  <c r="W34" i="2"/>
  <c r="T34" i="2"/>
  <c r="P35" i="2"/>
  <c r="V35" i="2"/>
  <c r="S35" i="2"/>
  <c r="W35" i="2"/>
  <c r="T35" i="2"/>
  <c r="P36" i="2"/>
  <c r="V36" i="2"/>
  <c r="S36" i="2"/>
  <c r="W36" i="2"/>
  <c r="T36" i="2"/>
  <c r="P37" i="2"/>
  <c r="V37" i="2"/>
  <c r="S37" i="2"/>
  <c r="W37" i="2"/>
  <c r="T37" i="2"/>
  <c r="P38" i="2"/>
  <c r="V38" i="2"/>
  <c r="S38" i="2"/>
  <c r="W38" i="2"/>
  <c r="T38" i="2"/>
  <c r="P39" i="2"/>
  <c r="V39" i="2"/>
  <c r="S39" i="2"/>
  <c r="W39" i="2"/>
  <c r="T39" i="2"/>
  <c r="P40" i="2"/>
  <c r="V40" i="2"/>
  <c r="S40" i="2"/>
  <c r="W40" i="2"/>
  <c r="T40" i="2"/>
  <c r="P41" i="2"/>
  <c r="V41" i="2"/>
  <c r="S41" i="2"/>
  <c r="W41" i="2"/>
  <c r="T41" i="2"/>
  <c r="P42" i="2"/>
  <c r="V42" i="2"/>
  <c r="S42" i="2"/>
  <c r="W42" i="2"/>
  <c r="T42" i="2"/>
  <c r="P43" i="2"/>
  <c r="V43" i="2"/>
  <c r="S43" i="2"/>
  <c r="W43" i="2"/>
  <c r="T43" i="2"/>
  <c r="P44" i="2"/>
  <c r="V44" i="2"/>
  <c r="S44" i="2"/>
  <c r="W44" i="2"/>
  <c r="T44" i="2"/>
  <c r="P45" i="2"/>
  <c r="V45" i="2"/>
  <c r="S45" i="2"/>
  <c r="W45" i="2"/>
  <c r="T45" i="2"/>
  <c r="P46" i="2"/>
  <c r="V46" i="2"/>
  <c r="S46" i="2"/>
  <c r="W46" i="2"/>
  <c r="T46" i="2"/>
  <c r="P47" i="2"/>
  <c r="V47" i="2"/>
  <c r="S47" i="2"/>
  <c r="W47" i="2"/>
  <c r="T47" i="2"/>
  <c r="P48" i="2"/>
  <c r="V48" i="2"/>
  <c r="S48" i="2"/>
  <c r="W48" i="2"/>
  <c r="T48" i="2"/>
  <c r="P49" i="2"/>
  <c r="V49" i="2"/>
  <c r="S49" i="2"/>
  <c r="W49" i="2"/>
  <c r="T49" i="2"/>
  <c r="P50" i="2"/>
  <c r="V50" i="2"/>
  <c r="S50" i="2"/>
  <c r="W50" i="2"/>
  <c r="T50" i="2"/>
  <c r="P51" i="2"/>
  <c r="V51" i="2"/>
  <c r="S51" i="2"/>
  <c r="W51" i="2"/>
  <c r="T51" i="2"/>
  <c r="P52" i="2"/>
  <c r="V52" i="2"/>
  <c r="S52" i="2"/>
  <c r="W52" i="2"/>
  <c r="T52" i="2"/>
  <c r="P53" i="2"/>
  <c r="V53" i="2"/>
  <c r="S53" i="2"/>
  <c r="W53" i="2"/>
  <c r="T53" i="2"/>
  <c r="P54" i="2"/>
  <c r="V54" i="2"/>
  <c r="S54" i="2"/>
  <c r="W54" i="2"/>
  <c r="T54" i="2"/>
  <c r="P55" i="2"/>
  <c r="V55" i="2"/>
  <c r="S55" i="2"/>
  <c r="W55" i="2"/>
  <c r="T55" i="2"/>
  <c r="P56" i="2"/>
  <c r="V56" i="2"/>
  <c r="S56" i="2"/>
  <c r="W56" i="2"/>
  <c r="T56" i="2"/>
  <c r="P57" i="2"/>
  <c r="V57" i="2"/>
  <c r="S57" i="2"/>
  <c r="W57" i="2"/>
  <c r="T57" i="2"/>
  <c r="P58" i="2"/>
  <c r="V58" i="2"/>
  <c r="S58" i="2"/>
  <c r="W58" i="2"/>
  <c r="T58" i="2"/>
  <c r="P59" i="2"/>
  <c r="V59" i="2"/>
  <c r="S59" i="2"/>
  <c r="W59" i="2"/>
  <c r="T59" i="2"/>
  <c r="P60" i="2"/>
  <c r="V60" i="2"/>
  <c r="S60" i="2"/>
  <c r="W60" i="2"/>
  <c r="T60" i="2"/>
  <c r="P61" i="2"/>
  <c r="V61" i="2"/>
  <c r="S61" i="2"/>
  <c r="W61" i="2"/>
  <c r="T61" i="2"/>
  <c r="P62" i="2"/>
  <c r="V62" i="2"/>
  <c r="S62" i="2"/>
  <c r="W62" i="2"/>
  <c r="T62" i="2"/>
  <c r="P63" i="2"/>
  <c r="V63" i="2"/>
  <c r="S63" i="2"/>
  <c r="W63" i="2"/>
  <c r="T63" i="2"/>
  <c r="P64" i="2"/>
  <c r="V64" i="2"/>
  <c r="S64" i="2"/>
  <c r="W64" i="2"/>
  <c r="T64" i="2"/>
  <c r="P65" i="2"/>
  <c r="V65" i="2"/>
  <c r="S65" i="2"/>
  <c r="W65" i="2"/>
  <c r="T65" i="2"/>
  <c r="P66" i="2"/>
  <c r="V66" i="2"/>
  <c r="S66" i="2"/>
  <c r="W66" i="2"/>
  <c r="T66" i="2"/>
  <c r="P67" i="2"/>
  <c r="V67" i="2"/>
  <c r="S67" i="2"/>
  <c r="W67" i="2"/>
  <c r="T67" i="2"/>
  <c r="P68" i="2"/>
  <c r="V68" i="2"/>
  <c r="S68" i="2"/>
  <c r="W68" i="2"/>
  <c r="T68" i="2"/>
  <c r="P69" i="2"/>
  <c r="V69" i="2"/>
  <c r="S69" i="2"/>
  <c r="W69" i="2"/>
  <c r="T69" i="2"/>
  <c r="P70" i="2"/>
  <c r="V70" i="2"/>
  <c r="S70" i="2"/>
  <c r="W70" i="2"/>
  <c r="T70" i="2"/>
  <c r="P71" i="2"/>
  <c r="V71" i="2"/>
  <c r="S71" i="2"/>
  <c r="W71" i="2"/>
  <c r="T71" i="2"/>
  <c r="P72" i="2"/>
  <c r="V72" i="2"/>
  <c r="S72" i="2"/>
  <c r="W72" i="2"/>
  <c r="T72" i="2"/>
  <c r="P73" i="2"/>
  <c r="V73" i="2"/>
  <c r="S73" i="2"/>
  <c r="W73" i="2"/>
  <c r="T73" i="2"/>
  <c r="P74" i="2"/>
  <c r="V74" i="2"/>
  <c r="S74" i="2"/>
  <c r="W74" i="2"/>
  <c r="T74" i="2"/>
  <c r="P75" i="2"/>
  <c r="V75" i="2"/>
  <c r="S75" i="2"/>
  <c r="W75" i="2"/>
  <c r="T75" i="2"/>
  <c r="P76" i="2"/>
  <c r="V76" i="2"/>
  <c r="S76" i="2"/>
  <c r="W76" i="2"/>
  <c r="T76" i="2"/>
  <c r="P77" i="2"/>
  <c r="V77" i="2"/>
  <c r="S77" i="2"/>
  <c r="W77" i="2"/>
  <c r="T77" i="2"/>
  <c r="P78" i="2"/>
  <c r="V78" i="2"/>
  <c r="S78" i="2"/>
  <c r="W78" i="2"/>
  <c r="T78" i="2"/>
  <c r="P79" i="2"/>
  <c r="V79" i="2"/>
  <c r="S79" i="2"/>
  <c r="W79" i="2"/>
  <c r="T79" i="2"/>
  <c r="P80" i="2"/>
  <c r="V80" i="2"/>
  <c r="S80" i="2"/>
  <c r="W80" i="2"/>
  <c r="T80" i="2"/>
  <c r="P81" i="2"/>
  <c r="V81" i="2"/>
  <c r="S81" i="2"/>
  <c r="W81" i="2"/>
  <c r="T81" i="2"/>
  <c r="P82" i="2"/>
  <c r="V82" i="2"/>
  <c r="S82" i="2"/>
  <c r="W82" i="2"/>
  <c r="T82" i="2"/>
  <c r="P83" i="2"/>
  <c r="V83" i="2"/>
  <c r="S83" i="2"/>
  <c r="W83" i="2"/>
  <c r="T83" i="2"/>
  <c r="P84" i="2"/>
  <c r="V84" i="2"/>
  <c r="S84" i="2"/>
  <c r="W84" i="2"/>
  <c r="T84" i="2"/>
  <c r="P85" i="2"/>
  <c r="V85" i="2"/>
  <c r="S85" i="2"/>
  <c r="W85" i="2"/>
  <c r="T85" i="2"/>
  <c r="P86" i="2"/>
  <c r="V86" i="2"/>
  <c r="S86" i="2"/>
  <c r="W86" i="2"/>
  <c r="T86" i="2"/>
  <c r="P87" i="2"/>
  <c r="V87" i="2"/>
  <c r="S87" i="2"/>
  <c r="W87" i="2"/>
  <c r="T87" i="2"/>
  <c r="P88" i="2"/>
  <c r="V88" i="2"/>
  <c r="S88" i="2"/>
  <c r="W88" i="2"/>
  <c r="T88" i="2"/>
  <c r="P89" i="2"/>
  <c r="V89" i="2"/>
  <c r="S89" i="2"/>
  <c r="W89" i="2"/>
  <c r="T89" i="2"/>
  <c r="P90" i="2"/>
  <c r="V90" i="2"/>
  <c r="S90" i="2"/>
  <c r="W90" i="2"/>
  <c r="T90" i="2"/>
  <c r="P91" i="2"/>
  <c r="V91" i="2"/>
  <c r="S91" i="2"/>
  <c r="W91" i="2"/>
  <c r="T91" i="2"/>
  <c r="P92" i="2"/>
  <c r="V92" i="2"/>
  <c r="S92" i="2"/>
  <c r="W92" i="2"/>
  <c r="T92" i="2"/>
  <c r="P93" i="2"/>
  <c r="V93" i="2"/>
  <c r="S93" i="2"/>
  <c r="W93" i="2"/>
  <c r="T93" i="2"/>
  <c r="P94" i="2"/>
  <c r="V94" i="2"/>
  <c r="S94" i="2"/>
  <c r="W94" i="2"/>
  <c r="T94" i="2"/>
  <c r="P95" i="2"/>
  <c r="V95" i="2"/>
  <c r="S95" i="2"/>
  <c r="W95" i="2"/>
  <c r="T95" i="2"/>
  <c r="P96" i="2"/>
  <c r="V96" i="2"/>
  <c r="S96" i="2"/>
  <c r="W96" i="2"/>
  <c r="T96" i="2"/>
  <c r="P97" i="2"/>
  <c r="V97" i="2"/>
  <c r="S97" i="2"/>
  <c r="W97" i="2"/>
  <c r="T97" i="2"/>
  <c r="P98" i="2"/>
  <c r="V98" i="2"/>
  <c r="S98" i="2"/>
  <c r="W98" i="2"/>
  <c r="T98" i="2"/>
  <c r="P99" i="2"/>
  <c r="V99" i="2"/>
  <c r="S99" i="2"/>
  <c r="W99" i="2"/>
  <c r="T99" i="2"/>
  <c r="P100" i="2"/>
  <c r="V100" i="2"/>
  <c r="S100" i="2"/>
  <c r="W100" i="2"/>
  <c r="T100" i="2"/>
  <c r="P101" i="2"/>
  <c r="V101" i="2"/>
  <c r="S101" i="2"/>
  <c r="W101" i="2"/>
  <c r="T101" i="2"/>
  <c r="P102" i="2"/>
  <c r="V102" i="2"/>
  <c r="S102" i="2"/>
  <c r="W102" i="2"/>
  <c r="T102" i="2"/>
  <c r="P103" i="2"/>
  <c r="V103" i="2"/>
  <c r="S103" i="2"/>
  <c r="W103" i="2"/>
  <c r="T103" i="2"/>
  <c r="P104" i="2"/>
  <c r="V104" i="2"/>
  <c r="S104" i="2"/>
  <c r="W104" i="2"/>
  <c r="T104" i="2"/>
  <c r="P105" i="2"/>
  <c r="V105" i="2"/>
  <c r="S105" i="2"/>
  <c r="W105" i="2"/>
  <c r="T105" i="2"/>
  <c r="P106" i="2"/>
  <c r="V106" i="2"/>
  <c r="S106" i="2"/>
  <c r="W106" i="2"/>
  <c r="T106" i="2"/>
  <c r="P107" i="2"/>
  <c r="V107" i="2"/>
  <c r="S107" i="2"/>
  <c r="W107" i="2"/>
  <c r="T107" i="2"/>
  <c r="P108" i="2"/>
  <c r="V108" i="2"/>
  <c r="S108" i="2"/>
  <c r="W108" i="2"/>
  <c r="T108" i="2"/>
  <c r="P109" i="2"/>
  <c r="V109" i="2"/>
  <c r="S109" i="2"/>
  <c r="W109" i="2"/>
  <c r="T109" i="2"/>
  <c r="P110" i="2"/>
  <c r="V110" i="2"/>
  <c r="S110" i="2"/>
  <c r="W110" i="2"/>
  <c r="T110" i="2"/>
  <c r="P111" i="2"/>
  <c r="V111" i="2"/>
  <c r="S111" i="2"/>
  <c r="W111" i="2"/>
  <c r="T111" i="2"/>
  <c r="P112" i="2"/>
  <c r="V112" i="2"/>
  <c r="S112" i="2"/>
  <c r="W112" i="2"/>
  <c r="T112" i="2"/>
  <c r="P113" i="2"/>
  <c r="V113" i="2"/>
  <c r="S113" i="2"/>
  <c r="W113" i="2"/>
  <c r="T113" i="2"/>
  <c r="P114" i="2"/>
  <c r="V114" i="2"/>
  <c r="S114" i="2"/>
  <c r="W114" i="2"/>
  <c r="T114" i="2"/>
  <c r="P115" i="2"/>
  <c r="V115" i="2"/>
  <c r="S115" i="2"/>
  <c r="W115" i="2"/>
  <c r="T115" i="2"/>
  <c r="P116" i="2"/>
  <c r="V116" i="2"/>
  <c r="S116" i="2"/>
  <c r="W116" i="2"/>
  <c r="T116" i="2"/>
  <c r="P117" i="2"/>
  <c r="V117" i="2"/>
  <c r="S117" i="2"/>
  <c r="W117" i="2"/>
  <c r="T117" i="2"/>
  <c r="P118" i="2"/>
  <c r="V118" i="2"/>
  <c r="S118" i="2"/>
  <c r="W118" i="2"/>
  <c r="T118" i="2"/>
  <c r="P119" i="2"/>
  <c r="V119" i="2"/>
  <c r="S119" i="2"/>
  <c r="W119" i="2"/>
  <c r="T119" i="2"/>
  <c r="P120" i="2"/>
  <c r="V120" i="2"/>
  <c r="S120" i="2"/>
  <c r="W120" i="2"/>
  <c r="T120" i="2"/>
  <c r="P121" i="2"/>
  <c r="V121" i="2"/>
  <c r="S121" i="2"/>
  <c r="W121" i="2"/>
  <c r="T121" i="2"/>
  <c r="P122" i="2"/>
  <c r="V122" i="2"/>
  <c r="S122" i="2"/>
  <c r="W122" i="2"/>
  <c r="T122" i="2"/>
  <c r="P123" i="2"/>
  <c r="V123" i="2"/>
  <c r="S123" i="2"/>
  <c r="W123" i="2"/>
  <c r="T123" i="2"/>
  <c r="P124" i="2"/>
  <c r="V124" i="2"/>
  <c r="S124" i="2"/>
  <c r="W124" i="2"/>
  <c r="T124" i="2"/>
  <c r="P125" i="2"/>
  <c r="V125" i="2"/>
  <c r="S125" i="2"/>
  <c r="W125" i="2"/>
  <c r="T125" i="2"/>
  <c r="P126" i="2"/>
  <c r="V126" i="2"/>
  <c r="S126" i="2"/>
  <c r="W126" i="2"/>
  <c r="T126" i="2"/>
  <c r="P127" i="2"/>
  <c r="V127" i="2"/>
  <c r="S127" i="2"/>
  <c r="W127" i="2"/>
  <c r="T127" i="2"/>
  <c r="P128" i="2"/>
  <c r="V128" i="2"/>
  <c r="S128" i="2"/>
  <c r="W128" i="2"/>
  <c r="T128" i="2"/>
  <c r="P129" i="2"/>
  <c r="V129" i="2"/>
  <c r="S129" i="2"/>
  <c r="W129" i="2"/>
  <c r="T129" i="2"/>
  <c r="P130" i="2"/>
  <c r="V130" i="2"/>
  <c r="S130" i="2"/>
  <c r="W130" i="2"/>
  <c r="T130" i="2"/>
  <c r="P131" i="2"/>
  <c r="V131" i="2"/>
  <c r="S131" i="2"/>
  <c r="W131" i="2"/>
  <c r="T131" i="2"/>
  <c r="P132" i="2"/>
  <c r="V132" i="2"/>
  <c r="S132" i="2"/>
  <c r="W132" i="2"/>
  <c r="T132" i="2"/>
  <c r="P133" i="2"/>
  <c r="V133" i="2"/>
  <c r="S133" i="2"/>
  <c r="W133" i="2"/>
  <c r="T133" i="2"/>
  <c r="P134" i="2"/>
  <c r="V134" i="2"/>
  <c r="S134" i="2"/>
  <c r="W134" i="2"/>
  <c r="T134" i="2"/>
  <c r="P135" i="2"/>
  <c r="V135" i="2"/>
  <c r="S135" i="2"/>
  <c r="W135" i="2"/>
  <c r="T135" i="2"/>
  <c r="P136" i="2"/>
  <c r="V136" i="2"/>
  <c r="S136" i="2"/>
  <c r="W136" i="2"/>
  <c r="T136" i="2"/>
  <c r="P137" i="2"/>
  <c r="V137" i="2"/>
  <c r="S137" i="2"/>
  <c r="W137" i="2"/>
  <c r="T137" i="2"/>
  <c r="P138" i="2"/>
  <c r="V138" i="2"/>
  <c r="S138" i="2"/>
  <c r="W138" i="2"/>
  <c r="T138" i="2"/>
  <c r="P139" i="2"/>
  <c r="V139" i="2"/>
  <c r="S139" i="2"/>
  <c r="W139" i="2"/>
  <c r="T139" i="2"/>
  <c r="P140" i="2"/>
  <c r="V140" i="2"/>
  <c r="S140" i="2"/>
  <c r="W140" i="2"/>
  <c r="T140" i="2"/>
  <c r="P141" i="2"/>
  <c r="V141" i="2"/>
  <c r="S141" i="2"/>
  <c r="W141" i="2"/>
  <c r="T141" i="2"/>
  <c r="P142" i="2"/>
  <c r="V142" i="2"/>
  <c r="S142" i="2"/>
  <c r="W142" i="2"/>
  <c r="T142" i="2"/>
  <c r="P143" i="2"/>
  <c r="V143" i="2"/>
  <c r="S143" i="2"/>
  <c r="W143" i="2"/>
  <c r="T143" i="2"/>
  <c r="P144" i="2"/>
  <c r="V144" i="2"/>
  <c r="S144" i="2"/>
  <c r="W144" i="2"/>
  <c r="T144" i="2"/>
  <c r="P145" i="2"/>
  <c r="V145" i="2"/>
  <c r="S145" i="2"/>
  <c r="W145" i="2"/>
  <c r="T145" i="2"/>
  <c r="P146" i="2"/>
  <c r="V146" i="2"/>
  <c r="S146" i="2"/>
  <c r="W146" i="2"/>
  <c r="T146" i="2"/>
  <c r="P147" i="2"/>
  <c r="V147" i="2"/>
  <c r="S147" i="2"/>
  <c r="W147" i="2"/>
  <c r="T147" i="2"/>
  <c r="P148" i="2"/>
  <c r="V148" i="2"/>
  <c r="S148" i="2"/>
  <c r="W148" i="2"/>
  <c r="T148" i="2"/>
  <c r="P149" i="2"/>
  <c r="V149" i="2"/>
  <c r="S149" i="2"/>
  <c r="W149" i="2"/>
  <c r="T149" i="2"/>
  <c r="P150" i="2"/>
  <c r="V150" i="2"/>
  <c r="S150" i="2"/>
  <c r="W150" i="2"/>
  <c r="T150" i="2"/>
  <c r="P151" i="2"/>
  <c r="V151" i="2"/>
  <c r="S151" i="2"/>
  <c r="W151" i="2"/>
  <c r="T151" i="2"/>
  <c r="P152" i="2"/>
  <c r="V152" i="2"/>
  <c r="S152" i="2"/>
  <c r="W152" i="2"/>
  <c r="T152" i="2"/>
  <c r="P153" i="2"/>
  <c r="V153" i="2"/>
  <c r="S153" i="2"/>
  <c r="W153" i="2"/>
  <c r="T153" i="2"/>
  <c r="P154" i="2"/>
  <c r="V154" i="2"/>
  <c r="S154" i="2"/>
  <c r="W154" i="2"/>
  <c r="T154" i="2"/>
  <c r="P155" i="2"/>
  <c r="V155" i="2"/>
  <c r="S155" i="2"/>
  <c r="W155" i="2"/>
  <c r="T155" i="2"/>
  <c r="P156" i="2"/>
  <c r="V156" i="2"/>
  <c r="S156" i="2"/>
  <c r="W156" i="2"/>
  <c r="T156" i="2"/>
  <c r="P157" i="2"/>
  <c r="V157" i="2"/>
  <c r="S157" i="2"/>
  <c r="W157" i="2"/>
  <c r="T157" i="2"/>
  <c r="P158" i="2"/>
  <c r="V158" i="2"/>
  <c r="S158" i="2"/>
  <c r="W158" i="2"/>
  <c r="T158" i="2"/>
  <c r="P159" i="2"/>
  <c r="V159" i="2"/>
  <c r="S159" i="2"/>
  <c r="W159" i="2"/>
  <c r="T159" i="2"/>
  <c r="P160" i="2"/>
  <c r="V160" i="2"/>
  <c r="S160" i="2"/>
  <c r="W160" i="2"/>
  <c r="T160" i="2"/>
  <c r="P161" i="2"/>
  <c r="V161" i="2"/>
  <c r="S161" i="2"/>
  <c r="W161" i="2"/>
  <c r="T161" i="2"/>
  <c r="P162" i="2"/>
  <c r="V162" i="2"/>
  <c r="S162" i="2"/>
  <c r="W162" i="2"/>
  <c r="T162" i="2"/>
  <c r="P163" i="2"/>
  <c r="V163" i="2"/>
  <c r="S163" i="2"/>
  <c r="W163" i="2"/>
  <c r="T163" i="2"/>
  <c r="P164" i="2"/>
  <c r="V164" i="2"/>
  <c r="S164" i="2"/>
  <c r="W164" i="2"/>
  <c r="T164" i="2"/>
  <c r="P165" i="2"/>
  <c r="V165" i="2"/>
  <c r="S165" i="2"/>
  <c r="W165" i="2"/>
  <c r="T165" i="2"/>
  <c r="P166" i="2"/>
  <c r="V166" i="2"/>
  <c r="S166" i="2"/>
  <c r="W166" i="2"/>
  <c r="T166" i="2"/>
  <c r="P167" i="2"/>
  <c r="V167" i="2"/>
  <c r="S167" i="2"/>
  <c r="W167" i="2"/>
  <c r="T167" i="2"/>
  <c r="P168" i="2"/>
  <c r="V168" i="2"/>
  <c r="S168" i="2"/>
  <c r="W168" i="2"/>
  <c r="T168" i="2"/>
  <c r="P169" i="2"/>
  <c r="V169" i="2"/>
  <c r="S169" i="2"/>
  <c r="W169" i="2"/>
  <c r="T169" i="2"/>
  <c r="P170" i="2"/>
  <c r="V170" i="2"/>
  <c r="S170" i="2"/>
  <c r="W170" i="2"/>
  <c r="T170" i="2"/>
  <c r="P171" i="2"/>
  <c r="V171" i="2"/>
  <c r="S171" i="2"/>
  <c r="W171" i="2"/>
  <c r="T171" i="2"/>
  <c r="P172" i="2"/>
  <c r="V172" i="2"/>
  <c r="S172" i="2"/>
  <c r="W172" i="2"/>
  <c r="T172" i="2"/>
  <c r="P173" i="2"/>
  <c r="V173" i="2"/>
  <c r="S173" i="2"/>
  <c r="W173" i="2"/>
  <c r="T173" i="2"/>
  <c r="P174" i="2"/>
  <c r="V174" i="2"/>
  <c r="S174" i="2"/>
  <c r="W174" i="2"/>
  <c r="T174" i="2"/>
  <c r="P175" i="2"/>
  <c r="V175" i="2"/>
  <c r="S175" i="2"/>
  <c r="W175" i="2"/>
  <c r="T175" i="2"/>
  <c r="P176" i="2"/>
  <c r="V176" i="2"/>
  <c r="S176" i="2"/>
  <c r="W176" i="2"/>
  <c r="T176" i="2"/>
  <c r="P177" i="2"/>
  <c r="V177" i="2"/>
  <c r="S177" i="2"/>
  <c r="W177" i="2"/>
  <c r="T177" i="2"/>
  <c r="P178" i="2"/>
  <c r="V178" i="2"/>
  <c r="S178" i="2"/>
  <c r="W178" i="2"/>
  <c r="T178" i="2"/>
  <c r="P179" i="2"/>
  <c r="V179" i="2"/>
  <c r="S179" i="2"/>
  <c r="W179" i="2"/>
  <c r="T179" i="2"/>
  <c r="P180" i="2"/>
  <c r="V180" i="2"/>
  <c r="S180" i="2"/>
  <c r="W180" i="2"/>
  <c r="T180" i="2"/>
  <c r="P181" i="2"/>
  <c r="V181" i="2"/>
  <c r="S181" i="2"/>
  <c r="W181" i="2"/>
  <c r="T181" i="2"/>
  <c r="P182" i="2"/>
  <c r="V182" i="2"/>
  <c r="S182" i="2"/>
  <c r="W182" i="2"/>
  <c r="T182" i="2"/>
  <c r="P183" i="2"/>
  <c r="V183" i="2"/>
  <c r="S183" i="2"/>
  <c r="W183" i="2"/>
  <c r="T183" i="2"/>
  <c r="P184" i="2"/>
  <c r="V184" i="2"/>
  <c r="S184" i="2"/>
  <c r="W184" i="2"/>
  <c r="T184" i="2"/>
  <c r="P185" i="2"/>
  <c r="V185" i="2"/>
  <c r="S185" i="2"/>
  <c r="W185" i="2"/>
  <c r="T185" i="2"/>
  <c r="P186" i="2"/>
  <c r="V186" i="2"/>
  <c r="S186" i="2"/>
  <c r="W186" i="2"/>
  <c r="T186" i="2"/>
  <c r="P187" i="2"/>
  <c r="V187" i="2"/>
  <c r="S187" i="2"/>
  <c r="W187" i="2"/>
  <c r="T187" i="2"/>
  <c r="P188" i="2"/>
  <c r="V188" i="2"/>
  <c r="S188" i="2"/>
  <c r="W188" i="2"/>
  <c r="T188" i="2"/>
  <c r="P189" i="2"/>
  <c r="V189" i="2"/>
  <c r="S189" i="2"/>
  <c r="W189" i="2"/>
  <c r="T189" i="2"/>
  <c r="P190" i="2"/>
  <c r="V190" i="2"/>
  <c r="S190" i="2"/>
  <c r="W190" i="2"/>
  <c r="T190" i="2"/>
  <c r="P191" i="2"/>
  <c r="V191" i="2"/>
  <c r="S191" i="2"/>
  <c r="W191" i="2"/>
  <c r="T191" i="2"/>
  <c r="P192" i="2"/>
  <c r="V192" i="2"/>
  <c r="S192" i="2"/>
  <c r="W192" i="2"/>
  <c r="T192" i="2"/>
  <c r="P193" i="2"/>
  <c r="V193" i="2"/>
  <c r="S193" i="2"/>
  <c r="W193" i="2"/>
  <c r="T193" i="2"/>
  <c r="P194" i="2"/>
  <c r="V194" i="2"/>
  <c r="S194" i="2"/>
  <c r="W194" i="2"/>
  <c r="T194" i="2"/>
  <c r="P195" i="2"/>
  <c r="V195" i="2"/>
  <c r="S195" i="2"/>
  <c r="W195" i="2"/>
  <c r="T195" i="2"/>
  <c r="P196" i="2"/>
  <c r="V196" i="2"/>
  <c r="S196" i="2"/>
  <c r="W196" i="2"/>
  <c r="T196" i="2"/>
  <c r="P197" i="2"/>
  <c r="V197" i="2"/>
  <c r="S197" i="2"/>
  <c r="W197" i="2"/>
  <c r="T197" i="2"/>
  <c r="P198" i="2"/>
  <c r="V198" i="2"/>
  <c r="S198" i="2"/>
  <c r="W198" i="2"/>
  <c r="T198" i="2"/>
  <c r="P199" i="2"/>
  <c r="V199" i="2"/>
  <c r="S199" i="2"/>
  <c r="W199" i="2"/>
  <c r="T199" i="2"/>
  <c r="P200" i="2"/>
  <c r="V200" i="2"/>
  <c r="S200" i="2"/>
  <c r="W200" i="2"/>
  <c r="T200" i="2"/>
  <c r="P201" i="2"/>
  <c r="V201" i="2"/>
  <c r="S201" i="2"/>
  <c r="W201" i="2"/>
  <c r="T201" i="2"/>
  <c r="P202" i="2"/>
  <c r="V202" i="2"/>
  <c r="S202" i="2"/>
  <c r="W202" i="2"/>
  <c r="T202" i="2"/>
  <c r="P203" i="2"/>
  <c r="V203" i="2"/>
  <c r="S203" i="2"/>
  <c r="W203" i="2"/>
  <c r="T203" i="2"/>
  <c r="P204" i="2"/>
  <c r="V204" i="2"/>
  <c r="S204" i="2"/>
  <c r="W204" i="2"/>
  <c r="T204" i="2"/>
  <c r="P205" i="2"/>
  <c r="V205" i="2"/>
  <c r="S205" i="2"/>
  <c r="W205" i="2"/>
  <c r="T205" i="2"/>
  <c r="P206" i="2"/>
  <c r="V206" i="2"/>
  <c r="S206" i="2"/>
  <c r="W206" i="2"/>
  <c r="T206" i="2"/>
  <c r="P207" i="2"/>
  <c r="V207" i="2"/>
  <c r="S207" i="2"/>
  <c r="W207" i="2"/>
  <c r="T207" i="2"/>
  <c r="P208" i="2"/>
  <c r="V208" i="2"/>
  <c r="S208" i="2"/>
  <c r="W208" i="2"/>
  <c r="T208" i="2"/>
  <c r="P209" i="2"/>
  <c r="V209" i="2"/>
  <c r="S209" i="2"/>
  <c r="W209" i="2"/>
  <c r="T209" i="2"/>
  <c r="P210" i="2"/>
  <c r="V210" i="2"/>
  <c r="S210" i="2"/>
  <c r="W210" i="2"/>
  <c r="T210" i="2"/>
  <c r="P211" i="2"/>
  <c r="V211" i="2"/>
  <c r="S211" i="2"/>
  <c r="W211" i="2"/>
  <c r="T211" i="2"/>
  <c r="P212" i="2"/>
  <c r="V212" i="2"/>
  <c r="S212" i="2"/>
  <c r="W212" i="2"/>
  <c r="T212" i="2"/>
  <c r="P213" i="2"/>
  <c r="V213" i="2"/>
  <c r="S213" i="2"/>
  <c r="W213" i="2"/>
  <c r="T213" i="2"/>
  <c r="P214" i="2"/>
  <c r="V214" i="2"/>
  <c r="S214" i="2"/>
  <c r="W214" i="2"/>
  <c r="T214" i="2"/>
  <c r="P215" i="2"/>
  <c r="V215" i="2"/>
  <c r="S215" i="2"/>
  <c r="W215" i="2"/>
  <c r="T215" i="2"/>
  <c r="P216" i="2"/>
  <c r="V216" i="2"/>
  <c r="S216" i="2"/>
  <c r="W216" i="2"/>
  <c r="T216" i="2"/>
  <c r="P217" i="2"/>
  <c r="V217" i="2"/>
  <c r="S217" i="2"/>
  <c r="W217" i="2"/>
  <c r="T217" i="2"/>
  <c r="P218" i="2"/>
  <c r="V218" i="2"/>
  <c r="S218" i="2"/>
  <c r="W218" i="2"/>
  <c r="T218" i="2"/>
  <c r="P219" i="2"/>
  <c r="V219" i="2"/>
  <c r="S219" i="2"/>
  <c r="W219" i="2"/>
  <c r="T219" i="2"/>
  <c r="P220" i="2"/>
  <c r="V220" i="2"/>
  <c r="S220" i="2"/>
  <c r="W220" i="2"/>
  <c r="T220" i="2"/>
  <c r="P221" i="2"/>
  <c r="V221" i="2"/>
  <c r="S221" i="2"/>
  <c r="W221" i="2"/>
  <c r="T221" i="2"/>
  <c r="P222" i="2"/>
  <c r="V222" i="2"/>
  <c r="S222" i="2"/>
  <c r="W222" i="2"/>
  <c r="T222" i="2"/>
  <c r="P223" i="2"/>
  <c r="V223" i="2"/>
  <c r="S223" i="2"/>
  <c r="W223" i="2"/>
  <c r="T223" i="2"/>
  <c r="P224" i="2"/>
  <c r="V224" i="2"/>
  <c r="S224" i="2"/>
  <c r="W224" i="2"/>
  <c r="T224" i="2"/>
  <c r="P225" i="2"/>
  <c r="V225" i="2"/>
  <c r="S225" i="2"/>
  <c r="W225" i="2"/>
  <c r="T225" i="2"/>
  <c r="P226" i="2"/>
  <c r="V226" i="2"/>
  <c r="S226" i="2"/>
  <c r="W226" i="2"/>
  <c r="T226" i="2"/>
  <c r="P227" i="2"/>
  <c r="V227" i="2"/>
  <c r="S227" i="2"/>
  <c r="W227" i="2"/>
  <c r="T227" i="2"/>
  <c r="P228" i="2"/>
  <c r="V228" i="2"/>
  <c r="S228" i="2"/>
  <c r="W228" i="2"/>
  <c r="T228" i="2"/>
  <c r="P229" i="2"/>
  <c r="V229" i="2"/>
  <c r="S229" i="2"/>
  <c r="W229" i="2"/>
  <c r="T229" i="2"/>
  <c r="P230" i="2"/>
  <c r="V230" i="2"/>
  <c r="S230" i="2"/>
  <c r="W230" i="2"/>
  <c r="T230" i="2"/>
  <c r="P231" i="2"/>
  <c r="V231" i="2"/>
  <c r="S231" i="2"/>
  <c r="W231" i="2"/>
  <c r="T231" i="2"/>
  <c r="P232" i="2"/>
  <c r="V232" i="2"/>
  <c r="S232" i="2"/>
  <c r="W232" i="2"/>
  <c r="T232" i="2"/>
  <c r="P233" i="2"/>
  <c r="V233" i="2"/>
  <c r="S233" i="2"/>
  <c r="W233" i="2"/>
  <c r="T233" i="2"/>
  <c r="P234" i="2"/>
  <c r="V234" i="2"/>
  <c r="S234" i="2"/>
  <c r="W234" i="2"/>
  <c r="T234" i="2"/>
  <c r="P235" i="2"/>
  <c r="V235" i="2"/>
  <c r="S235" i="2"/>
  <c r="W235" i="2"/>
  <c r="T235" i="2"/>
  <c r="P236" i="2"/>
  <c r="V236" i="2"/>
  <c r="S236" i="2"/>
  <c r="W236" i="2"/>
  <c r="T236" i="2"/>
  <c r="P237" i="2"/>
  <c r="V237" i="2"/>
  <c r="S237" i="2"/>
  <c r="W237" i="2"/>
  <c r="T237" i="2"/>
  <c r="P238" i="2"/>
  <c r="V238" i="2"/>
  <c r="S238" i="2"/>
  <c r="W238" i="2"/>
  <c r="T238" i="2"/>
  <c r="P239" i="2"/>
  <c r="V239" i="2"/>
  <c r="S239" i="2"/>
  <c r="W239" i="2"/>
  <c r="T239" i="2"/>
  <c r="P240" i="2"/>
  <c r="V240" i="2"/>
  <c r="S240" i="2"/>
  <c r="W240" i="2"/>
  <c r="T240" i="2"/>
  <c r="P241" i="2"/>
  <c r="V241" i="2"/>
  <c r="S241" i="2"/>
  <c r="W241" i="2"/>
  <c r="T241" i="2"/>
  <c r="P242" i="2"/>
  <c r="V242" i="2"/>
  <c r="S242" i="2"/>
  <c r="W242" i="2"/>
  <c r="T242" i="2"/>
  <c r="P243" i="2"/>
  <c r="V243" i="2"/>
  <c r="S243" i="2"/>
  <c r="W243" i="2"/>
  <c r="T243" i="2"/>
  <c r="P244" i="2"/>
  <c r="V244" i="2"/>
  <c r="S244" i="2"/>
  <c r="W244" i="2"/>
  <c r="T244" i="2"/>
  <c r="P245" i="2"/>
  <c r="V245" i="2"/>
  <c r="S245" i="2"/>
  <c r="W245" i="2"/>
  <c r="T245" i="2"/>
  <c r="P246" i="2"/>
  <c r="V246" i="2"/>
  <c r="S246" i="2"/>
  <c r="W246" i="2"/>
  <c r="T246" i="2"/>
  <c r="P247" i="2"/>
  <c r="V247" i="2"/>
  <c r="S247" i="2"/>
  <c r="W247" i="2"/>
  <c r="T247" i="2"/>
  <c r="P248" i="2"/>
  <c r="V248" i="2"/>
  <c r="S248" i="2"/>
  <c r="W248" i="2"/>
  <c r="T248" i="2"/>
  <c r="P249" i="2"/>
  <c r="V249" i="2"/>
  <c r="S249" i="2"/>
  <c r="W249" i="2"/>
  <c r="T249" i="2"/>
  <c r="P250" i="2"/>
  <c r="V250" i="2"/>
  <c r="S250" i="2"/>
  <c r="W250" i="2"/>
  <c r="T250" i="2"/>
  <c r="P251" i="2"/>
  <c r="V251" i="2"/>
  <c r="S251" i="2"/>
  <c r="W251" i="2"/>
  <c r="T251" i="2"/>
  <c r="P252" i="2"/>
  <c r="V252" i="2"/>
  <c r="S252" i="2"/>
  <c r="W252" i="2"/>
  <c r="T252" i="2"/>
  <c r="P253" i="2"/>
  <c r="V253" i="2"/>
  <c r="S253" i="2"/>
  <c r="W253" i="2"/>
  <c r="T253" i="2"/>
  <c r="P254" i="2"/>
  <c r="V254" i="2"/>
  <c r="S254" i="2"/>
  <c r="W254" i="2"/>
  <c r="T254" i="2"/>
  <c r="P255" i="2"/>
  <c r="V255" i="2"/>
  <c r="S255" i="2"/>
  <c r="W255" i="2"/>
  <c r="T255" i="2"/>
  <c r="P256" i="2"/>
  <c r="V256" i="2"/>
  <c r="S256" i="2"/>
  <c r="W256" i="2"/>
  <c r="T256" i="2"/>
  <c r="P257" i="2"/>
  <c r="V257" i="2"/>
  <c r="S257" i="2"/>
  <c r="W257" i="2"/>
  <c r="T257" i="2"/>
  <c r="P258" i="2"/>
  <c r="V258" i="2"/>
  <c r="S258" i="2"/>
  <c r="W258" i="2"/>
  <c r="T258" i="2"/>
  <c r="P259" i="2"/>
  <c r="V259" i="2"/>
  <c r="S259" i="2"/>
  <c r="W259" i="2"/>
  <c r="T259" i="2"/>
  <c r="P260" i="2"/>
  <c r="V260" i="2"/>
  <c r="S260" i="2"/>
  <c r="W260" i="2"/>
  <c r="T260" i="2"/>
  <c r="P261" i="2"/>
  <c r="V261" i="2"/>
  <c r="S261" i="2"/>
  <c r="W261" i="2"/>
  <c r="T261" i="2"/>
  <c r="P262" i="2"/>
  <c r="V262" i="2"/>
  <c r="S262" i="2"/>
  <c r="W262" i="2"/>
  <c r="T262" i="2"/>
  <c r="P263" i="2"/>
  <c r="V263" i="2"/>
  <c r="S263" i="2"/>
  <c r="W263" i="2"/>
  <c r="T263" i="2"/>
  <c r="P264" i="2"/>
  <c r="V264" i="2"/>
  <c r="S264" i="2"/>
  <c r="W264" i="2"/>
  <c r="T264" i="2"/>
  <c r="P265" i="2"/>
  <c r="V265" i="2"/>
  <c r="S265" i="2"/>
  <c r="W265" i="2"/>
  <c r="T265" i="2"/>
  <c r="P266" i="2"/>
  <c r="V266" i="2"/>
  <c r="S266" i="2"/>
  <c r="W266" i="2"/>
  <c r="T266" i="2"/>
  <c r="U11" i="2"/>
  <c r="R11" i="2"/>
  <c r="U12" i="2"/>
  <c r="R12" i="2"/>
  <c r="U13" i="2"/>
  <c r="R13" i="2"/>
  <c r="U14" i="2"/>
  <c r="R14" i="2"/>
  <c r="U15" i="2"/>
  <c r="R15" i="2"/>
  <c r="U16" i="2"/>
  <c r="R16" i="2"/>
  <c r="U17" i="2"/>
  <c r="R17" i="2"/>
  <c r="U18" i="2"/>
  <c r="R18" i="2"/>
  <c r="U19" i="2"/>
  <c r="R19" i="2"/>
  <c r="U20" i="2"/>
  <c r="R20" i="2"/>
  <c r="U21" i="2"/>
  <c r="R21" i="2"/>
  <c r="U22" i="2"/>
  <c r="R22" i="2"/>
  <c r="U23" i="2"/>
  <c r="R23" i="2"/>
  <c r="U24" i="2"/>
  <c r="R24" i="2"/>
  <c r="U25" i="2"/>
  <c r="R25" i="2"/>
  <c r="U26" i="2"/>
  <c r="R26" i="2"/>
  <c r="U27" i="2"/>
  <c r="R27" i="2"/>
  <c r="U28" i="2"/>
  <c r="R28" i="2"/>
  <c r="U29" i="2"/>
  <c r="R29" i="2"/>
  <c r="U30" i="2"/>
  <c r="R30" i="2"/>
  <c r="U31" i="2"/>
  <c r="R31" i="2"/>
  <c r="U32" i="2"/>
  <c r="R32" i="2"/>
  <c r="U33" i="2"/>
  <c r="R33" i="2"/>
  <c r="U34" i="2"/>
  <c r="R34" i="2"/>
  <c r="U35" i="2"/>
  <c r="R35" i="2"/>
  <c r="U36" i="2"/>
  <c r="R36" i="2"/>
  <c r="U37" i="2"/>
  <c r="R37" i="2"/>
  <c r="U38" i="2"/>
  <c r="R38" i="2"/>
  <c r="U39" i="2"/>
  <c r="R39" i="2"/>
  <c r="U40" i="2"/>
  <c r="R40" i="2"/>
  <c r="U41" i="2"/>
  <c r="R41" i="2"/>
  <c r="U42" i="2"/>
  <c r="R42" i="2"/>
  <c r="U43" i="2"/>
  <c r="R43" i="2"/>
  <c r="U44" i="2"/>
  <c r="R44" i="2"/>
  <c r="U45" i="2"/>
  <c r="R45" i="2"/>
  <c r="U46" i="2"/>
  <c r="R46" i="2"/>
  <c r="U47" i="2"/>
  <c r="R47" i="2"/>
  <c r="U48" i="2"/>
  <c r="R48" i="2"/>
  <c r="U49" i="2"/>
  <c r="R49" i="2"/>
  <c r="U50" i="2"/>
  <c r="R50" i="2"/>
  <c r="U51" i="2"/>
  <c r="R51" i="2"/>
  <c r="U52" i="2"/>
  <c r="R52" i="2"/>
  <c r="U53" i="2"/>
  <c r="R53" i="2"/>
  <c r="U54" i="2"/>
  <c r="R54" i="2"/>
  <c r="U55" i="2"/>
  <c r="R55" i="2"/>
  <c r="U56" i="2"/>
  <c r="R56" i="2"/>
  <c r="U57" i="2"/>
  <c r="R57" i="2"/>
  <c r="U58" i="2"/>
  <c r="R58" i="2"/>
  <c r="U59" i="2"/>
  <c r="R59" i="2"/>
  <c r="U60" i="2"/>
  <c r="R60" i="2"/>
  <c r="U61" i="2"/>
  <c r="R61" i="2"/>
  <c r="U62" i="2"/>
  <c r="R62" i="2"/>
  <c r="U63" i="2"/>
  <c r="R63" i="2"/>
  <c r="U64" i="2"/>
  <c r="R64" i="2"/>
  <c r="U65" i="2"/>
  <c r="R65" i="2"/>
  <c r="U66" i="2"/>
  <c r="R66" i="2"/>
  <c r="U67" i="2"/>
  <c r="R67" i="2"/>
  <c r="U68" i="2"/>
  <c r="R68" i="2"/>
  <c r="U69" i="2"/>
  <c r="R69" i="2"/>
  <c r="U70" i="2"/>
  <c r="R70" i="2"/>
  <c r="U71" i="2"/>
  <c r="R71" i="2"/>
  <c r="U72" i="2"/>
  <c r="R72" i="2"/>
  <c r="U73" i="2"/>
  <c r="R73" i="2"/>
  <c r="U74" i="2"/>
  <c r="R74" i="2"/>
  <c r="U75" i="2"/>
  <c r="R75" i="2"/>
  <c r="U76" i="2"/>
  <c r="R76" i="2"/>
  <c r="U77" i="2"/>
  <c r="R77" i="2"/>
  <c r="U78" i="2"/>
  <c r="R78" i="2"/>
  <c r="U79" i="2"/>
  <c r="R79" i="2"/>
  <c r="U80" i="2"/>
  <c r="R80" i="2"/>
  <c r="U81" i="2"/>
  <c r="R81" i="2"/>
  <c r="U82" i="2"/>
  <c r="R82" i="2"/>
  <c r="U83" i="2"/>
  <c r="R83" i="2"/>
  <c r="U84" i="2"/>
  <c r="R84" i="2"/>
  <c r="U85" i="2"/>
  <c r="R85" i="2"/>
  <c r="U86" i="2"/>
  <c r="R86" i="2"/>
  <c r="U87" i="2"/>
  <c r="R87" i="2"/>
  <c r="U88" i="2"/>
  <c r="R88" i="2"/>
  <c r="U89" i="2"/>
  <c r="R89" i="2"/>
  <c r="U90" i="2"/>
  <c r="R90" i="2"/>
  <c r="U91" i="2"/>
  <c r="R91" i="2"/>
  <c r="U92" i="2"/>
  <c r="R92" i="2"/>
  <c r="U93" i="2"/>
  <c r="R93" i="2"/>
  <c r="U94" i="2"/>
  <c r="R94" i="2"/>
  <c r="U95" i="2"/>
  <c r="R95" i="2"/>
  <c r="U96" i="2"/>
  <c r="R96" i="2"/>
  <c r="U97" i="2"/>
  <c r="R97" i="2"/>
  <c r="U98" i="2"/>
  <c r="R98" i="2"/>
  <c r="U99" i="2"/>
  <c r="R99" i="2"/>
  <c r="U100" i="2"/>
  <c r="R100" i="2"/>
  <c r="U101" i="2"/>
  <c r="R101" i="2"/>
  <c r="U102" i="2"/>
  <c r="R102" i="2"/>
  <c r="U103" i="2"/>
  <c r="R103" i="2"/>
  <c r="U104" i="2"/>
  <c r="R104" i="2"/>
  <c r="U105" i="2"/>
  <c r="R105" i="2"/>
  <c r="U106" i="2"/>
  <c r="R106" i="2"/>
  <c r="U107" i="2"/>
  <c r="R107" i="2"/>
  <c r="U108" i="2"/>
  <c r="R108" i="2"/>
  <c r="U109" i="2"/>
  <c r="R109" i="2"/>
  <c r="U110" i="2"/>
  <c r="R110" i="2"/>
  <c r="U111" i="2"/>
  <c r="R111" i="2"/>
  <c r="U112" i="2"/>
  <c r="R112" i="2"/>
  <c r="U113" i="2"/>
  <c r="R113" i="2"/>
  <c r="U114" i="2"/>
  <c r="R114" i="2"/>
  <c r="U115" i="2"/>
  <c r="R115" i="2"/>
  <c r="U116" i="2"/>
  <c r="R116" i="2"/>
  <c r="U117" i="2"/>
  <c r="R117" i="2"/>
  <c r="U118" i="2"/>
  <c r="R118" i="2"/>
  <c r="U119" i="2"/>
  <c r="R119" i="2"/>
  <c r="U120" i="2"/>
  <c r="R120" i="2"/>
  <c r="U121" i="2"/>
  <c r="R121" i="2"/>
  <c r="U122" i="2"/>
  <c r="R122" i="2"/>
  <c r="U123" i="2"/>
  <c r="R123" i="2"/>
  <c r="U124" i="2"/>
  <c r="R124" i="2"/>
  <c r="U125" i="2"/>
  <c r="R125" i="2"/>
  <c r="U126" i="2"/>
  <c r="R126" i="2"/>
  <c r="U127" i="2"/>
  <c r="R127" i="2"/>
  <c r="U128" i="2"/>
  <c r="R128" i="2"/>
  <c r="U129" i="2"/>
  <c r="R129" i="2"/>
  <c r="U130" i="2"/>
  <c r="R130" i="2"/>
  <c r="U131" i="2"/>
  <c r="R131" i="2"/>
  <c r="U132" i="2"/>
  <c r="R132" i="2"/>
  <c r="U133" i="2"/>
  <c r="R133" i="2"/>
  <c r="U134" i="2"/>
  <c r="R134" i="2"/>
  <c r="U135" i="2"/>
  <c r="R135" i="2"/>
  <c r="U136" i="2"/>
  <c r="R136" i="2"/>
  <c r="U137" i="2"/>
  <c r="R137" i="2"/>
  <c r="U138" i="2"/>
  <c r="R138" i="2"/>
  <c r="U139" i="2"/>
  <c r="R139" i="2"/>
  <c r="U140" i="2"/>
  <c r="R140" i="2"/>
  <c r="U141" i="2"/>
  <c r="R141" i="2"/>
  <c r="U142" i="2"/>
  <c r="R142" i="2"/>
  <c r="U143" i="2"/>
  <c r="R143" i="2"/>
  <c r="U144" i="2"/>
  <c r="R144" i="2"/>
  <c r="U145" i="2"/>
  <c r="R145" i="2"/>
  <c r="U146" i="2"/>
  <c r="R146" i="2"/>
  <c r="U147" i="2"/>
  <c r="R147" i="2"/>
  <c r="U148" i="2"/>
  <c r="R148" i="2"/>
  <c r="U149" i="2"/>
  <c r="R149" i="2"/>
  <c r="U150" i="2"/>
  <c r="R150" i="2"/>
  <c r="U151" i="2"/>
  <c r="R151" i="2"/>
  <c r="U152" i="2"/>
  <c r="R152" i="2"/>
  <c r="U153" i="2"/>
  <c r="R153" i="2"/>
  <c r="U154" i="2"/>
  <c r="R154" i="2"/>
  <c r="U155" i="2"/>
  <c r="R155" i="2"/>
  <c r="U156" i="2"/>
  <c r="R156" i="2"/>
  <c r="U157" i="2"/>
  <c r="R157" i="2"/>
  <c r="U158" i="2"/>
  <c r="R158" i="2"/>
  <c r="U159" i="2"/>
  <c r="R159" i="2"/>
  <c r="U160" i="2"/>
  <c r="R160" i="2"/>
  <c r="U161" i="2"/>
  <c r="R161" i="2"/>
  <c r="U162" i="2"/>
  <c r="R162" i="2"/>
  <c r="U163" i="2"/>
  <c r="R163" i="2"/>
  <c r="U164" i="2"/>
  <c r="R164" i="2"/>
  <c r="U165" i="2"/>
  <c r="R165" i="2"/>
  <c r="U166" i="2"/>
  <c r="R166" i="2"/>
  <c r="U167" i="2"/>
  <c r="R167" i="2"/>
  <c r="U168" i="2"/>
  <c r="R168" i="2"/>
  <c r="U169" i="2"/>
  <c r="R169" i="2"/>
  <c r="U170" i="2"/>
  <c r="R170" i="2"/>
  <c r="U171" i="2"/>
  <c r="R171" i="2"/>
  <c r="U172" i="2"/>
  <c r="R172" i="2"/>
  <c r="U173" i="2"/>
  <c r="R173" i="2"/>
  <c r="U174" i="2"/>
  <c r="R174" i="2"/>
  <c r="U175" i="2"/>
  <c r="R175" i="2"/>
  <c r="U176" i="2"/>
  <c r="R176" i="2"/>
  <c r="U177" i="2"/>
  <c r="R177" i="2"/>
  <c r="U178" i="2"/>
  <c r="R178" i="2"/>
  <c r="U179" i="2"/>
  <c r="R179" i="2"/>
  <c r="U180" i="2"/>
  <c r="R180" i="2"/>
  <c r="U181" i="2"/>
  <c r="R181" i="2"/>
  <c r="U182" i="2"/>
  <c r="R182" i="2"/>
  <c r="U183" i="2"/>
  <c r="R183" i="2"/>
  <c r="U184" i="2"/>
  <c r="R184" i="2"/>
  <c r="U185" i="2"/>
  <c r="R185" i="2"/>
  <c r="U186" i="2"/>
  <c r="R186" i="2"/>
  <c r="U187" i="2"/>
  <c r="R187" i="2"/>
  <c r="U188" i="2"/>
  <c r="R188" i="2"/>
  <c r="U189" i="2"/>
  <c r="R189" i="2"/>
  <c r="U190" i="2"/>
  <c r="R190" i="2"/>
  <c r="U191" i="2"/>
  <c r="R191" i="2"/>
  <c r="U192" i="2"/>
  <c r="R192" i="2"/>
  <c r="U193" i="2"/>
  <c r="R193" i="2"/>
  <c r="U194" i="2"/>
  <c r="R194" i="2"/>
  <c r="U195" i="2"/>
  <c r="R195" i="2"/>
  <c r="U196" i="2"/>
  <c r="R196" i="2"/>
  <c r="U197" i="2"/>
  <c r="R197" i="2"/>
  <c r="U198" i="2"/>
  <c r="R198" i="2"/>
  <c r="U199" i="2"/>
  <c r="R199" i="2"/>
  <c r="U200" i="2"/>
  <c r="R200" i="2"/>
  <c r="U201" i="2"/>
  <c r="R201" i="2"/>
  <c r="U202" i="2"/>
  <c r="R202" i="2"/>
  <c r="U203" i="2"/>
  <c r="R203" i="2"/>
  <c r="U204" i="2"/>
  <c r="R204" i="2"/>
  <c r="U205" i="2"/>
  <c r="R205" i="2"/>
  <c r="U206" i="2"/>
  <c r="R206" i="2"/>
  <c r="U207" i="2"/>
  <c r="R207" i="2"/>
  <c r="U208" i="2"/>
  <c r="R208" i="2"/>
  <c r="U209" i="2"/>
  <c r="R209" i="2"/>
  <c r="U210" i="2"/>
  <c r="R210" i="2"/>
  <c r="U211" i="2"/>
  <c r="R211" i="2"/>
  <c r="U212" i="2"/>
  <c r="R212" i="2"/>
  <c r="U213" i="2"/>
  <c r="R213" i="2"/>
  <c r="U214" i="2"/>
  <c r="R214" i="2"/>
  <c r="U215" i="2"/>
  <c r="R215" i="2"/>
  <c r="U216" i="2"/>
  <c r="R216" i="2"/>
  <c r="U217" i="2"/>
  <c r="R217" i="2"/>
  <c r="U218" i="2"/>
  <c r="R218" i="2"/>
  <c r="U219" i="2"/>
  <c r="R219" i="2"/>
  <c r="U220" i="2"/>
  <c r="R220" i="2"/>
  <c r="U221" i="2"/>
  <c r="R221" i="2"/>
  <c r="U222" i="2"/>
  <c r="R222" i="2"/>
  <c r="U223" i="2"/>
  <c r="R223" i="2"/>
  <c r="U224" i="2"/>
  <c r="R224" i="2"/>
  <c r="U225" i="2"/>
  <c r="R225" i="2"/>
  <c r="U226" i="2"/>
  <c r="R226" i="2"/>
  <c r="U227" i="2"/>
  <c r="R227" i="2"/>
  <c r="U228" i="2"/>
  <c r="R228" i="2"/>
  <c r="U229" i="2"/>
  <c r="R229" i="2"/>
  <c r="U230" i="2"/>
  <c r="R230" i="2"/>
  <c r="U231" i="2"/>
  <c r="R231" i="2"/>
  <c r="U232" i="2"/>
  <c r="R232" i="2"/>
  <c r="U233" i="2"/>
  <c r="R233" i="2"/>
  <c r="U234" i="2"/>
  <c r="R234" i="2"/>
  <c r="U235" i="2"/>
  <c r="R235" i="2"/>
  <c r="U236" i="2"/>
  <c r="R236" i="2"/>
  <c r="U237" i="2"/>
  <c r="R237" i="2"/>
  <c r="U238" i="2"/>
  <c r="R238" i="2"/>
  <c r="U239" i="2"/>
  <c r="R239" i="2"/>
  <c r="U240" i="2"/>
  <c r="R240" i="2"/>
  <c r="U241" i="2"/>
  <c r="R241" i="2"/>
  <c r="U242" i="2"/>
  <c r="R242" i="2"/>
  <c r="U243" i="2"/>
  <c r="R243" i="2"/>
  <c r="U244" i="2"/>
  <c r="R244" i="2"/>
  <c r="U245" i="2"/>
  <c r="R245" i="2"/>
  <c r="U246" i="2"/>
  <c r="R246" i="2"/>
  <c r="U247" i="2"/>
  <c r="R247" i="2"/>
  <c r="U248" i="2"/>
  <c r="R248" i="2"/>
  <c r="U249" i="2"/>
  <c r="R249" i="2"/>
  <c r="U250" i="2"/>
  <c r="R250" i="2"/>
  <c r="U251" i="2"/>
  <c r="R251" i="2"/>
  <c r="U252" i="2"/>
  <c r="R252" i="2"/>
  <c r="U253" i="2"/>
  <c r="R253" i="2"/>
  <c r="U254" i="2"/>
  <c r="R254" i="2"/>
  <c r="U255" i="2"/>
  <c r="R255" i="2"/>
  <c r="U256" i="2"/>
  <c r="R256" i="2"/>
  <c r="U257" i="2"/>
  <c r="R257" i="2"/>
  <c r="U258" i="2"/>
  <c r="R258" i="2"/>
  <c r="U259" i="2"/>
  <c r="R259" i="2"/>
  <c r="U260" i="2"/>
  <c r="R260" i="2"/>
  <c r="U261" i="2"/>
  <c r="R261" i="2"/>
  <c r="U262" i="2"/>
  <c r="R262" i="2"/>
  <c r="U263" i="2"/>
  <c r="R263" i="2"/>
  <c r="U264" i="2"/>
  <c r="R264" i="2"/>
  <c r="U265" i="2"/>
  <c r="R265" i="2"/>
  <c r="U266" i="2"/>
  <c r="R266" i="2"/>
  <c r="G97" i="10"/>
  <c r="H29" i="31"/>
  <c r="G96" i="10"/>
  <c r="C97" i="10"/>
  <c r="E18" i="10"/>
  <c r="E23" i="10"/>
  <c r="E25" i="10"/>
  <c r="E26" i="10"/>
  <c r="E28" i="10"/>
  <c r="E30" i="10"/>
  <c r="E38" i="10"/>
  <c r="E43" i="10"/>
  <c r="E45" i="10"/>
  <c r="E46" i="10"/>
  <c r="E48" i="10"/>
  <c r="E50" i="10"/>
  <c r="E70" i="10"/>
  <c r="E78" i="10"/>
  <c r="E83" i="10"/>
  <c r="E85" i="10"/>
  <c r="E86" i="10"/>
  <c r="E88" i="10"/>
  <c r="E90" i="10"/>
  <c r="E93" i="10"/>
  <c r="E97" i="10"/>
  <c r="E33" i="28"/>
  <c r="D14" i="29"/>
  <c r="R15" i="32"/>
  <c r="S15" i="32"/>
  <c r="U15" i="32"/>
  <c r="V15" i="32"/>
  <c r="AA15" i="32"/>
  <c r="AK15" i="32"/>
  <c r="AM15" i="32"/>
  <c r="AO15" i="32"/>
  <c r="I16" i="31"/>
  <c r="H16" i="31"/>
  <c r="J16" i="31"/>
  <c r="R18" i="32"/>
  <c r="S18" i="32"/>
  <c r="U18" i="32"/>
  <c r="V18" i="32"/>
  <c r="AA18" i="32"/>
  <c r="AK18" i="32"/>
  <c r="AM18" i="32"/>
  <c r="AO18" i="32"/>
  <c r="I19" i="31"/>
  <c r="H19" i="31"/>
  <c r="J19" i="31"/>
  <c r="I22" i="31"/>
  <c r="H22" i="31"/>
  <c r="J22" i="31"/>
  <c r="I25" i="31"/>
  <c r="H25" i="31"/>
  <c r="J25" i="31"/>
  <c r="R27" i="32"/>
  <c r="S27" i="32"/>
  <c r="U27" i="32"/>
  <c r="V27" i="32"/>
  <c r="AA27" i="32"/>
  <c r="AK27" i="32"/>
  <c r="AM27" i="32"/>
  <c r="AO27" i="32"/>
  <c r="I28" i="31"/>
  <c r="H28" i="31"/>
  <c r="J28" i="31"/>
  <c r="J29" i="31"/>
  <c r="L29" i="31"/>
  <c r="H30" i="28"/>
  <c r="I30" i="28"/>
  <c r="F33" i="28"/>
  <c r="R29" i="32"/>
  <c r="S29" i="32"/>
  <c r="U29" i="32"/>
  <c r="V29" i="32"/>
  <c r="AA29" i="32"/>
  <c r="AK29" i="32"/>
  <c r="AM29" i="32"/>
  <c r="AO29" i="32"/>
  <c r="I32" i="31"/>
  <c r="H32" i="31"/>
  <c r="J32" i="31"/>
  <c r="I35" i="31"/>
  <c r="H35" i="31"/>
  <c r="J35" i="31"/>
  <c r="R31" i="32"/>
  <c r="S31" i="32"/>
  <c r="U31" i="32"/>
  <c r="V31" i="32"/>
  <c r="AA31" i="32"/>
  <c r="AK31" i="32"/>
  <c r="AM31" i="32"/>
  <c r="AO31" i="32"/>
  <c r="I38" i="31"/>
  <c r="H38" i="31"/>
  <c r="J38" i="31"/>
  <c r="J39" i="31"/>
  <c r="H39" i="31"/>
  <c r="L39" i="31"/>
  <c r="K30" i="28"/>
  <c r="G33" i="28"/>
  <c r="I33" i="28"/>
  <c r="H35" i="32"/>
  <c r="J35" i="32"/>
  <c r="L35" i="32"/>
  <c r="N35" i="32"/>
  <c r="O35" i="32"/>
  <c r="Q35" i="32"/>
  <c r="R35" i="32"/>
  <c r="S35" i="32"/>
  <c r="U35" i="32"/>
  <c r="V35" i="32"/>
  <c r="AA35" i="32"/>
  <c r="AK35" i="32"/>
  <c r="AM35" i="32"/>
  <c r="AO35" i="32"/>
  <c r="I130" i="31"/>
  <c r="N16" i="35"/>
  <c r="O16" i="35"/>
  <c r="P16" i="35"/>
  <c r="N17" i="35"/>
  <c r="O17" i="35"/>
  <c r="P17" i="35"/>
  <c r="N18" i="35"/>
  <c r="O18" i="35"/>
  <c r="P18" i="35"/>
  <c r="N19" i="35"/>
  <c r="O19" i="35"/>
  <c r="P19" i="35"/>
  <c r="N20" i="35"/>
  <c r="O20" i="35"/>
  <c r="P20" i="35"/>
  <c r="N21" i="35"/>
  <c r="O21" i="35"/>
  <c r="P21" i="35"/>
  <c r="N22" i="35"/>
  <c r="O22" i="35"/>
  <c r="P22" i="35"/>
  <c r="N23" i="35"/>
  <c r="O23" i="35"/>
  <c r="P23" i="35"/>
  <c r="N24" i="35"/>
  <c r="O24" i="35"/>
  <c r="P24" i="35"/>
  <c r="N25" i="35"/>
  <c r="O25" i="35"/>
  <c r="P25" i="35"/>
  <c r="N26" i="35"/>
  <c r="O26" i="35"/>
  <c r="P26" i="35"/>
  <c r="N27" i="35"/>
  <c r="O27" i="35"/>
  <c r="P27" i="35"/>
  <c r="N28" i="35"/>
  <c r="O28" i="35"/>
  <c r="P28" i="35"/>
  <c r="N29" i="35"/>
  <c r="O29" i="35"/>
  <c r="P29" i="35"/>
  <c r="N30" i="35"/>
  <c r="O30" i="35"/>
  <c r="P30" i="35"/>
  <c r="N31" i="35"/>
  <c r="O31" i="35"/>
  <c r="P31" i="35"/>
  <c r="H127" i="31"/>
  <c r="H130" i="31"/>
  <c r="J130" i="31"/>
  <c r="I133" i="31"/>
  <c r="H133" i="31"/>
  <c r="J133" i="31"/>
  <c r="I136" i="31"/>
  <c r="H136" i="31"/>
  <c r="J136" i="31"/>
  <c r="J137" i="31"/>
  <c r="I114" i="31"/>
  <c r="H114" i="31"/>
  <c r="J114" i="31"/>
  <c r="H33" i="32"/>
  <c r="J33" i="32"/>
  <c r="L33" i="32"/>
  <c r="N33" i="32"/>
  <c r="O33" i="32"/>
  <c r="Q33" i="32"/>
  <c r="R33" i="32"/>
  <c r="S33" i="32"/>
  <c r="U33" i="32"/>
  <c r="V33" i="32"/>
  <c r="AA33" i="32"/>
  <c r="AK33" i="32"/>
  <c r="AM33" i="32"/>
  <c r="AO33" i="32"/>
  <c r="I117" i="31"/>
  <c r="H117" i="31"/>
  <c r="J117" i="31"/>
  <c r="I120" i="31"/>
  <c r="H120" i="31"/>
  <c r="J120" i="31"/>
  <c r="I123" i="31"/>
  <c r="H123" i="31"/>
  <c r="J123" i="31"/>
  <c r="I126" i="31"/>
  <c r="H126" i="31"/>
  <c r="J126" i="31"/>
  <c r="J127" i="31"/>
  <c r="J139" i="31"/>
  <c r="Y20" i="35"/>
  <c r="Y21" i="35"/>
  <c r="Y22" i="35"/>
  <c r="Y23" i="35"/>
  <c r="Y24" i="35"/>
  <c r="Y25" i="35"/>
  <c r="Y26" i="35"/>
  <c r="Y27" i="35"/>
  <c r="Y28" i="35"/>
  <c r="Y29" i="35"/>
  <c r="Y30" i="35"/>
  <c r="Y31" i="35"/>
  <c r="J143" i="31"/>
  <c r="J149" i="31"/>
  <c r="L137" i="31"/>
  <c r="Q16" i="35"/>
  <c r="R16" i="35"/>
  <c r="S16" i="35"/>
  <c r="T16" i="35"/>
  <c r="Z16" i="35"/>
  <c r="L33" i="28"/>
  <c r="M33" i="28"/>
  <c r="G98" i="10"/>
  <c r="C98" i="10"/>
  <c r="E98" i="10"/>
  <c r="B98" i="10"/>
  <c r="E34" i="28"/>
  <c r="F34" i="28"/>
  <c r="G34" i="28"/>
  <c r="I34" i="28"/>
  <c r="B34" i="28"/>
  <c r="J34" i="28"/>
  <c r="B17" i="35"/>
  <c r="Q17" i="35"/>
  <c r="R17" i="35"/>
  <c r="S17" i="35"/>
  <c r="T17" i="35"/>
  <c r="Z17" i="35"/>
  <c r="L34" i="28"/>
  <c r="M34" i="28"/>
  <c r="G99" i="10"/>
  <c r="C99" i="10"/>
  <c r="E99" i="10"/>
  <c r="E35" i="28"/>
  <c r="F35" i="28"/>
  <c r="G35" i="28"/>
  <c r="I35" i="28"/>
  <c r="Q18" i="35"/>
  <c r="R18" i="35"/>
  <c r="S18" i="35"/>
  <c r="T18" i="35"/>
  <c r="Z18" i="35"/>
  <c r="L35" i="28"/>
  <c r="M35" i="28"/>
  <c r="G100" i="10"/>
  <c r="C100" i="10"/>
  <c r="E100" i="10"/>
  <c r="E36" i="28"/>
  <c r="F36" i="28"/>
  <c r="G36" i="28"/>
  <c r="I36" i="28"/>
  <c r="Q19" i="35"/>
  <c r="R19" i="35"/>
  <c r="S19" i="35"/>
  <c r="T19" i="35"/>
  <c r="Z19" i="35"/>
  <c r="L36" i="28"/>
  <c r="M36" i="28"/>
  <c r="G101" i="10"/>
  <c r="C101" i="10"/>
  <c r="E101" i="10"/>
  <c r="B101" i="10"/>
  <c r="E37" i="28"/>
  <c r="F37" i="28"/>
  <c r="G37" i="28"/>
  <c r="I37" i="28"/>
  <c r="Q20" i="35"/>
  <c r="R20" i="35"/>
  <c r="S20" i="35"/>
  <c r="T20" i="35"/>
  <c r="Z20" i="35"/>
  <c r="B37" i="28"/>
  <c r="L37" i="28"/>
  <c r="J37" i="28"/>
  <c r="M37" i="28"/>
  <c r="G102" i="10"/>
  <c r="C102" i="10"/>
  <c r="E102" i="10"/>
  <c r="E38" i="28"/>
  <c r="F38" i="28"/>
  <c r="G38" i="28"/>
  <c r="I38" i="28"/>
  <c r="Q21" i="35"/>
  <c r="R21" i="35"/>
  <c r="S21" i="35"/>
  <c r="T21" i="35"/>
  <c r="Z21" i="35"/>
  <c r="B38" i="28"/>
  <c r="L38" i="28"/>
  <c r="J38" i="28"/>
  <c r="M38" i="28"/>
  <c r="G103" i="10"/>
  <c r="C103" i="10"/>
  <c r="E103" i="10"/>
  <c r="E39" i="28"/>
  <c r="F39" i="28"/>
  <c r="G39" i="28"/>
  <c r="I39" i="28"/>
  <c r="Q22" i="35"/>
  <c r="R22" i="35"/>
  <c r="S22" i="35"/>
  <c r="T22" i="35"/>
  <c r="Z22" i="35"/>
  <c r="B39" i="28"/>
  <c r="L39" i="28"/>
  <c r="J39" i="28"/>
  <c r="M39" i="28"/>
  <c r="G104" i="10"/>
  <c r="C104" i="10"/>
  <c r="E104" i="10"/>
  <c r="E40" i="28"/>
  <c r="F40" i="28"/>
  <c r="G40" i="28"/>
  <c r="I40" i="28"/>
  <c r="Q23" i="35"/>
  <c r="R23" i="35"/>
  <c r="S23" i="35"/>
  <c r="T23" i="35"/>
  <c r="Z23" i="35"/>
  <c r="B40" i="28"/>
  <c r="L40" i="28"/>
  <c r="J40" i="28"/>
  <c r="M40" i="28"/>
  <c r="G105" i="10"/>
  <c r="C105" i="10"/>
  <c r="E105" i="10"/>
  <c r="E41" i="28"/>
  <c r="F41" i="28"/>
  <c r="G41" i="28"/>
  <c r="I41" i="28"/>
  <c r="Q24" i="35"/>
  <c r="R24" i="35"/>
  <c r="S24" i="35"/>
  <c r="T24" i="35"/>
  <c r="Z24" i="35"/>
  <c r="B41" i="28"/>
  <c r="L41" i="28"/>
  <c r="J41" i="28"/>
  <c r="M41" i="28"/>
  <c r="G106" i="10"/>
  <c r="C106" i="10"/>
  <c r="E106" i="10"/>
  <c r="E42" i="28"/>
  <c r="F42" i="28"/>
  <c r="G42" i="28"/>
  <c r="I42" i="28"/>
  <c r="Q25" i="35"/>
  <c r="R25" i="35"/>
  <c r="S25" i="35"/>
  <c r="T25" i="35"/>
  <c r="Z25" i="35"/>
  <c r="B42" i="28"/>
  <c r="L42" i="28"/>
  <c r="J42" i="28"/>
  <c r="M42" i="28"/>
  <c r="G107" i="10"/>
  <c r="C107" i="10"/>
  <c r="E107" i="10"/>
  <c r="E43" i="28"/>
  <c r="F43" i="28"/>
  <c r="G43" i="28"/>
  <c r="I43" i="28"/>
  <c r="Q26" i="35"/>
  <c r="R26" i="35"/>
  <c r="S26" i="35"/>
  <c r="T26" i="35"/>
  <c r="Z26" i="35"/>
  <c r="B43" i="28"/>
  <c r="L43" i="28"/>
  <c r="J43" i="28"/>
  <c r="M43" i="28"/>
  <c r="G108" i="10"/>
  <c r="C108" i="10"/>
  <c r="E108" i="10"/>
  <c r="E44" i="28"/>
  <c r="F44" i="28"/>
  <c r="G44" i="28"/>
  <c r="I44" i="28"/>
  <c r="Q27" i="35"/>
  <c r="R27" i="35"/>
  <c r="S27" i="35"/>
  <c r="T27" i="35"/>
  <c r="Z27" i="35"/>
  <c r="B44" i="28"/>
  <c r="L44" i="28"/>
  <c r="J44" i="28"/>
  <c r="M44" i="28"/>
  <c r="G109" i="10"/>
  <c r="C109" i="10"/>
  <c r="E109" i="10"/>
  <c r="E45" i="28"/>
  <c r="F45" i="28"/>
  <c r="G45" i="28"/>
  <c r="I45" i="28"/>
  <c r="Q28" i="35"/>
  <c r="R28" i="35"/>
  <c r="S28" i="35"/>
  <c r="T28" i="35"/>
  <c r="Z28" i="35"/>
  <c r="B45" i="28"/>
  <c r="L45" i="28"/>
  <c r="J45" i="28"/>
  <c r="M45" i="28"/>
  <c r="G110" i="10"/>
  <c r="C110" i="10"/>
  <c r="E110" i="10"/>
  <c r="E46" i="28"/>
  <c r="F46" i="28"/>
  <c r="G46" i="28"/>
  <c r="I46" i="28"/>
  <c r="Q29" i="35"/>
  <c r="R29" i="35"/>
  <c r="S29" i="35"/>
  <c r="T29" i="35"/>
  <c r="Z29" i="35"/>
  <c r="B46" i="28"/>
  <c r="L46" i="28"/>
  <c r="J46" i="28"/>
  <c r="M46" i="28"/>
  <c r="G111" i="10"/>
  <c r="C111" i="10"/>
  <c r="E111" i="10"/>
  <c r="E47" i="28"/>
  <c r="F47" i="28"/>
  <c r="G47" i="28"/>
  <c r="I47" i="28"/>
  <c r="Q30" i="35"/>
  <c r="R30" i="35"/>
  <c r="S30" i="35"/>
  <c r="T30" i="35"/>
  <c r="Z30" i="35"/>
  <c r="B47" i="28"/>
  <c r="L47" i="28"/>
  <c r="J47" i="28"/>
  <c r="M47" i="28"/>
  <c r="G112" i="10"/>
  <c r="C112" i="10"/>
  <c r="E112" i="10"/>
  <c r="E48" i="28"/>
  <c r="F48" i="28"/>
  <c r="G48" i="28"/>
  <c r="I48" i="28"/>
  <c r="Q31" i="35"/>
  <c r="R31" i="35"/>
  <c r="S31" i="35"/>
  <c r="T31" i="35"/>
  <c r="Z31" i="35"/>
  <c r="B48" i="28"/>
  <c r="L48" i="28"/>
  <c r="J48" i="28"/>
  <c r="M48" i="28"/>
  <c r="C37" i="28"/>
  <c r="C38" i="28"/>
  <c r="C39" i="28"/>
  <c r="C40" i="28"/>
  <c r="C41" i="28"/>
  <c r="C42" i="28"/>
  <c r="C43" i="28"/>
  <c r="C44" i="28"/>
  <c r="C45" i="28"/>
  <c r="C46" i="28"/>
  <c r="C47" i="28"/>
  <c r="C48" i="28"/>
  <c r="A34" i="28"/>
  <c r="A35" i="28"/>
  <c r="A36" i="28"/>
  <c r="A15" i="28"/>
  <c r="A37" i="28"/>
  <c r="A16" i="28"/>
  <c r="A38" i="28"/>
  <c r="A17" i="28"/>
  <c r="A39" i="28"/>
  <c r="A18" i="28"/>
  <c r="A40" i="28"/>
  <c r="A19" i="28"/>
  <c r="A41" i="28"/>
  <c r="A20" i="28"/>
  <c r="A42" i="28"/>
  <c r="A21" i="28"/>
  <c r="A43" i="28"/>
  <c r="A22" i="28"/>
  <c r="A44" i="28"/>
  <c r="A23" i="28"/>
  <c r="A45" i="28"/>
  <c r="A24" i="28"/>
  <c r="A46" i="28"/>
  <c r="A25" i="28"/>
  <c r="A47" i="28"/>
  <c r="A26" i="28"/>
  <c r="A48" i="28"/>
  <c r="L55" i="28"/>
  <c r="L56" i="28"/>
  <c r="L57" i="28"/>
  <c r="L59" i="28"/>
  <c r="I55" i="28"/>
  <c r="I56" i="28"/>
  <c r="I57" i="28"/>
  <c r="I59" i="28"/>
  <c r="M55" i="28"/>
  <c r="M56" i="28"/>
  <c r="M57" i="28"/>
  <c r="M59" i="28"/>
  <c r="E39" i="31"/>
  <c r="H34" i="32"/>
  <c r="J34" i="32"/>
  <c r="L34" i="32"/>
  <c r="N34" i="32"/>
  <c r="O34" i="32"/>
  <c r="Q34" i="32"/>
  <c r="R34" i="32"/>
  <c r="S34" i="32"/>
  <c r="U34" i="32"/>
  <c r="V34" i="32"/>
  <c r="Y34" i="32"/>
  <c r="AA34" i="32"/>
  <c r="AK34" i="32"/>
  <c r="R30" i="32"/>
  <c r="S30" i="32"/>
  <c r="U30" i="32"/>
  <c r="V30" i="32"/>
  <c r="AA30" i="32"/>
  <c r="AK30" i="32"/>
  <c r="R28" i="32"/>
  <c r="S28" i="32"/>
  <c r="U28" i="32"/>
  <c r="V28" i="32"/>
  <c r="AA28" i="32"/>
  <c r="AK28" i="32"/>
  <c r="R26" i="32"/>
  <c r="S26" i="32"/>
  <c r="U26" i="32"/>
  <c r="V26" i="32"/>
  <c r="AA26" i="32"/>
  <c r="AK26" i="32"/>
  <c r="R25" i="32"/>
  <c r="S25" i="32"/>
  <c r="U25" i="32"/>
  <c r="V25" i="32"/>
  <c r="AA25" i="32"/>
  <c r="AK25" i="32"/>
  <c r="R24" i="32"/>
  <c r="S24" i="32"/>
  <c r="U24" i="32"/>
  <c r="V24" i="32"/>
  <c r="AA24" i="32"/>
  <c r="AK24" i="32"/>
  <c r="R23" i="32"/>
  <c r="S23" i="32"/>
  <c r="U23" i="32"/>
  <c r="V23" i="32"/>
  <c r="AA23" i="32"/>
  <c r="AK23" i="32"/>
  <c r="R22" i="32"/>
  <c r="S22" i="32"/>
  <c r="U22" i="32"/>
  <c r="V22" i="32"/>
  <c r="AA22" i="32"/>
  <c r="AK22" i="32"/>
  <c r="R21" i="32"/>
  <c r="S21" i="32"/>
  <c r="U21" i="32"/>
  <c r="V21" i="32"/>
  <c r="AA21" i="32"/>
  <c r="AK21" i="32"/>
  <c r="R20" i="32"/>
  <c r="S20" i="32"/>
  <c r="U20" i="32"/>
  <c r="V20" i="32"/>
  <c r="AA20" i="32"/>
  <c r="AK20" i="32"/>
  <c r="R19" i="32"/>
  <c r="S19" i="32"/>
  <c r="U19" i="32"/>
  <c r="V19" i="32"/>
  <c r="AA19" i="32"/>
  <c r="AK19" i="32"/>
  <c r="R17" i="32"/>
  <c r="S17" i="32"/>
  <c r="U17" i="32"/>
  <c r="V17" i="32"/>
  <c r="AA17" i="32"/>
  <c r="AK17" i="32"/>
  <c r="R16" i="32"/>
  <c r="S16" i="32"/>
  <c r="U16" i="32"/>
  <c r="V16" i="32"/>
  <c r="AA16" i="32"/>
  <c r="AK16" i="32"/>
  <c r="R14" i="32"/>
  <c r="S14" i="32"/>
  <c r="U14" i="32"/>
  <c r="V14" i="32"/>
  <c r="AA14" i="32"/>
  <c r="AK14" i="32"/>
  <c r="R13" i="32"/>
  <c r="S13" i="32"/>
  <c r="U13" i="32"/>
  <c r="V13" i="32"/>
  <c r="AA13" i="32"/>
  <c r="AK13" i="32"/>
  <c r="AM34" i="32"/>
  <c r="AM14" i="32"/>
  <c r="AM16" i="32"/>
  <c r="AM17" i="32"/>
  <c r="AM19" i="32"/>
  <c r="AM20" i="32"/>
  <c r="AM21" i="32"/>
  <c r="AM22" i="32"/>
  <c r="AM23" i="32"/>
  <c r="AM24" i="32"/>
  <c r="AM25" i="32"/>
  <c r="AM26" i="32"/>
  <c r="AM28" i="32"/>
  <c r="AM30" i="32"/>
  <c r="AM13" i="32"/>
  <c r="E5" i="31"/>
  <c r="C5" i="28"/>
  <c r="F6" i="1"/>
  <c r="B2" i="28"/>
  <c r="C3" i="1"/>
  <c r="C2" i="28"/>
  <c r="F3" i="1"/>
  <c r="B3" i="28"/>
  <c r="C4" i="1"/>
  <c r="B4" i="28"/>
  <c r="C5" i="1"/>
  <c r="C4" i="28"/>
  <c r="F5" i="1"/>
  <c r="B5" i="28"/>
  <c r="C6" i="1"/>
  <c r="B6" i="28"/>
  <c r="C7" i="1"/>
  <c r="C6" i="28"/>
  <c r="F7" i="1"/>
  <c r="C73" i="28"/>
  <c r="D73" i="28"/>
  <c r="E73" i="28"/>
  <c r="F73" i="28"/>
  <c r="G73" i="28"/>
  <c r="C74" i="28"/>
  <c r="B16" i="35"/>
  <c r="B18" i="35"/>
  <c r="D16" i="35"/>
  <c r="V16" i="35"/>
  <c r="W16" i="35"/>
  <c r="X16" i="35"/>
  <c r="D17" i="35"/>
  <c r="V17" i="35"/>
  <c r="W17" i="35"/>
  <c r="X17" i="35"/>
  <c r="D18" i="35"/>
  <c r="V18" i="35"/>
  <c r="W18" i="35"/>
  <c r="X18" i="35"/>
  <c r="B19" i="35"/>
  <c r="D19" i="35"/>
  <c r="V19" i="35"/>
  <c r="W19" i="35"/>
  <c r="X19" i="35"/>
  <c r="B20" i="35"/>
  <c r="D20" i="35"/>
  <c r="V20" i="35"/>
  <c r="W20" i="35"/>
  <c r="X20" i="35"/>
  <c r="B21" i="35"/>
  <c r="D21" i="35"/>
  <c r="V21" i="35"/>
  <c r="W21" i="35"/>
  <c r="X21" i="35"/>
  <c r="B22" i="35"/>
  <c r="D22" i="35"/>
  <c r="V22" i="35"/>
  <c r="W22" i="35"/>
  <c r="X22" i="35"/>
  <c r="B23" i="35"/>
  <c r="D23" i="35"/>
  <c r="V23" i="35"/>
  <c r="W23" i="35"/>
  <c r="X23" i="35"/>
  <c r="B24" i="35"/>
  <c r="D24" i="35"/>
  <c r="V24" i="35"/>
  <c r="W24" i="35"/>
  <c r="X24" i="35"/>
  <c r="B25" i="35"/>
  <c r="D25" i="35"/>
  <c r="V25" i="35"/>
  <c r="W25" i="35"/>
  <c r="X25" i="35"/>
  <c r="B26" i="35"/>
  <c r="D26" i="35"/>
  <c r="V26" i="35"/>
  <c r="W26" i="35"/>
  <c r="X26" i="35"/>
  <c r="B27" i="35"/>
  <c r="D27" i="35"/>
  <c r="V27" i="35"/>
  <c r="W27" i="35"/>
  <c r="X27" i="35"/>
  <c r="B28" i="35"/>
  <c r="D28" i="35"/>
  <c r="V28" i="35"/>
  <c r="W28" i="35"/>
  <c r="X28" i="35"/>
  <c r="B29" i="35"/>
  <c r="D29" i="35"/>
  <c r="V29" i="35"/>
  <c r="W29" i="35"/>
  <c r="X29" i="35"/>
  <c r="B30" i="35"/>
  <c r="D30" i="35"/>
  <c r="V30" i="35"/>
  <c r="W30" i="35"/>
  <c r="X30" i="35"/>
  <c r="B31" i="35"/>
  <c r="D31" i="35"/>
  <c r="V31" i="35"/>
  <c r="W31" i="35"/>
  <c r="X31" i="35"/>
  <c r="B32" i="35"/>
  <c r="B46" i="35"/>
  <c r="B47" i="35"/>
  <c r="B48" i="35"/>
  <c r="B49" i="35"/>
  <c r="B50" i="35"/>
  <c r="B51" i="35"/>
  <c r="B52" i="35"/>
  <c r="B53" i="35"/>
  <c r="B54" i="35"/>
  <c r="B55" i="35"/>
  <c r="B56" i="35"/>
  <c r="B57" i="35"/>
  <c r="B58" i="35"/>
  <c r="B59" i="35"/>
  <c r="B60" i="35"/>
  <c r="B61" i="35"/>
  <c r="B62" i="35"/>
  <c r="O37" i="28"/>
  <c r="B33" i="28"/>
  <c r="B35" i="28"/>
  <c r="B36" i="28"/>
  <c r="O38" i="28"/>
  <c r="O39" i="28"/>
  <c r="O40" i="28"/>
  <c r="O41" i="28"/>
  <c r="O42" i="28"/>
  <c r="O43" i="28"/>
  <c r="O46" i="28"/>
  <c r="O33" i="28"/>
  <c r="AA11" i="2"/>
  <c r="AA12" i="2"/>
  <c r="AA13" i="2"/>
  <c r="AA14" i="2"/>
  <c r="AA15" i="2"/>
  <c r="AA16" i="2"/>
  <c r="AA17" i="2"/>
  <c r="AA18" i="2"/>
  <c r="AA19" i="2"/>
  <c r="AA20" i="2"/>
  <c r="AA21" i="2"/>
  <c r="AA22" i="2"/>
  <c r="AA23" i="2"/>
  <c r="AA24" i="2"/>
  <c r="AA25" i="2"/>
  <c r="AA26" i="2"/>
  <c r="AA27" i="2"/>
  <c r="AA28" i="2"/>
  <c r="AA29" i="2"/>
  <c r="AA30" i="2"/>
  <c r="AA31" i="2"/>
  <c r="AA32" i="2"/>
  <c r="AA33" i="2"/>
  <c r="AA34" i="2"/>
  <c r="AA35" i="2"/>
  <c r="AA36" i="2"/>
  <c r="AA37" i="2"/>
  <c r="AA38" i="2"/>
  <c r="AA39" i="2"/>
  <c r="AA40" i="2"/>
  <c r="AA41" i="2"/>
  <c r="AA42" i="2"/>
  <c r="AA43" i="2"/>
  <c r="AA44" i="2"/>
  <c r="AA45" i="2"/>
  <c r="AA46" i="2"/>
  <c r="AA47" i="2"/>
  <c r="AA48" i="2"/>
  <c r="AA49" i="2"/>
  <c r="AA50" i="2"/>
  <c r="AA51" i="2"/>
  <c r="AA52" i="2"/>
  <c r="AA53" i="2"/>
  <c r="AA54" i="2"/>
  <c r="AA55" i="2"/>
  <c r="AA56" i="2"/>
  <c r="AA57" i="2"/>
  <c r="AA58" i="2"/>
  <c r="AA59" i="2"/>
  <c r="AA60" i="2"/>
  <c r="O44" i="28"/>
  <c r="O47" i="28"/>
  <c r="O45" i="28"/>
  <c r="O48" i="28"/>
  <c r="O34" i="28"/>
  <c r="AA61" i="2"/>
  <c r="AA62" i="2"/>
  <c r="AA63" i="2"/>
  <c r="AA64" i="2"/>
  <c r="AA65" i="2"/>
  <c r="AA66" i="2"/>
  <c r="AA67" i="2"/>
  <c r="AA68" i="2"/>
  <c r="AA69" i="2"/>
  <c r="AA70" i="2"/>
  <c r="AA71" i="2"/>
  <c r="AA72" i="2"/>
  <c r="AA73" i="2"/>
  <c r="AA74" i="2"/>
  <c r="AA75" i="2"/>
  <c r="AA76" i="2"/>
  <c r="AA77" i="2"/>
  <c r="AA78" i="2"/>
  <c r="AA79" i="2"/>
  <c r="AA80" i="2"/>
  <c r="AA81" i="2"/>
  <c r="AA82" i="2"/>
  <c r="AA83" i="2"/>
  <c r="AA84" i="2"/>
  <c r="AA85" i="2"/>
  <c r="AA86" i="2"/>
  <c r="AA87" i="2"/>
  <c r="AA88" i="2"/>
  <c r="AA89" i="2"/>
  <c r="AA90" i="2"/>
  <c r="AA91" i="2"/>
  <c r="AA92" i="2"/>
  <c r="AA93" i="2"/>
  <c r="AA94" i="2"/>
  <c r="AA95" i="2"/>
  <c r="AA96" i="2"/>
  <c r="AA97" i="2"/>
  <c r="AA98" i="2"/>
  <c r="AA99" i="2"/>
  <c r="AA100" i="2"/>
  <c r="AA101" i="2"/>
  <c r="AA102" i="2"/>
  <c r="AA103" i="2"/>
  <c r="AA104" i="2"/>
  <c r="AA105" i="2"/>
  <c r="AA106" i="2"/>
  <c r="O35" i="28"/>
  <c r="AA107" i="2"/>
  <c r="AA108" i="2"/>
  <c r="AA109" i="2"/>
  <c r="AA110" i="2"/>
  <c r="AA111" i="2"/>
  <c r="AA112" i="2"/>
  <c r="AA113" i="2"/>
  <c r="AA114" i="2"/>
  <c r="AA115" i="2"/>
  <c r="AA116" i="2"/>
  <c r="AA117" i="2"/>
  <c r="AA118" i="2"/>
  <c r="AA119" i="2"/>
  <c r="AA120" i="2"/>
  <c r="AA121" i="2"/>
  <c r="AA122" i="2"/>
  <c r="AA123" i="2"/>
  <c r="AA124" i="2"/>
  <c r="AA125" i="2"/>
  <c r="AA126" i="2"/>
  <c r="AA127" i="2"/>
  <c r="AA128" i="2"/>
  <c r="AA129" i="2"/>
  <c r="AA130" i="2"/>
  <c r="AA131" i="2"/>
  <c r="AA132" i="2"/>
  <c r="AA133" i="2"/>
  <c r="AA134" i="2"/>
  <c r="AA135" i="2"/>
  <c r="AA136" i="2"/>
  <c r="AA137" i="2"/>
  <c r="AA138" i="2"/>
  <c r="AA139" i="2"/>
  <c r="AA140" i="2"/>
  <c r="AA141" i="2"/>
  <c r="AA142" i="2"/>
  <c r="AA143" i="2"/>
  <c r="AA144" i="2"/>
  <c r="AA145" i="2"/>
  <c r="AA146" i="2"/>
  <c r="AA147" i="2"/>
  <c r="AA148" i="2"/>
  <c r="AA149" i="2"/>
  <c r="AA150" i="2"/>
  <c r="AA151" i="2"/>
  <c r="AA152" i="2"/>
  <c r="AA153" i="2"/>
  <c r="AA154" i="2"/>
  <c r="AA155" i="2"/>
  <c r="AA156" i="2"/>
  <c r="AA157" i="2"/>
  <c r="AA158" i="2"/>
  <c r="AA159" i="2"/>
  <c r="AA160" i="2"/>
  <c r="AA161" i="2"/>
  <c r="AA162" i="2"/>
  <c r="AA163" i="2"/>
  <c r="AA164" i="2"/>
  <c r="AA165" i="2"/>
  <c r="AA166" i="2"/>
  <c r="AA167" i="2"/>
  <c r="AA168" i="2"/>
  <c r="AA169" i="2"/>
  <c r="AA170" i="2"/>
  <c r="AA171" i="2"/>
  <c r="AA172" i="2"/>
  <c r="AA173" i="2"/>
  <c r="AA174" i="2"/>
  <c r="AA175" i="2"/>
  <c r="AA176" i="2"/>
  <c r="AA177" i="2"/>
  <c r="AA178" i="2"/>
  <c r="AA179" i="2"/>
  <c r="AA180" i="2"/>
  <c r="AA181" i="2"/>
  <c r="AA182" i="2"/>
  <c r="AA183" i="2"/>
  <c r="AA184" i="2"/>
  <c r="AA185" i="2"/>
  <c r="AA186" i="2"/>
  <c r="AA187" i="2"/>
  <c r="AA188" i="2"/>
  <c r="AA189" i="2"/>
  <c r="AA190" i="2"/>
  <c r="AA191" i="2"/>
  <c r="AA192" i="2"/>
  <c r="AA193" i="2"/>
  <c r="AA194" i="2"/>
  <c r="AA195" i="2"/>
  <c r="O36" i="28"/>
  <c r="AA196" i="2"/>
  <c r="AA197" i="2"/>
  <c r="AA198" i="2"/>
  <c r="AA199" i="2"/>
  <c r="AA200" i="2"/>
  <c r="AA201" i="2"/>
  <c r="AA202" i="2"/>
  <c r="AA203" i="2"/>
  <c r="AA204" i="2"/>
  <c r="AA205" i="2"/>
  <c r="AA206" i="2"/>
  <c r="AA207" i="2"/>
  <c r="AA208" i="2"/>
  <c r="AA209" i="2"/>
  <c r="AA210" i="2"/>
  <c r="AA211" i="2"/>
  <c r="AA212" i="2"/>
  <c r="AA213" i="2"/>
  <c r="AA214" i="2"/>
  <c r="AA215" i="2"/>
  <c r="AA216" i="2"/>
  <c r="AA217" i="2"/>
  <c r="AA218" i="2"/>
  <c r="AA219" i="2"/>
  <c r="AA220" i="2"/>
  <c r="AA221" i="2"/>
  <c r="AA222" i="2"/>
  <c r="AA223" i="2"/>
  <c r="AA224" i="2"/>
  <c r="AA225" i="2"/>
  <c r="AA226" i="2"/>
  <c r="AA227" i="2"/>
  <c r="AA228" i="2"/>
  <c r="AA229" i="2"/>
  <c r="AA230" i="2"/>
  <c r="AA231" i="2"/>
  <c r="AA232" i="2"/>
  <c r="AA233" i="2"/>
  <c r="AA234" i="2"/>
  <c r="AA235" i="2"/>
  <c r="AA236" i="2"/>
  <c r="AA237" i="2"/>
  <c r="AA238" i="2"/>
  <c r="AA239" i="2"/>
  <c r="AA240" i="2"/>
  <c r="AA241" i="2"/>
  <c r="AA242" i="2"/>
  <c r="AA243" i="2"/>
  <c r="AA244" i="2"/>
  <c r="AA245" i="2"/>
  <c r="AA246" i="2"/>
  <c r="AA247" i="2"/>
  <c r="AA248" i="2"/>
  <c r="AA249" i="2"/>
  <c r="AA250" i="2"/>
  <c r="AA251" i="2"/>
  <c r="AA252" i="2"/>
  <c r="AA253" i="2"/>
  <c r="AA254" i="2"/>
  <c r="AA255" i="2"/>
  <c r="AA256" i="2"/>
  <c r="AA257" i="2"/>
  <c r="AA258" i="2"/>
  <c r="AA259" i="2"/>
  <c r="AA260" i="2"/>
  <c r="AA261" i="2"/>
  <c r="AA262" i="2"/>
  <c r="AA263" i="2"/>
  <c r="AA264" i="2"/>
  <c r="AA265" i="2"/>
  <c r="AA266" i="2"/>
  <c r="J150" i="31"/>
  <c r="L149" i="31"/>
  <c r="X28" i="2"/>
  <c r="X27" i="2"/>
  <c r="X26" i="2"/>
  <c r="X25" i="2"/>
  <c r="X24" i="2"/>
  <c r="X23" i="2"/>
  <c r="X22" i="2"/>
  <c r="X21" i="2"/>
  <c r="X20" i="2"/>
  <c r="X19" i="2"/>
  <c r="B97" i="10"/>
  <c r="A11" i="28"/>
  <c r="A12" i="28"/>
  <c r="A13" i="28"/>
  <c r="A14" i="28"/>
  <c r="C64" i="28"/>
  <c r="C63" i="28"/>
  <c r="C62" i="28"/>
  <c r="L12" i="28"/>
  <c r="L13" i="28"/>
  <c r="L14" i="28"/>
  <c r="L15" i="28"/>
  <c r="L16" i="28"/>
  <c r="L17" i="28"/>
  <c r="L18" i="28"/>
  <c r="L19" i="28"/>
  <c r="L20" i="28"/>
  <c r="L21" i="28"/>
  <c r="L22" i="28"/>
  <c r="L23" i="28"/>
  <c r="L24" i="28"/>
  <c r="L25" i="28"/>
  <c r="L26" i="28"/>
  <c r="L11" i="28"/>
  <c r="G62" i="28"/>
  <c r="G63" i="28"/>
  <c r="G64" i="28"/>
  <c r="G66" i="28"/>
  <c r="B99" i="10"/>
  <c r="B100" i="10"/>
  <c r="B102" i="10"/>
  <c r="B103" i="10"/>
  <c r="B104" i="10"/>
  <c r="B105" i="10"/>
  <c r="B106" i="10"/>
  <c r="B107" i="10"/>
  <c r="B108" i="10"/>
  <c r="B109" i="10"/>
  <c r="B110" i="10"/>
  <c r="B111" i="10"/>
  <c r="B112" i="10"/>
  <c r="B113" i="10"/>
  <c r="G113" i="10"/>
  <c r="C113" i="10"/>
  <c r="E4" i="39"/>
  <c r="E5" i="39"/>
  <c r="E6" i="39"/>
  <c r="E7" i="39"/>
  <c r="E8" i="39"/>
  <c r="J33" i="28"/>
  <c r="J35" i="28"/>
  <c r="J36" i="28"/>
  <c r="I50" i="28"/>
  <c r="A33" i="28"/>
  <c r="G68" i="31"/>
  <c r="G42" i="31"/>
  <c r="H49" i="31"/>
  <c r="H52" i="31"/>
  <c r="I52" i="31"/>
  <c r="J52" i="31"/>
  <c r="H55" i="31"/>
  <c r="I55" i="31"/>
  <c r="J55" i="31"/>
  <c r="H58" i="31"/>
  <c r="I58" i="31"/>
  <c r="J58" i="31"/>
  <c r="J60" i="31"/>
  <c r="H42" i="31"/>
  <c r="I42" i="31"/>
  <c r="J42" i="31"/>
  <c r="H45" i="31"/>
  <c r="I45" i="31"/>
  <c r="J45" i="31"/>
  <c r="H48" i="31"/>
  <c r="I48" i="31"/>
  <c r="J48" i="31"/>
  <c r="J49" i="31"/>
  <c r="J62" i="31"/>
  <c r="E116" i="10"/>
  <c r="J87" i="31"/>
  <c r="J89" i="31"/>
  <c r="L98" i="31"/>
  <c r="C33" i="28"/>
  <c r="C34" i="28"/>
  <c r="C35" i="28"/>
  <c r="C36" i="28"/>
  <c r="K21" i="1"/>
  <c r="L21" i="1"/>
  <c r="M21" i="1"/>
  <c r="N21" i="1"/>
  <c r="L11" i="1"/>
  <c r="L12" i="1"/>
  <c r="L13" i="1"/>
  <c r="L14" i="1"/>
  <c r="L15" i="1"/>
  <c r="L16" i="1"/>
  <c r="L17" i="1"/>
  <c r="L18" i="1"/>
  <c r="L19" i="1"/>
  <c r="L20" i="1"/>
  <c r="L22" i="1"/>
  <c r="L23" i="1"/>
  <c r="L24" i="1"/>
  <c r="L25" i="1"/>
  <c r="L26" i="1"/>
  <c r="L27" i="1"/>
  <c r="L28" i="1"/>
  <c r="L29" i="1"/>
  <c r="L30" i="1"/>
  <c r="L31" i="1"/>
  <c r="L32" i="1"/>
  <c r="L33" i="1"/>
  <c r="L35" i="1"/>
  <c r="K30" i="1"/>
  <c r="K29" i="1"/>
  <c r="N29" i="1"/>
  <c r="M29" i="1"/>
  <c r="AB11" i="2"/>
  <c r="AB12" i="2"/>
  <c r="AB13" i="2"/>
  <c r="AB14" i="2"/>
  <c r="AB15" i="2"/>
  <c r="AB16" i="2"/>
  <c r="AB17" i="2"/>
  <c r="AB18" i="2"/>
  <c r="AB19" i="2"/>
  <c r="AB20" i="2"/>
  <c r="AB21" i="2"/>
  <c r="AB23" i="2"/>
  <c r="AB24" i="2"/>
  <c r="AB25" i="2"/>
  <c r="AB26" i="2"/>
  <c r="AB27" i="2"/>
  <c r="AB28" i="2"/>
  <c r="AB29" i="2"/>
  <c r="AB30" i="2"/>
  <c r="AB31" i="2"/>
  <c r="AB32" i="2"/>
  <c r="AB33" i="2"/>
  <c r="AB34" i="2"/>
  <c r="AB35" i="2"/>
  <c r="AB36" i="2"/>
  <c r="AB37" i="2"/>
  <c r="AB38" i="2"/>
  <c r="AB39" i="2"/>
  <c r="AB40" i="2"/>
  <c r="AB41" i="2"/>
  <c r="AB42" i="2"/>
  <c r="AB43" i="2"/>
  <c r="AB44" i="2"/>
  <c r="AB45" i="2"/>
  <c r="AB46" i="2"/>
  <c r="AB47" i="2"/>
  <c r="AB48" i="2"/>
  <c r="AB49" i="2"/>
  <c r="AB50" i="2"/>
  <c r="AB51" i="2"/>
  <c r="AB52" i="2"/>
  <c r="AB53" i="2"/>
  <c r="AB54" i="2"/>
  <c r="AB55" i="2"/>
  <c r="AB56" i="2"/>
  <c r="AB57" i="2"/>
  <c r="AB58" i="2"/>
  <c r="AB59" i="2"/>
  <c r="AB60" i="2"/>
  <c r="AB61" i="2"/>
  <c r="AB62" i="2"/>
  <c r="AB63" i="2"/>
  <c r="AB64" i="2"/>
  <c r="AB65" i="2"/>
  <c r="AB66" i="2"/>
  <c r="AB67" i="2"/>
  <c r="AB68" i="2"/>
  <c r="AB69" i="2"/>
  <c r="AB70" i="2"/>
  <c r="AB71" i="2"/>
  <c r="AB72" i="2"/>
  <c r="AB73" i="2"/>
  <c r="AB74" i="2"/>
  <c r="AB75" i="2"/>
  <c r="AB76" i="2"/>
  <c r="AB77" i="2"/>
  <c r="AB78" i="2"/>
  <c r="AB79" i="2"/>
  <c r="AB80" i="2"/>
  <c r="AB81" i="2"/>
  <c r="AB82" i="2"/>
  <c r="AB83" i="2"/>
  <c r="AB84" i="2"/>
  <c r="AB85" i="2"/>
  <c r="AB86" i="2"/>
  <c r="AB87" i="2"/>
  <c r="AB88" i="2"/>
  <c r="AB89" i="2"/>
  <c r="AB90" i="2"/>
  <c r="AB91" i="2"/>
  <c r="AB92" i="2"/>
  <c r="AB93" i="2"/>
  <c r="AB94" i="2"/>
  <c r="AB95" i="2"/>
  <c r="AB96" i="2"/>
  <c r="AB97" i="2"/>
  <c r="AB98" i="2"/>
  <c r="AB99" i="2"/>
  <c r="AB100" i="2"/>
  <c r="AB101" i="2"/>
  <c r="AB102" i="2"/>
  <c r="AB103" i="2"/>
  <c r="AB104" i="2"/>
  <c r="AB105" i="2"/>
  <c r="AB106" i="2"/>
  <c r="AB107" i="2"/>
  <c r="AB108" i="2"/>
  <c r="AB109" i="2"/>
  <c r="AB110" i="2"/>
  <c r="AB111" i="2"/>
  <c r="AB112" i="2"/>
  <c r="AB113" i="2"/>
  <c r="AB114" i="2"/>
  <c r="AB115" i="2"/>
  <c r="AB116" i="2"/>
  <c r="AB117" i="2"/>
  <c r="AB118" i="2"/>
  <c r="AB119" i="2"/>
  <c r="AB120" i="2"/>
  <c r="AB121" i="2"/>
  <c r="AB122" i="2"/>
  <c r="AB123" i="2"/>
  <c r="AB124" i="2"/>
  <c r="AB125" i="2"/>
  <c r="AB126" i="2"/>
  <c r="AB127" i="2"/>
  <c r="AB128" i="2"/>
  <c r="AB129" i="2"/>
  <c r="AB130" i="2"/>
  <c r="AB131" i="2"/>
  <c r="AB132" i="2"/>
  <c r="AB133" i="2"/>
  <c r="AB134" i="2"/>
  <c r="AB135" i="2"/>
  <c r="AB136" i="2"/>
  <c r="AB137" i="2"/>
  <c r="AB138" i="2"/>
  <c r="AB139" i="2"/>
  <c r="AB140" i="2"/>
  <c r="AB141" i="2"/>
  <c r="AB142" i="2"/>
  <c r="AB143" i="2"/>
  <c r="AB144" i="2"/>
  <c r="AB145" i="2"/>
  <c r="AB146" i="2"/>
  <c r="AB147" i="2"/>
  <c r="AB148" i="2"/>
  <c r="AB149" i="2"/>
  <c r="AB150" i="2"/>
  <c r="AB151" i="2"/>
  <c r="AB152" i="2"/>
  <c r="AB153" i="2"/>
  <c r="AB154" i="2"/>
  <c r="AB155" i="2"/>
  <c r="AB156" i="2"/>
  <c r="AB157" i="2"/>
  <c r="AB158" i="2"/>
  <c r="AB159" i="2"/>
  <c r="AB160" i="2"/>
  <c r="AB161" i="2"/>
  <c r="AB162" i="2"/>
  <c r="AB163" i="2"/>
  <c r="AB164" i="2"/>
  <c r="AB165" i="2"/>
  <c r="AB166" i="2"/>
  <c r="AB167" i="2"/>
  <c r="AB168" i="2"/>
  <c r="AB169" i="2"/>
  <c r="AB170" i="2"/>
  <c r="AB171" i="2"/>
  <c r="AB172" i="2"/>
  <c r="AB173" i="2"/>
  <c r="AB174" i="2"/>
  <c r="AB175" i="2"/>
  <c r="AB176" i="2"/>
  <c r="AB177" i="2"/>
  <c r="AB178" i="2"/>
  <c r="AB179" i="2"/>
  <c r="AB180" i="2"/>
  <c r="AB181" i="2"/>
  <c r="AB182" i="2"/>
  <c r="AB183" i="2"/>
  <c r="AB184" i="2"/>
  <c r="AB185" i="2"/>
  <c r="AB186" i="2"/>
  <c r="AB187" i="2"/>
  <c r="AB188" i="2"/>
  <c r="AB189" i="2"/>
  <c r="AB190" i="2"/>
  <c r="AB191" i="2"/>
  <c r="AB192" i="2"/>
  <c r="AB193" i="2"/>
  <c r="AB194" i="2"/>
  <c r="AB195" i="2"/>
  <c r="AB196" i="2"/>
  <c r="AB197" i="2"/>
  <c r="AB198" i="2"/>
  <c r="AB199" i="2"/>
  <c r="AB200" i="2"/>
  <c r="AB201" i="2"/>
  <c r="AB202" i="2"/>
  <c r="AB203" i="2"/>
  <c r="AB204" i="2"/>
  <c r="AB205" i="2"/>
  <c r="AB206" i="2"/>
  <c r="AB207" i="2"/>
  <c r="AB208" i="2"/>
  <c r="AB209" i="2"/>
  <c r="AB210" i="2"/>
  <c r="AB211" i="2"/>
  <c r="AB212" i="2"/>
  <c r="AB213" i="2"/>
  <c r="AB214" i="2"/>
  <c r="AB215" i="2"/>
  <c r="AB216" i="2"/>
  <c r="AB217" i="2"/>
  <c r="AB218" i="2"/>
  <c r="AB219" i="2"/>
  <c r="AB220" i="2"/>
  <c r="AB221" i="2"/>
  <c r="AB222" i="2"/>
  <c r="AB223" i="2"/>
  <c r="AB224" i="2"/>
  <c r="AB225" i="2"/>
  <c r="AB226" i="2"/>
  <c r="AB227" i="2"/>
  <c r="AB228" i="2"/>
  <c r="AB229" i="2"/>
  <c r="AB230" i="2"/>
  <c r="AB231" i="2"/>
  <c r="AB232" i="2"/>
  <c r="AB233" i="2"/>
  <c r="AB234" i="2"/>
  <c r="AB235" i="2"/>
  <c r="AB236" i="2"/>
  <c r="AB237" i="2"/>
  <c r="AB238" i="2"/>
  <c r="AB239" i="2"/>
  <c r="AB240" i="2"/>
  <c r="AB241" i="2"/>
  <c r="AB242" i="2"/>
  <c r="AB243" i="2"/>
  <c r="AB244" i="2"/>
  <c r="AB245" i="2"/>
  <c r="AB246" i="2"/>
  <c r="AB247" i="2"/>
  <c r="AB248" i="2"/>
  <c r="AB249" i="2"/>
  <c r="AB250" i="2"/>
  <c r="AB251" i="2"/>
  <c r="AB252" i="2"/>
  <c r="AB253" i="2"/>
  <c r="AB254" i="2"/>
  <c r="AB255" i="2"/>
  <c r="AB256" i="2"/>
  <c r="AB257" i="2"/>
  <c r="AB258" i="2"/>
  <c r="AB259" i="2"/>
  <c r="AB260" i="2"/>
  <c r="AB261" i="2"/>
  <c r="AB262" i="2"/>
  <c r="AB263" i="2"/>
  <c r="AB264" i="2"/>
  <c r="AB265" i="2"/>
  <c r="AB266" i="2"/>
  <c r="H75" i="31"/>
  <c r="H68" i="31"/>
  <c r="I68" i="31"/>
  <c r="J68" i="31"/>
  <c r="H71" i="31"/>
  <c r="I71" i="31"/>
  <c r="J71" i="31"/>
  <c r="H74" i="31"/>
  <c r="I74" i="31"/>
  <c r="J74" i="31"/>
  <c r="J75" i="31"/>
  <c r="L75" i="31"/>
  <c r="J30" i="28"/>
  <c r="D16" i="29"/>
  <c r="D15" i="29"/>
  <c r="C41" i="29"/>
  <c r="Y16" i="35"/>
  <c r="Y17" i="35"/>
  <c r="Y18" i="35"/>
  <c r="Y19" i="35"/>
  <c r="N30" i="1"/>
  <c r="M30" i="1"/>
  <c r="N28" i="1"/>
  <c r="M28" i="1"/>
  <c r="H59" i="31"/>
  <c r="L59" i="31"/>
  <c r="L30" i="28"/>
  <c r="H78" i="31"/>
  <c r="H81" i="31"/>
  <c r="H84" i="31"/>
  <c r="H85" i="31"/>
  <c r="L85" i="31"/>
  <c r="M30" i="28"/>
  <c r="D52" i="35"/>
  <c r="D53" i="35"/>
  <c r="D54" i="35"/>
  <c r="D55" i="35"/>
  <c r="D56" i="35"/>
  <c r="D57" i="35"/>
  <c r="D58" i="35"/>
  <c r="D59" i="35"/>
  <c r="D60" i="35"/>
  <c r="D61" i="35"/>
  <c r="D62" i="35"/>
  <c r="D51" i="35"/>
  <c r="E63" i="10"/>
  <c r="E58" i="10"/>
  <c r="E65" i="10"/>
  <c r="E66" i="10"/>
  <c r="E68" i="10"/>
  <c r="C114" i="10"/>
  <c r="X182" i="2"/>
  <c r="X183" i="2"/>
  <c r="X186" i="2"/>
  <c r="X187" i="2"/>
  <c r="AD62" i="2"/>
  <c r="AD63" i="2"/>
  <c r="AD67" i="2"/>
  <c r="AD69" i="2"/>
  <c r="AD72" i="2"/>
  <c r="AD74" i="2"/>
  <c r="AD77" i="2"/>
  <c r="AD79" i="2"/>
  <c r="AD85" i="2"/>
  <c r="AD89" i="2"/>
  <c r="AD92" i="2"/>
  <c r="AD93" i="2"/>
  <c r="AD99" i="2"/>
  <c r="AD103" i="2"/>
  <c r="AD105" i="2"/>
  <c r="AD136" i="2"/>
  <c r="AD137" i="2"/>
  <c r="AD138" i="2"/>
  <c r="AD139" i="2"/>
  <c r="AD140" i="2"/>
  <c r="AD141" i="2"/>
  <c r="AD142" i="2"/>
  <c r="AD143" i="2"/>
  <c r="AD144" i="2"/>
  <c r="AD145" i="2"/>
  <c r="AD146" i="2"/>
  <c r="AD147" i="2"/>
  <c r="AD148" i="2"/>
  <c r="AD149" i="2"/>
  <c r="AD150" i="2"/>
  <c r="AD152" i="2"/>
  <c r="AD182" i="2"/>
  <c r="AD183" i="2"/>
  <c r="AD184" i="2"/>
  <c r="AD185" i="2"/>
  <c r="AD186" i="2"/>
  <c r="AD187" i="2"/>
  <c r="AD188" i="2"/>
  <c r="AD189" i="2"/>
  <c r="AD190" i="2"/>
  <c r="AD191" i="2"/>
  <c r="AD192" i="2"/>
  <c r="AD193" i="2"/>
  <c r="AD194" i="2"/>
  <c r="AD195" i="2"/>
  <c r="AD201" i="2"/>
  <c r="AD211" i="2"/>
  <c r="AD230" i="2"/>
  <c r="AD251" i="2"/>
  <c r="AD252" i="2"/>
  <c r="AD253" i="2"/>
  <c r="AD254" i="2"/>
  <c r="AD255" i="2"/>
  <c r="AD256" i="2"/>
  <c r="AD257" i="2"/>
  <c r="AD258" i="2"/>
  <c r="AD259" i="2"/>
  <c r="AD260" i="2"/>
  <c r="AD261" i="2"/>
  <c r="AD263" i="2"/>
  <c r="AD264" i="2"/>
  <c r="AD265" i="2"/>
  <c r="AD266" i="2"/>
  <c r="AD61" i="2"/>
  <c r="AD64" i="2"/>
  <c r="AD65" i="2"/>
  <c r="AD66" i="2"/>
  <c r="AD68" i="2"/>
  <c r="AD70" i="2"/>
  <c r="AD71" i="2"/>
  <c r="AD73" i="2"/>
  <c r="AD75" i="2"/>
  <c r="AD76" i="2"/>
  <c r="AD78" i="2"/>
  <c r="AD80" i="2"/>
  <c r="AD81" i="2"/>
  <c r="AD82" i="2"/>
  <c r="AD83" i="2"/>
  <c r="AD84" i="2"/>
  <c r="AD86" i="2"/>
  <c r="AD87" i="2"/>
  <c r="AD88" i="2"/>
  <c r="AD90" i="2"/>
  <c r="AD91" i="2"/>
  <c r="AD94" i="2"/>
  <c r="AD95" i="2"/>
  <c r="AD96" i="2"/>
  <c r="AD97" i="2"/>
  <c r="AD98" i="2"/>
  <c r="AD100" i="2"/>
  <c r="AD101" i="2"/>
  <c r="AD102" i="2"/>
  <c r="AD104" i="2"/>
  <c r="AD106" i="2"/>
  <c r="AD107" i="2"/>
  <c r="AD108" i="2"/>
  <c r="AD109" i="2"/>
  <c r="AD110" i="2"/>
  <c r="AD111" i="2"/>
  <c r="AD112" i="2"/>
  <c r="AD113" i="2"/>
  <c r="AD114" i="2"/>
  <c r="AD115" i="2"/>
  <c r="AD116" i="2"/>
  <c r="AD117" i="2"/>
  <c r="AD118" i="2"/>
  <c r="AD119" i="2"/>
  <c r="AD120" i="2"/>
  <c r="AD121" i="2"/>
  <c r="AD122" i="2"/>
  <c r="AD123" i="2"/>
  <c r="AD124" i="2"/>
  <c r="AD125" i="2"/>
  <c r="AD126" i="2"/>
  <c r="AD127" i="2"/>
  <c r="AD128" i="2"/>
  <c r="AD129" i="2"/>
  <c r="AD130" i="2"/>
  <c r="AD131" i="2"/>
  <c r="AD132" i="2"/>
  <c r="AD133" i="2"/>
  <c r="AD134" i="2"/>
  <c r="AD135" i="2"/>
  <c r="AD151" i="2"/>
  <c r="AD153" i="2"/>
  <c r="AD154" i="2"/>
  <c r="AD155" i="2"/>
  <c r="AD156" i="2"/>
  <c r="AD157" i="2"/>
  <c r="AD158" i="2"/>
  <c r="AD159" i="2"/>
  <c r="AD160" i="2"/>
  <c r="AD161" i="2"/>
  <c r="AD162" i="2"/>
  <c r="AD163" i="2"/>
  <c r="AD164" i="2"/>
  <c r="AD165" i="2"/>
  <c r="AD166" i="2"/>
  <c r="AD167" i="2"/>
  <c r="AD168" i="2"/>
  <c r="AD169" i="2"/>
  <c r="AD170" i="2"/>
  <c r="AD171" i="2"/>
  <c r="AD172" i="2"/>
  <c r="AD173" i="2"/>
  <c r="AD174" i="2"/>
  <c r="AD175" i="2"/>
  <c r="AD176" i="2"/>
  <c r="AD177" i="2"/>
  <c r="AD178" i="2"/>
  <c r="AD179" i="2"/>
  <c r="AD180" i="2"/>
  <c r="AD181" i="2"/>
  <c r="AD11" i="2"/>
  <c r="AD12" i="2"/>
  <c r="AD13" i="2"/>
  <c r="AD14" i="2"/>
  <c r="AD15" i="2"/>
  <c r="AD16" i="2"/>
  <c r="AD17" i="2"/>
  <c r="AD18" i="2"/>
  <c r="AD19" i="2"/>
  <c r="AD20" i="2"/>
  <c r="AD21" i="2"/>
  <c r="AD23" i="2"/>
  <c r="AD24" i="2"/>
  <c r="AD25" i="2"/>
  <c r="AD26" i="2"/>
  <c r="AD27" i="2"/>
  <c r="AD28" i="2"/>
  <c r="AD29" i="2"/>
  <c r="AD30" i="2"/>
  <c r="AD31" i="2"/>
  <c r="AD32" i="2"/>
  <c r="AD33" i="2"/>
  <c r="AD34" i="2"/>
  <c r="AD35" i="2"/>
  <c r="AD36" i="2"/>
  <c r="AD37" i="2"/>
  <c r="AD38" i="2"/>
  <c r="AD39" i="2"/>
  <c r="AD40" i="2"/>
  <c r="AD41" i="2"/>
  <c r="AD42" i="2"/>
  <c r="AD43" i="2"/>
  <c r="AD44" i="2"/>
  <c r="AD45" i="2"/>
  <c r="AD46" i="2"/>
  <c r="AD47" i="2"/>
  <c r="AD48" i="2"/>
  <c r="AD49" i="2"/>
  <c r="AD50" i="2"/>
  <c r="AD51" i="2"/>
  <c r="AD52" i="2"/>
  <c r="AD53" i="2"/>
  <c r="AD54" i="2"/>
  <c r="AD55" i="2"/>
  <c r="AD56" i="2"/>
  <c r="AD57" i="2"/>
  <c r="AD58" i="2"/>
  <c r="AD59" i="2"/>
  <c r="AD60" i="2"/>
  <c r="AD196" i="2"/>
  <c r="AD197" i="2"/>
  <c r="AD198" i="2"/>
  <c r="AD199" i="2"/>
  <c r="AD200" i="2"/>
  <c r="AD202" i="2"/>
  <c r="AD203" i="2"/>
  <c r="AD204" i="2"/>
  <c r="AD205" i="2"/>
  <c r="AD206" i="2"/>
  <c r="AD207" i="2"/>
  <c r="AD208" i="2"/>
  <c r="AD209" i="2"/>
  <c r="AD210" i="2"/>
  <c r="AD212" i="2"/>
  <c r="AD213" i="2"/>
  <c r="AD214" i="2"/>
  <c r="AD215" i="2"/>
  <c r="AD216" i="2"/>
  <c r="AD217" i="2"/>
  <c r="AD218" i="2"/>
  <c r="AD219" i="2"/>
  <c r="AD220" i="2"/>
  <c r="AD221" i="2"/>
  <c r="AD222" i="2"/>
  <c r="AD223" i="2"/>
  <c r="AD224" i="2"/>
  <c r="AD225" i="2"/>
  <c r="AD226" i="2"/>
  <c r="AD227" i="2"/>
  <c r="AD228" i="2"/>
  <c r="AD229" i="2"/>
  <c r="AD231" i="2"/>
  <c r="AD232" i="2"/>
  <c r="AD233" i="2"/>
  <c r="AD234" i="2"/>
  <c r="AD235" i="2"/>
  <c r="AD236" i="2"/>
  <c r="AD237" i="2"/>
  <c r="AD238" i="2"/>
  <c r="AD239" i="2"/>
  <c r="AD240" i="2"/>
  <c r="AD241" i="2"/>
  <c r="AD242" i="2"/>
  <c r="AD243" i="2"/>
  <c r="AD244" i="2"/>
  <c r="AD245" i="2"/>
  <c r="AD246" i="2"/>
  <c r="AD247" i="2"/>
  <c r="AD248" i="2"/>
  <c r="AD249" i="2"/>
  <c r="AD250" i="2"/>
  <c r="AD262" i="2"/>
  <c r="X266" i="2"/>
  <c r="A266" i="2"/>
  <c r="X265" i="2"/>
  <c r="A265" i="2"/>
  <c r="X264" i="2"/>
  <c r="A264" i="2"/>
  <c r="X263" i="2"/>
  <c r="A263" i="2"/>
  <c r="X262" i="2"/>
  <c r="A262" i="2"/>
  <c r="X261" i="2"/>
  <c r="A261" i="2"/>
  <c r="X260" i="2"/>
  <c r="A260" i="2"/>
  <c r="X259" i="2"/>
  <c r="A259" i="2"/>
  <c r="X258" i="2"/>
  <c r="A258" i="2"/>
  <c r="X257" i="2"/>
  <c r="A257" i="2"/>
  <c r="X256" i="2"/>
  <c r="A256" i="2"/>
  <c r="X255" i="2"/>
  <c r="A255" i="2"/>
  <c r="X254" i="2"/>
  <c r="A254" i="2"/>
  <c r="X253" i="2"/>
  <c r="A253" i="2"/>
  <c r="X252" i="2"/>
  <c r="A252" i="2"/>
  <c r="X251" i="2"/>
  <c r="A251" i="2"/>
  <c r="X250" i="2"/>
  <c r="A250" i="2"/>
  <c r="X249" i="2"/>
  <c r="A249" i="2"/>
  <c r="X248" i="2"/>
  <c r="A248" i="2"/>
  <c r="X247" i="2"/>
  <c r="A247" i="2"/>
  <c r="X246" i="2"/>
  <c r="A246" i="2"/>
  <c r="X245" i="2"/>
  <c r="A245" i="2"/>
  <c r="X244" i="2"/>
  <c r="A244" i="2"/>
  <c r="X243" i="2"/>
  <c r="A243" i="2"/>
  <c r="X242" i="2"/>
  <c r="A242" i="2"/>
  <c r="X241" i="2"/>
  <c r="A241" i="2"/>
  <c r="X240" i="2"/>
  <c r="A240" i="2"/>
  <c r="X239" i="2"/>
  <c r="A239" i="2"/>
  <c r="X238" i="2"/>
  <c r="A238" i="2"/>
  <c r="X237" i="2"/>
  <c r="A237" i="2"/>
  <c r="X236" i="2"/>
  <c r="A236" i="2"/>
  <c r="X235" i="2"/>
  <c r="A235" i="2"/>
  <c r="X234" i="2"/>
  <c r="A234" i="2"/>
  <c r="X233" i="2"/>
  <c r="A233" i="2"/>
  <c r="X232" i="2"/>
  <c r="A232" i="2"/>
  <c r="X231" i="2"/>
  <c r="A231" i="2"/>
  <c r="X230" i="2"/>
  <c r="A230" i="2"/>
  <c r="X229" i="2"/>
  <c r="A229" i="2"/>
  <c r="X228" i="2"/>
  <c r="A228" i="2"/>
  <c r="X227" i="2"/>
  <c r="A227" i="2"/>
  <c r="X226" i="2"/>
  <c r="A226" i="2"/>
  <c r="X225" i="2"/>
  <c r="A225" i="2"/>
  <c r="X224" i="2"/>
  <c r="A224" i="2"/>
  <c r="X223" i="2"/>
  <c r="A223" i="2"/>
  <c r="X222" i="2"/>
  <c r="A222" i="2"/>
  <c r="X221" i="2"/>
  <c r="A221" i="2"/>
  <c r="X220" i="2"/>
  <c r="A220" i="2"/>
  <c r="X219" i="2"/>
  <c r="A219" i="2"/>
  <c r="X218" i="2"/>
  <c r="A218" i="2"/>
  <c r="X217" i="2"/>
  <c r="A217" i="2"/>
  <c r="X216" i="2"/>
  <c r="A216" i="2"/>
  <c r="X215" i="2"/>
  <c r="A215" i="2"/>
  <c r="X214" i="2"/>
  <c r="A214" i="2"/>
  <c r="X213" i="2"/>
  <c r="A213" i="2"/>
  <c r="X212" i="2"/>
  <c r="A212" i="2"/>
  <c r="X211" i="2"/>
  <c r="A211" i="2"/>
  <c r="X210" i="2"/>
  <c r="A210" i="2"/>
  <c r="X209" i="2"/>
  <c r="A209" i="2"/>
  <c r="X208" i="2"/>
  <c r="A208" i="2"/>
  <c r="X207" i="2"/>
  <c r="A207" i="2"/>
  <c r="X206" i="2"/>
  <c r="A206" i="2"/>
  <c r="X205" i="2"/>
  <c r="A205" i="2"/>
  <c r="X204" i="2"/>
  <c r="A204" i="2"/>
  <c r="X203" i="2"/>
  <c r="A203" i="2"/>
  <c r="X202" i="2"/>
  <c r="A202" i="2"/>
  <c r="X201" i="2"/>
  <c r="A201" i="2"/>
  <c r="X200" i="2"/>
  <c r="A200" i="2"/>
  <c r="X199" i="2"/>
  <c r="A199" i="2"/>
  <c r="X198" i="2"/>
  <c r="A198" i="2"/>
  <c r="X197" i="2"/>
  <c r="A197" i="2"/>
  <c r="X196" i="2"/>
  <c r="A196" i="2"/>
  <c r="X60" i="2"/>
  <c r="A60" i="2"/>
  <c r="X59" i="2"/>
  <c r="A59" i="2"/>
  <c r="X58" i="2"/>
  <c r="A58" i="2"/>
  <c r="X57" i="2"/>
  <c r="A57" i="2"/>
  <c r="X56" i="2"/>
  <c r="A56" i="2"/>
  <c r="X55" i="2"/>
  <c r="A55" i="2"/>
  <c r="X54" i="2"/>
  <c r="A54" i="2"/>
  <c r="X53" i="2"/>
  <c r="A53" i="2"/>
  <c r="X52" i="2"/>
  <c r="A52" i="2"/>
  <c r="X51" i="2"/>
  <c r="A51" i="2"/>
  <c r="X50" i="2"/>
  <c r="A50" i="2"/>
  <c r="X49" i="2"/>
  <c r="A49" i="2"/>
  <c r="X48" i="2"/>
  <c r="A48" i="2"/>
  <c r="X47" i="2"/>
  <c r="A47" i="2"/>
  <c r="X46" i="2"/>
  <c r="A46" i="2"/>
  <c r="X45" i="2"/>
  <c r="A45" i="2"/>
  <c r="X44" i="2"/>
  <c r="A44" i="2"/>
  <c r="X43" i="2"/>
  <c r="A43" i="2"/>
  <c r="X42" i="2"/>
  <c r="A42" i="2"/>
  <c r="X41" i="2"/>
  <c r="A41" i="2"/>
  <c r="X40" i="2"/>
  <c r="A40" i="2"/>
  <c r="X39" i="2"/>
  <c r="A39" i="2"/>
  <c r="X38" i="2"/>
  <c r="A38" i="2"/>
  <c r="X37" i="2"/>
  <c r="A37" i="2"/>
  <c r="X36" i="2"/>
  <c r="A36" i="2"/>
  <c r="X35" i="2"/>
  <c r="A35" i="2"/>
  <c r="X34" i="2"/>
  <c r="A34" i="2"/>
  <c r="X33" i="2"/>
  <c r="A33" i="2"/>
  <c r="X32" i="2"/>
  <c r="A32" i="2"/>
  <c r="X31" i="2"/>
  <c r="A31" i="2"/>
  <c r="X30" i="2"/>
  <c r="A30" i="2"/>
  <c r="X29" i="2"/>
  <c r="A29" i="2"/>
  <c r="A28" i="2"/>
  <c r="A27" i="2"/>
  <c r="A26" i="2"/>
  <c r="A25" i="2"/>
  <c r="A24" i="2"/>
  <c r="A23" i="2"/>
  <c r="A21" i="2"/>
  <c r="A20" i="2"/>
  <c r="A19" i="2"/>
  <c r="X18" i="2"/>
  <c r="A18" i="2"/>
  <c r="X17" i="2"/>
  <c r="A17" i="2"/>
  <c r="X16" i="2"/>
  <c r="A16" i="2"/>
  <c r="X15" i="2"/>
  <c r="A15" i="2"/>
  <c r="X14" i="2"/>
  <c r="A14" i="2"/>
  <c r="X13" i="2"/>
  <c r="A13" i="2"/>
  <c r="X12" i="2"/>
  <c r="A12" i="2"/>
  <c r="X11" i="2"/>
  <c r="A11" i="2"/>
  <c r="X195" i="2"/>
  <c r="A195" i="2"/>
  <c r="X194" i="2"/>
  <c r="A194" i="2"/>
  <c r="X193" i="2"/>
  <c r="A193" i="2"/>
  <c r="X192" i="2"/>
  <c r="A192" i="2"/>
  <c r="X191" i="2"/>
  <c r="A191" i="2"/>
  <c r="X190" i="2"/>
  <c r="A190" i="2"/>
  <c r="X189" i="2"/>
  <c r="A189" i="2"/>
  <c r="X188" i="2"/>
  <c r="A188" i="2"/>
  <c r="A187" i="2"/>
  <c r="A186" i="2"/>
  <c r="X185" i="2"/>
  <c r="A185" i="2"/>
  <c r="X184" i="2"/>
  <c r="A184" i="2"/>
  <c r="A183" i="2"/>
  <c r="A182" i="2"/>
  <c r="X181" i="2"/>
  <c r="A181" i="2"/>
  <c r="X180" i="2"/>
  <c r="A180" i="2"/>
  <c r="X179" i="2"/>
  <c r="A179" i="2"/>
  <c r="X178" i="2"/>
  <c r="A178" i="2"/>
  <c r="X177" i="2"/>
  <c r="A177" i="2"/>
  <c r="X176" i="2"/>
  <c r="A176" i="2"/>
  <c r="X175" i="2"/>
  <c r="A175" i="2"/>
  <c r="X174" i="2"/>
  <c r="A174" i="2"/>
  <c r="X173" i="2"/>
  <c r="A173" i="2"/>
  <c r="X172" i="2"/>
  <c r="A172" i="2"/>
  <c r="X171" i="2"/>
  <c r="A171" i="2"/>
  <c r="X170" i="2"/>
  <c r="A170" i="2"/>
  <c r="X169" i="2"/>
  <c r="A169" i="2"/>
  <c r="X168" i="2"/>
  <c r="A168" i="2"/>
  <c r="X167" i="2"/>
  <c r="A167" i="2"/>
  <c r="X166" i="2"/>
  <c r="A166" i="2"/>
  <c r="X165" i="2"/>
  <c r="A165" i="2"/>
  <c r="X164" i="2"/>
  <c r="A164" i="2"/>
  <c r="X163" i="2"/>
  <c r="A163" i="2"/>
  <c r="X162" i="2"/>
  <c r="A162" i="2"/>
  <c r="X161" i="2"/>
  <c r="A161" i="2"/>
  <c r="X160" i="2"/>
  <c r="A160" i="2"/>
  <c r="X159" i="2"/>
  <c r="A159" i="2"/>
  <c r="X158" i="2"/>
  <c r="A158" i="2"/>
  <c r="X157" i="2"/>
  <c r="A157" i="2"/>
  <c r="X156" i="2"/>
  <c r="A156" i="2"/>
  <c r="X155" i="2"/>
  <c r="A155" i="2"/>
  <c r="X154" i="2"/>
  <c r="A154" i="2"/>
  <c r="X153" i="2"/>
  <c r="A153" i="2"/>
  <c r="X152" i="2"/>
  <c r="A152" i="2"/>
  <c r="X151" i="2"/>
  <c r="A151" i="2"/>
  <c r="X150" i="2"/>
  <c r="A150" i="2"/>
  <c r="X149" i="2"/>
  <c r="A149" i="2"/>
  <c r="X148" i="2"/>
  <c r="A148" i="2"/>
  <c r="X147" i="2"/>
  <c r="A147" i="2"/>
  <c r="X146" i="2"/>
  <c r="A146" i="2"/>
  <c r="X145" i="2"/>
  <c r="A145" i="2"/>
  <c r="X144" i="2"/>
  <c r="A144" i="2"/>
  <c r="X143" i="2"/>
  <c r="A143" i="2"/>
  <c r="X142" i="2"/>
  <c r="A142" i="2"/>
  <c r="X141" i="2"/>
  <c r="A141" i="2"/>
  <c r="X140" i="2"/>
  <c r="A140" i="2"/>
  <c r="X139" i="2"/>
  <c r="A139" i="2"/>
  <c r="X138" i="2"/>
  <c r="A138" i="2"/>
  <c r="X137" i="2"/>
  <c r="A137" i="2"/>
  <c r="X136" i="2"/>
  <c r="A136" i="2"/>
  <c r="X135" i="2"/>
  <c r="A135" i="2"/>
  <c r="X134" i="2"/>
  <c r="A134" i="2"/>
  <c r="X133" i="2"/>
  <c r="A133" i="2"/>
  <c r="X132" i="2"/>
  <c r="A132" i="2"/>
  <c r="X131" i="2"/>
  <c r="A131" i="2"/>
  <c r="X130" i="2"/>
  <c r="A130" i="2"/>
  <c r="X129" i="2"/>
  <c r="A129" i="2"/>
  <c r="X128" i="2"/>
  <c r="A128" i="2"/>
  <c r="X127" i="2"/>
  <c r="A127" i="2"/>
  <c r="X126" i="2"/>
  <c r="A126" i="2"/>
  <c r="X125" i="2"/>
  <c r="A125" i="2"/>
  <c r="X124" i="2"/>
  <c r="A124" i="2"/>
  <c r="X123" i="2"/>
  <c r="A123" i="2"/>
  <c r="X122" i="2"/>
  <c r="A122" i="2"/>
  <c r="X121" i="2"/>
  <c r="A121" i="2"/>
  <c r="X120" i="2"/>
  <c r="A120" i="2"/>
  <c r="X119" i="2"/>
  <c r="A119" i="2"/>
  <c r="X118" i="2"/>
  <c r="A118" i="2"/>
  <c r="X117" i="2"/>
  <c r="A117" i="2"/>
  <c r="X116" i="2"/>
  <c r="A116" i="2"/>
  <c r="X115" i="2"/>
  <c r="A115" i="2"/>
  <c r="X114" i="2"/>
  <c r="A114" i="2"/>
  <c r="X113" i="2"/>
  <c r="A113" i="2"/>
  <c r="X112" i="2"/>
  <c r="A112" i="2"/>
  <c r="X111" i="2"/>
  <c r="A111" i="2"/>
  <c r="X110" i="2"/>
  <c r="A110" i="2"/>
  <c r="X109" i="2"/>
  <c r="A109" i="2"/>
  <c r="X108" i="2"/>
  <c r="A108" i="2"/>
  <c r="X107" i="2"/>
  <c r="A107" i="2"/>
  <c r="X61" i="2"/>
  <c r="X62" i="2"/>
  <c r="X63" i="2"/>
  <c r="X64" i="2"/>
  <c r="X65" i="2"/>
  <c r="X66" i="2"/>
  <c r="X67" i="2"/>
  <c r="X68" i="2"/>
  <c r="X69" i="2"/>
  <c r="X70" i="2"/>
  <c r="X71" i="2"/>
  <c r="X72" i="2"/>
  <c r="X73" i="2"/>
  <c r="X74" i="2"/>
  <c r="X75" i="2"/>
  <c r="X76" i="2"/>
  <c r="X77" i="2"/>
  <c r="X78" i="2"/>
  <c r="X79" i="2"/>
  <c r="X80" i="2"/>
  <c r="X81" i="2"/>
  <c r="X82" i="2"/>
  <c r="X83" i="2"/>
  <c r="X84" i="2"/>
  <c r="X85" i="2"/>
  <c r="X86" i="2"/>
  <c r="X87" i="2"/>
  <c r="X88" i="2"/>
  <c r="X89" i="2"/>
  <c r="X90" i="2"/>
  <c r="X91" i="2"/>
  <c r="X92" i="2"/>
  <c r="X93" i="2"/>
  <c r="X94" i="2"/>
  <c r="X95" i="2"/>
  <c r="X96" i="2"/>
  <c r="X97" i="2"/>
  <c r="X98" i="2"/>
  <c r="X99" i="2"/>
  <c r="X100" i="2"/>
  <c r="X101" i="2"/>
  <c r="X102" i="2"/>
  <c r="X103" i="2"/>
  <c r="X104" i="2"/>
  <c r="X105" i="2"/>
  <c r="X106" i="2"/>
  <c r="A106" i="2"/>
  <c r="A105" i="2"/>
  <c r="A104" i="2"/>
  <c r="A103" i="2"/>
  <c r="A102" i="2"/>
  <c r="A101" i="2"/>
  <c r="A100" i="2"/>
  <c r="A99" i="2"/>
  <c r="A98" i="2"/>
  <c r="A97" i="2"/>
  <c r="A96" i="2"/>
  <c r="A95" i="2"/>
  <c r="A94" i="2"/>
  <c r="A93" i="2"/>
  <c r="A92" i="2"/>
  <c r="A91" i="2"/>
  <c r="A90" i="2"/>
  <c r="A89" i="2"/>
  <c r="A88" i="2"/>
  <c r="A87" i="2"/>
  <c r="A86" i="2"/>
  <c r="A85" i="2"/>
  <c r="A84" i="2"/>
  <c r="A83" i="2"/>
  <c r="A82" i="2"/>
  <c r="A81" i="2"/>
  <c r="A80" i="2"/>
  <c r="A79" i="2"/>
  <c r="A78" i="2"/>
  <c r="A77" i="2"/>
  <c r="A76" i="2"/>
  <c r="A75" i="2"/>
  <c r="A74" i="2"/>
  <c r="A73" i="2"/>
  <c r="A72" i="2"/>
  <c r="A71" i="2"/>
  <c r="A70" i="2"/>
  <c r="A69" i="2"/>
  <c r="A68" i="2"/>
  <c r="A67" i="2"/>
  <c r="A66" i="2"/>
  <c r="A65" i="2"/>
  <c r="A64" i="2"/>
  <c r="A63" i="2"/>
  <c r="A62" i="2"/>
  <c r="A61" i="2"/>
  <c r="E12" i="33"/>
  <c r="I8" i="31"/>
  <c r="L96" i="31"/>
  <c r="A13" i="32"/>
  <c r="A14" i="32"/>
  <c r="A15" i="32"/>
  <c r="A16" i="32"/>
  <c r="U12" i="32"/>
  <c r="B13" i="32"/>
  <c r="AO13" i="32"/>
  <c r="AQ13" i="32"/>
  <c r="AS13" i="32"/>
  <c r="AU13" i="32"/>
  <c r="B14" i="32"/>
  <c r="AO14" i="32"/>
  <c r="AQ14" i="32"/>
  <c r="AS14" i="32"/>
  <c r="AU14" i="32"/>
  <c r="B15" i="32"/>
  <c r="AQ15" i="32"/>
  <c r="AS15" i="32"/>
  <c r="AU15" i="32"/>
  <c r="B16" i="32"/>
  <c r="AO16" i="32"/>
  <c r="AQ16" i="32"/>
  <c r="AS16" i="32"/>
  <c r="AU16" i="32"/>
  <c r="A17" i="32"/>
  <c r="B17" i="32"/>
  <c r="AO17" i="32"/>
  <c r="AQ17" i="32"/>
  <c r="AS17" i="32"/>
  <c r="AU17" i="32"/>
  <c r="A18" i="32"/>
  <c r="B18" i="32"/>
  <c r="AQ18" i="32"/>
  <c r="AS18" i="32"/>
  <c r="AU18" i="32"/>
  <c r="A19" i="32"/>
  <c r="B19" i="32"/>
  <c r="AO19" i="32"/>
  <c r="AQ19" i="32"/>
  <c r="AS19" i="32"/>
  <c r="AU19" i="32"/>
  <c r="A20" i="32"/>
  <c r="B20" i="32"/>
  <c r="AO20" i="32"/>
  <c r="AQ20" i="32"/>
  <c r="AS20" i="32"/>
  <c r="AU20" i="32"/>
  <c r="A21" i="32"/>
  <c r="B21" i="32"/>
  <c r="AO21" i="32"/>
  <c r="AQ21" i="32"/>
  <c r="AS21" i="32"/>
  <c r="AU21" i="32"/>
  <c r="A22" i="32"/>
  <c r="B22" i="32"/>
  <c r="AO22" i="32"/>
  <c r="AQ22" i="32"/>
  <c r="AS22" i="32"/>
  <c r="AU22" i="32"/>
  <c r="A23" i="32"/>
  <c r="B23" i="32"/>
  <c r="AO23" i="32"/>
  <c r="AQ23" i="32"/>
  <c r="AS23" i="32"/>
  <c r="AU23" i="32"/>
  <c r="A24" i="32"/>
  <c r="B24" i="32"/>
  <c r="AO24" i="32"/>
  <c r="AQ24" i="32"/>
  <c r="AS24" i="32"/>
  <c r="AU24" i="32"/>
  <c r="A25" i="32"/>
  <c r="B25" i="32"/>
  <c r="AO25" i="32"/>
  <c r="AQ25" i="32"/>
  <c r="AS25" i="32"/>
  <c r="AU25" i="32"/>
  <c r="A26" i="32"/>
  <c r="B26" i="32"/>
  <c r="AO26" i="32"/>
  <c r="AQ26" i="32"/>
  <c r="AS26" i="32"/>
  <c r="AU26" i="32"/>
  <c r="A27" i="32"/>
  <c r="B27" i="32"/>
  <c r="AQ27" i="32"/>
  <c r="AS27" i="32"/>
  <c r="AU27" i="32"/>
  <c r="A28" i="32"/>
  <c r="B28" i="32"/>
  <c r="AO28" i="32"/>
  <c r="AQ28" i="32"/>
  <c r="AS28" i="32"/>
  <c r="AU28" i="32"/>
  <c r="A29" i="32"/>
  <c r="B29" i="32"/>
  <c r="AQ29" i="32"/>
  <c r="AS29" i="32"/>
  <c r="AU29" i="32"/>
  <c r="A30" i="32"/>
  <c r="B30" i="32"/>
  <c r="AO30" i="32"/>
  <c r="AQ30" i="32"/>
  <c r="AS30" i="32"/>
  <c r="AU30" i="32"/>
  <c r="A31" i="32"/>
  <c r="B31" i="32"/>
  <c r="AQ31" i="32"/>
  <c r="AS31" i="32"/>
  <c r="AU31" i="32"/>
  <c r="A32" i="32"/>
  <c r="B32" i="32"/>
  <c r="A33" i="32"/>
  <c r="B33" i="32"/>
  <c r="AQ33" i="32"/>
  <c r="AS33" i="32"/>
  <c r="AU33" i="32"/>
  <c r="A34" i="32"/>
  <c r="B34" i="32"/>
  <c r="AO34" i="32"/>
  <c r="AQ34" i="32"/>
  <c r="AS34" i="32"/>
  <c r="AU34" i="32"/>
  <c r="A35" i="32"/>
  <c r="B35" i="32"/>
  <c r="AQ35" i="32"/>
  <c r="AS35" i="32"/>
  <c r="AU35" i="32"/>
  <c r="J102" i="31"/>
  <c r="I8" i="39"/>
  <c r="G7" i="1"/>
  <c r="F6" i="28"/>
  <c r="F2" i="34"/>
  <c r="C4" i="35"/>
  <c r="F3" i="34"/>
  <c r="C6" i="35"/>
  <c r="F4" i="34"/>
  <c r="C7" i="35"/>
  <c r="C8" i="35"/>
  <c r="D46" i="35"/>
  <c r="D47" i="35"/>
  <c r="D48" i="35"/>
  <c r="D49" i="35"/>
  <c r="D50" i="35"/>
  <c r="K11" i="1"/>
  <c r="M11" i="1"/>
  <c r="N11" i="1"/>
  <c r="K12" i="1"/>
  <c r="M12" i="1"/>
  <c r="N12" i="1"/>
  <c r="K13" i="1"/>
  <c r="M13" i="1"/>
  <c r="N13" i="1"/>
  <c r="K14" i="1"/>
  <c r="M14" i="1"/>
  <c r="N14" i="1"/>
  <c r="K15" i="1"/>
  <c r="M15" i="1"/>
  <c r="N15" i="1"/>
  <c r="K16" i="1"/>
  <c r="M16" i="1"/>
  <c r="N16" i="1"/>
  <c r="K17" i="1"/>
  <c r="M17" i="1"/>
  <c r="N17" i="1"/>
  <c r="K18" i="1"/>
  <c r="M18" i="1"/>
  <c r="N18" i="1"/>
  <c r="K19" i="1"/>
  <c r="M19" i="1"/>
  <c r="N19" i="1"/>
  <c r="K20" i="1"/>
  <c r="M20" i="1"/>
  <c r="N20" i="1"/>
  <c r="K22" i="1"/>
  <c r="M22" i="1"/>
  <c r="N22" i="1"/>
  <c r="K23" i="1"/>
  <c r="M23" i="1"/>
  <c r="N23" i="1"/>
  <c r="K24" i="1"/>
  <c r="M24" i="1"/>
  <c r="N24" i="1"/>
  <c r="K26" i="1"/>
  <c r="M26" i="1"/>
  <c r="N26" i="1"/>
  <c r="K25" i="1"/>
  <c r="M25" i="1"/>
  <c r="N25" i="1"/>
  <c r="K27" i="1"/>
  <c r="M27" i="1"/>
  <c r="N27" i="1"/>
  <c r="K28" i="1"/>
  <c r="M31" i="1"/>
  <c r="N31" i="1"/>
  <c r="J17" i="5"/>
  <c r="D135" i="31"/>
  <c r="D132" i="31"/>
  <c r="D129" i="31"/>
  <c r="D125" i="31"/>
  <c r="D122" i="31"/>
  <c r="D119" i="31"/>
  <c r="D116" i="31"/>
  <c r="D113" i="31"/>
  <c r="N32" i="1"/>
  <c r="M32" i="1"/>
  <c r="G4" i="39"/>
  <c r="G6" i="39"/>
  <c r="G7" i="39"/>
  <c r="G8" i="39"/>
  <c r="F117" i="31"/>
  <c r="H137" i="31"/>
  <c r="F130" i="31"/>
  <c r="F133" i="31"/>
  <c r="F136" i="31"/>
  <c r="F137" i="31"/>
  <c r="E137" i="31"/>
  <c r="L127" i="31"/>
  <c r="F114" i="31"/>
  <c r="F120" i="31"/>
  <c r="F123" i="31"/>
  <c r="F126" i="31"/>
  <c r="F127" i="31"/>
  <c r="E127" i="31"/>
  <c r="A127" i="31"/>
  <c r="M21" i="5"/>
  <c r="L21" i="5"/>
  <c r="K21" i="5"/>
  <c r="J21" i="5"/>
  <c r="M20" i="5"/>
  <c r="L20" i="5"/>
  <c r="K20" i="5"/>
  <c r="J20" i="5"/>
  <c r="M19" i="5"/>
  <c r="L19" i="5"/>
  <c r="K19" i="5"/>
  <c r="J19" i="5"/>
  <c r="M18" i="5"/>
  <c r="L18" i="5"/>
  <c r="K18" i="5"/>
  <c r="J18" i="5"/>
  <c r="M17" i="5"/>
  <c r="L17" i="5"/>
  <c r="K17" i="5"/>
  <c r="N21" i="5"/>
  <c r="N20" i="5"/>
  <c r="N19" i="5"/>
  <c r="N18" i="5"/>
  <c r="N17" i="5"/>
  <c r="F145" i="31"/>
  <c r="A32" i="28"/>
  <c r="I78" i="31"/>
  <c r="J78" i="31"/>
  <c r="I81" i="31"/>
  <c r="J81" i="31"/>
  <c r="I84" i="31"/>
  <c r="J84" i="31"/>
  <c r="J85" i="31"/>
  <c r="J65" i="31"/>
  <c r="D70" i="28"/>
  <c r="E70" i="28"/>
  <c r="F70" i="28"/>
  <c r="G70" i="28"/>
  <c r="O40" i="1"/>
  <c r="L49" i="31"/>
  <c r="N33" i="1"/>
  <c r="M33" i="1"/>
  <c r="D4" i="34"/>
  <c r="D3" i="34"/>
  <c r="D2" i="34"/>
  <c r="G35" i="34"/>
  <c r="G45" i="31"/>
  <c r="E75" i="31"/>
  <c r="A75" i="31"/>
  <c r="E59" i="31"/>
  <c r="E85" i="31"/>
  <c r="C2" i="32"/>
  <c r="B3" i="10"/>
  <c r="C3" i="32"/>
  <c r="B4" i="10"/>
  <c r="C4" i="32"/>
  <c r="B5" i="10"/>
  <c r="C5" i="32"/>
  <c r="B6" i="10"/>
  <c r="D2" i="32"/>
  <c r="C3" i="10"/>
  <c r="D4" i="32"/>
  <c r="C5" i="10"/>
  <c r="D5" i="32"/>
  <c r="C6" i="10"/>
  <c r="C6" i="32"/>
  <c r="B7" i="10"/>
  <c r="D6" i="32"/>
  <c r="C7" i="10"/>
  <c r="F16" i="31"/>
  <c r="F19" i="31"/>
  <c r="F22" i="31"/>
  <c r="F25" i="31"/>
  <c r="F28" i="31"/>
  <c r="F29" i="31"/>
  <c r="G78" i="31"/>
  <c r="F78" i="31"/>
  <c r="G81" i="31"/>
  <c r="F81" i="31"/>
  <c r="G84" i="31"/>
  <c r="F84" i="31"/>
  <c r="F85" i="31"/>
  <c r="F68" i="31"/>
  <c r="G71" i="31"/>
  <c r="F71" i="31"/>
  <c r="G74" i="31"/>
  <c r="F74" i="31"/>
  <c r="F75" i="31"/>
  <c r="G52" i="31"/>
  <c r="F52" i="31"/>
  <c r="G55" i="31"/>
  <c r="F55" i="31"/>
  <c r="G58" i="31"/>
  <c r="F58" i="31"/>
  <c r="F59" i="31"/>
  <c r="G48" i="31"/>
  <c r="F42" i="31"/>
  <c r="F45" i="31"/>
  <c r="F48" i="31"/>
  <c r="F49" i="31"/>
  <c r="F35" i="31"/>
  <c r="F38" i="31"/>
  <c r="F32" i="31"/>
  <c r="F39" i="31"/>
  <c r="D31" i="31"/>
  <c r="D54" i="31"/>
  <c r="E49" i="31"/>
  <c r="A49" i="31"/>
  <c r="E29" i="31"/>
  <c r="A29" i="31"/>
  <c r="D15" i="31"/>
  <c r="D18" i="31"/>
  <c r="D83" i="31"/>
  <c r="D80" i="31"/>
  <c r="D77" i="31"/>
  <c r="D73" i="31"/>
  <c r="D70" i="31"/>
  <c r="D67" i="31"/>
  <c r="D57" i="31"/>
  <c r="D51" i="31"/>
  <c r="D47" i="31"/>
  <c r="D44" i="31"/>
  <c r="D41" i="31"/>
  <c r="D37" i="31"/>
  <c r="D34" i="31"/>
  <c r="D27" i="31"/>
  <c r="D24" i="31"/>
  <c r="D21" i="31"/>
  <c r="R33" i="1"/>
  <c r="R34" i="1"/>
  <c r="C2" i="11"/>
  <c r="C4" i="11"/>
  <c r="C5" i="11"/>
  <c r="C2" i="29"/>
  <c r="C4" i="29"/>
  <c r="C5" i="29"/>
  <c r="C6" i="29"/>
  <c r="B4" i="5"/>
  <c r="C4" i="5"/>
  <c r="B5" i="5"/>
  <c r="B6" i="5"/>
  <c r="C6" i="5"/>
  <c r="B7" i="5"/>
  <c r="C7" i="5"/>
  <c r="B8" i="5"/>
  <c r="C8" i="5"/>
  <c r="B9" i="5"/>
  <c r="C9" i="5"/>
  <c r="M35" i="1"/>
  <c r="N35" i="1"/>
  <c r="J103" i="31"/>
  <c r="J104" i="31"/>
  <c r="J55" i="28"/>
  <c r="J56" i="28"/>
  <c r="J57" i="28"/>
  <c r="J59" i="28"/>
  <c r="C55" i="28"/>
  <c r="C56" i="28"/>
  <c r="C57" i="28"/>
  <c r="D64" i="28"/>
  <c r="E64" i="28"/>
  <c r="C66" i="28"/>
  <c r="D62" i="28"/>
  <c r="E62" i="28"/>
  <c r="D63" i="28"/>
  <c r="E63" i="28"/>
  <c r="D66" i="28"/>
  <c r="H57" i="28"/>
  <c r="G57" i="28"/>
  <c r="F57" i="28"/>
  <c r="D57" i="28"/>
  <c r="H56" i="28"/>
  <c r="G56" i="28"/>
  <c r="F56" i="28"/>
  <c r="E56" i="28"/>
  <c r="D56" i="28"/>
  <c r="H55" i="28"/>
  <c r="D55" i="28"/>
  <c r="G55" i="28"/>
  <c r="E55" i="28"/>
  <c r="J151" i="31"/>
  <c r="E57" i="28"/>
  <c r="F55" i="28"/>
  <c r="M50" i="28"/>
  <c r="L50" i="28"/>
</calcChain>
</file>

<file path=xl/sharedStrings.xml><?xml version="1.0" encoding="utf-8"?>
<sst xmlns="http://schemas.openxmlformats.org/spreadsheetml/2006/main" count="2171" uniqueCount="682">
  <si>
    <t>BIJZONDER-HEDEN</t>
  </si>
  <si>
    <t>Opslag niet werkbare dagen in procenten</t>
  </si>
  <si>
    <t xml:space="preserve">Vakantietoeslag </t>
  </si>
  <si>
    <t>Stofzuigen</t>
  </si>
  <si>
    <t>Subtotaal loonkosten per uur inclusief sociale verzekeringen</t>
  </si>
  <si>
    <t>Opslag niet werkbare dagen</t>
  </si>
  <si>
    <t>TOTAAL KOSTEN PER JAAR EXCLUSIEF BTW</t>
  </si>
  <si>
    <t>B.T.W.</t>
  </si>
  <si>
    <t>Prijspeil</t>
  </si>
  <si>
    <t>Administratiekosten</t>
  </si>
  <si>
    <t>Huisvestingskosten</t>
  </si>
  <si>
    <t>Totaal premies sociale verzekeringen</t>
  </si>
  <si>
    <t>Berekening werkbaredagen</t>
  </si>
  <si>
    <t>Aantal kalenderdagen</t>
  </si>
  <si>
    <t>Weekenddagen</t>
  </si>
  <si>
    <t>Werkdagen per jaar</t>
  </si>
  <si>
    <t>PRESTATIE NORM</t>
  </si>
  <si>
    <t>VSR</t>
  </si>
  <si>
    <t>Wachtgeldfonds</t>
  </si>
  <si>
    <t>Zorgverzekeringswet</t>
  </si>
  <si>
    <t>Op de diverse tabbladen zijn invoervelden opgenomen, deze zijn blauw gekleurd zoals het voorbeeld --&gt;</t>
  </si>
  <si>
    <t>Tariefgroep</t>
  </si>
  <si>
    <t>: cijfermatige notatie van het aantal keren dat een ruimte per jaar wordt schoongemaakt (zie onderstaande opgave)</t>
  </si>
  <si>
    <t>Opmerking</t>
  </si>
  <si>
    <t>Werkkleding en uitrusting</t>
  </si>
  <si>
    <t>Machinekosten</t>
  </si>
  <si>
    <t>PRODUCTIE-UREN MAANDAG-VRIJDAG</t>
  </si>
  <si>
    <t>nvt</t>
  </si>
  <si>
    <t>Totaal eindtarief feestdagen [incl. 150% toeslag]</t>
  </si>
  <si>
    <t>Specialistentoeslag</t>
  </si>
  <si>
    <t>Grondslag loon voor berekening OP premie</t>
  </si>
  <si>
    <t>Premie Ouderdomspensioen (OP)</t>
  </si>
  <si>
    <t>Invoervelden</t>
  </si>
  <si>
    <t>Info Blad</t>
  </si>
  <si>
    <t>Reiskosten/autokosten</t>
  </si>
  <si>
    <t>Specialist - algemeen</t>
  </si>
  <si>
    <t>Bruto uurloon</t>
  </si>
  <si>
    <t>Afroepprijzen</t>
  </si>
  <si>
    <t>FREQ. NOTATIE</t>
  </si>
  <si>
    <t>VERD.</t>
  </si>
  <si>
    <t>Totaal schoonmaak</t>
  </si>
  <si>
    <t>Locatie</t>
  </si>
  <si>
    <t>Omschrijving blad</t>
  </si>
  <si>
    <t>Jaarkosten per locatie</t>
  </si>
  <si>
    <t>Indien buiten genoemde dagen en uren regiewerkzaamheden verricht dienen te worden is aannemer gerechtigd de toeslagpercentages, zoals vastgelegd in artikel 17 van de CAO voor Schoonmaak- en Glazenwassersbedrijf, te berekenen.  De toeslag dient steeds over het basis CAO-uurloon, zoals vermeld in invuldocument 5-Opbouw uurtarieven te worden berekend.</t>
  </si>
  <si>
    <t>%</t>
  </si>
  <si>
    <t>101-250 m2</t>
  </si>
  <si>
    <t>06:00-21:30 uur zat-/ zondag</t>
  </si>
  <si>
    <t>Vakantiedagen</t>
  </si>
  <si>
    <t>Programmacode</t>
  </si>
  <si>
    <t xml:space="preserve">RUIMTE NR </t>
  </si>
  <si>
    <t xml:space="preserve">Renteverlies per jaar </t>
  </si>
  <si>
    <t>Adres/plaats</t>
  </si>
  <si>
    <t>: unieke code die is gekoppeld aan een schoonmaakprogramma voor een bepaalde ruimtecategorie</t>
  </si>
  <si>
    <t>Omschrijving</t>
  </si>
  <si>
    <t>Werkbare dagen per jaar</t>
  </si>
  <si>
    <t>Het samengestelde uurtarief wordt automatisch geplaatst in het tabblad 1.1-Contractblad.</t>
  </si>
  <si>
    <t>Werktijden</t>
  </si>
  <si>
    <t>Ruimtestaat</t>
  </si>
  <si>
    <t>Korting</t>
  </si>
  <si>
    <t>Op het tabblad 1.3-Basis ruimtestaat hoeft u niets in te vullen.</t>
  </si>
  <si>
    <t>Kengetal</t>
  </si>
  <si>
    <t xml:space="preserve">Feestdag tussen 06.00 en 21.30 uur   </t>
  </si>
  <si>
    <t>Tarief</t>
  </si>
  <si>
    <t>Productie kosten</t>
  </si>
  <si>
    <t>Toezicht kosten</t>
  </si>
  <si>
    <t>Glasbewassing</t>
  </si>
  <si>
    <t>Frequentienotatie</t>
  </si>
  <si>
    <t>Opmerking:</t>
  </si>
  <si>
    <t>PRODUCTIE-UREN ZATERDAG-ZONDAG</t>
  </si>
  <si>
    <t>PRODUCTIE-UREN FEESTDAG</t>
  </si>
  <si>
    <t>Prestatienorm</t>
  </si>
  <si>
    <t>Totaal loonkosten per uur</t>
  </si>
  <si>
    <t>Alle prijzen inclusief materialen en middelen, voorrijkosten en overige bijkomende kosten.</t>
  </si>
  <si>
    <t>Frequentie-omschr.</t>
  </si>
  <si>
    <t>V</t>
  </si>
  <si>
    <t>Tapijt</t>
  </si>
  <si>
    <t>Reinigen sproei-extractiemethode</t>
  </si>
  <si>
    <t>Totaal eindtarief weekenden [incl. 50% toeslag]</t>
  </si>
  <si>
    <t>Op het tabblad 1.5 Machine-investering dient u uw gegevens in de blauwe invoervelden in te voeren.</t>
  </si>
  <si>
    <t>M2 VLOER NIO</t>
  </si>
  <si>
    <t>UREN P/JR MA-VR REGULIER</t>
  </si>
  <si>
    <t>De gecalculeerde productie-uren vanuit tabblad 1.3 Basis ruimtestaat worden automatisch ingevoerd, na invoering van de % per categorie medewerker.</t>
  </si>
  <si>
    <t>BIJZONDERHEDEN</t>
  </si>
  <si>
    <t>Tegels</t>
  </si>
  <si>
    <t>Bruto uurloon inclusief toeslagen</t>
  </si>
  <si>
    <t>Regie- uurtarieven (volgens matrix incidentele diensten)</t>
  </si>
  <si>
    <t>KOSTEN PER JAAR</t>
  </si>
  <si>
    <t>Afsponzen</t>
  </si>
  <si>
    <t>Gordijnen</t>
  </si>
  <si>
    <t>Prijs per jaar</t>
  </si>
  <si>
    <t>RUIMTE CATEGORIE</t>
  </si>
  <si>
    <t>Uitvoering normale werktijden: maandag t/m vrijdag [06.00 en 20.30 uur]</t>
  </si>
  <si>
    <t>Totaal kosten bij koop per jaar per machine</t>
  </si>
  <si>
    <t>TOEZICHT-UREN MAANDAG-VRIJDAG</t>
  </si>
  <si>
    <t>SUBTOTAAL</t>
  </si>
  <si>
    <t>P.Z. kosten</t>
  </si>
  <si>
    <t>Opleiding</t>
  </si>
  <si>
    <t>&lt; 50</t>
  </si>
  <si>
    <t>51 - 100</t>
  </si>
  <si>
    <t>Automatische koppeling naar specifieke contractblad(en)</t>
  </si>
  <si>
    <t>Machine investeringskosten</t>
  </si>
  <si>
    <t>Kosten bij koop per jaar</t>
  </si>
  <si>
    <t>Nat. feestdagen, kort verzuim, bijz. CAO</t>
  </si>
  <si>
    <t>Ziektedagen</t>
  </si>
  <si>
    <t>Vorstverlet</t>
  </si>
  <si>
    <t>Linoleum</t>
  </si>
  <si>
    <t>TOEZICHT-UREN ZATERDAG-ZONDAG</t>
  </si>
  <si>
    <t>Vloeren</t>
  </si>
  <si>
    <t>501-1.000 m2</t>
  </si>
  <si>
    <t>&gt; 1.000 m2</t>
  </si>
  <si>
    <t xml:space="preserve">Za/zo tussen 06.00 en 21.30 uur   </t>
  </si>
  <si>
    <t>Calculatie onderdeel</t>
  </si>
  <si>
    <t>Aantal uren per dag</t>
  </si>
  <si>
    <t>Machine investeringkosten</t>
  </si>
  <si>
    <t>Machine</t>
  </si>
  <si>
    <t>Handeling</t>
  </si>
  <si>
    <t>&lt; 100 m2</t>
  </si>
  <si>
    <t>Franchise OP-premie per uur</t>
  </si>
  <si>
    <t>Effectieve OP premie</t>
  </si>
  <si>
    <t>Catalogusprijs</t>
  </si>
  <si>
    <t>Perceel</t>
  </si>
  <si>
    <t>VSR CODE</t>
  </si>
  <si>
    <t>Alle prijzen exclusief btw</t>
  </si>
  <si>
    <t>Vitrage</t>
  </si>
  <si>
    <t>Nat. feestdagen, kort verzuim, bijz CAO</t>
  </si>
  <si>
    <t>Ruimtecategorie</t>
  </si>
  <si>
    <t xml:space="preserve">Verzekeringskosten per jaar </t>
  </si>
  <si>
    <t>FREQ. OMSCHRIJVING</t>
  </si>
  <si>
    <t>Percentage</t>
  </si>
  <si>
    <t>Pensioen overgangsregeling</t>
  </si>
  <si>
    <t>O.R.</t>
  </si>
  <si>
    <t>Kinderopvang</t>
  </si>
  <si>
    <t>werkgeversdeel</t>
  </si>
  <si>
    <t>SV uurloon inclusief toeslagen</t>
  </si>
  <si>
    <t>Schrobben</t>
  </si>
  <si>
    <t>Op het tabblad 1.4 Opbouw uurtarieven dient u uw gegevens in de blauwe invoervelden in te voeren.</t>
  </si>
  <si>
    <t>De ingevoerde kengetallen per schoonmaakprogramma code worden automatisch geplaatst in het tabblad 1.3-Basis ruimtestaat.</t>
  </si>
  <si>
    <t>Vertikale lamellen (kunststof/ aluminium)</t>
  </si>
  <si>
    <t xml:space="preserve">Sociale verzekeringen - Ouderdomspensioen (OP) </t>
  </si>
  <si>
    <t>Risico en winst</t>
  </si>
  <si>
    <t>: onderverdeling van de aanwezige ruimten in een object in een aantal categorieën</t>
  </si>
  <si>
    <t>M2 VLOER IO</t>
  </si>
  <si>
    <t>Investering machine kosten</t>
  </si>
  <si>
    <t>Gebouw/plaats</t>
  </si>
  <si>
    <t xml:space="preserve">Afschrijvingstermijn in jaren </t>
  </si>
  <si>
    <t>Reinigen Host/Chemdry-methode</t>
  </si>
  <si>
    <t>Prijs in €</t>
  </si>
  <si>
    <t>Zonwering</t>
  </si>
  <si>
    <t>per meter</t>
  </si>
  <si>
    <t>per m2</t>
  </si>
  <si>
    <t>Vertikale lamellen (textiel)</t>
  </si>
  <si>
    <t>Prijs in € per m2 in staffelvorm</t>
  </si>
  <si>
    <t>Op het tabblad 1.6 Afroepprijzen dient u uw gegevens in de blauwe invoervelden in te voeren.</t>
  </si>
  <si>
    <t>Managementkosten</t>
  </si>
  <si>
    <t>Kosten bij koop (excl. btw)</t>
  </si>
  <si>
    <t>Verrekend ja/nee</t>
  </si>
  <si>
    <t>Mutaties volgens blad 1.1c</t>
  </si>
  <si>
    <t>Naam leverancier</t>
  </si>
  <si>
    <t>Kengetallenoverzicht schoonmaakonderhoud</t>
  </si>
  <si>
    <t>Naam opdrachtgever</t>
  </si>
  <si>
    <t>Informatie</t>
  </si>
  <si>
    <t>Omschrijving opdracht</t>
  </si>
  <si>
    <t>WGA gedifferentieerde premie</t>
  </si>
  <si>
    <t xml:space="preserve">RAS-heffing </t>
  </si>
  <si>
    <t>De percentages van categorieën medewerkers, die u dient aan te geven, verrekenen automatisch het aantal uren.</t>
  </si>
  <si>
    <t>Totale kosten investering machines</t>
  </si>
  <si>
    <t>TOEZICHT-UREN FEESTDAG</t>
  </si>
  <si>
    <t>06:00-21:30 uur feestdag</t>
  </si>
  <si>
    <t>VSR-code</t>
  </si>
  <si>
    <t>Basisuurloon</t>
  </si>
  <si>
    <t>Opdrachtgever</t>
  </si>
  <si>
    <t>Materiaal/- en middelen</t>
  </si>
  <si>
    <t>Totaal directe kosten</t>
  </si>
  <si>
    <t>: omschrijving van het aantal keren dat een ruimte per jaar wordt schoongemaakt (zie onderstaande opgave)</t>
  </si>
  <si>
    <t xml:space="preserve">Ma/ vrij tussen 06.00 en 21.30 uur   </t>
  </si>
  <si>
    <t>VERHOUDING VLOEROPP.</t>
  </si>
  <si>
    <t>Totale kosten per jaar inclusief B.T.W.</t>
  </si>
  <si>
    <t>Ma/ vrij tussen 06.00 en 21.30 uur</t>
  </si>
  <si>
    <t>De totale investering van machinekosten wordt automatisch geplaatst in het tabblad 1.1-Contractblad.</t>
  </si>
  <si>
    <t>VLOER SOORT</t>
  </si>
  <si>
    <t>Contractblad jaarprijs schoonmaak</t>
  </si>
  <si>
    <t>Vloeropp niet in onderhoud</t>
  </si>
  <si>
    <t>Toezicht uren ma-vr</t>
  </si>
  <si>
    <t xml:space="preserve">Sociale verzekeringen </t>
  </si>
  <si>
    <t>Prijsvorming Perceel 1-2-3 Extra Vloerenonderhoud  (inclusief uit-/inruimen van het meubilair)</t>
  </si>
  <si>
    <t>Indirect toezicht</t>
  </si>
  <si>
    <t>101 - 250</t>
  </si>
  <si>
    <t>&gt; 251</t>
  </si>
  <si>
    <t>Netto aanschafprijs</t>
  </si>
  <si>
    <t xml:space="preserve"> </t>
  </si>
  <si>
    <t>Restwaarde</t>
  </si>
  <si>
    <t>INVESTERING MACHINEKOSTEN</t>
  </si>
  <si>
    <t>Inzet van het aantal machines [stuks]</t>
  </si>
  <si>
    <t>Premies Sociale Verzekeringen</t>
  </si>
  <si>
    <t>Op het tabblad 1.2-Kengetal dient u uw gegevens in de blauwe invoervelden in te voeren.</t>
  </si>
  <si>
    <t>Afschrijvingskosten per jaar</t>
  </si>
  <si>
    <t>Op het tabblad 1.7 Prijs-glasbewassing dient u uw gegevens in de blauwe invoervelden in te voeren.</t>
  </si>
  <si>
    <t>Totaal per jaar</t>
  </si>
  <si>
    <t>Prijs in € per stuk in staffelvorm</t>
  </si>
  <si>
    <t>Computer-</t>
  </si>
  <si>
    <t>Sprayen en opblokken</t>
  </si>
  <si>
    <t>Strippen en conserveren</t>
  </si>
  <si>
    <t>Kostprijs</t>
  </si>
  <si>
    <t>JAARPRIJS SCHOONMAAK</t>
  </si>
  <si>
    <t xml:space="preserve">: uren per vierkante meter per jaar </t>
  </si>
  <si>
    <t>GEBOUW</t>
  </si>
  <si>
    <t>Totaal indirecte kosten</t>
  </si>
  <si>
    <t>Op het tabblad 1.1-Contractblad dient u uw gegevens in de blauwe invoervelden in te voeren.</t>
  </si>
  <si>
    <t>Aantal uren per jaar</t>
  </si>
  <si>
    <t>Totaal eindtarief normale werktijden [06.00-21.30 uur]</t>
  </si>
  <si>
    <t>Categorie/medewerker</t>
  </si>
  <si>
    <t>Onderhoudskosten per jaar*</t>
  </si>
  <si>
    <t>SV-loon grondslag voor berekening sociale verzekeringen</t>
  </si>
  <si>
    <t xml:space="preserve">Opmerking: dit blad bevat automatische koppelingen. Na invulling van de invoervelden in het Kengetallenoverzicht behoeft de ruimtestaat niet meer te worden bewerkt. </t>
  </si>
  <si>
    <t>Kosten ziektedagen</t>
  </si>
  <si>
    <t>Reinigen, inclusief afhalen en ophangen</t>
  </si>
  <si>
    <t>Besteknummer</t>
  </si>
  <si>
    <t>Op het tabblad 1.1a-Jaarprijzen hoeft u niets in te vullen.</t>
  </si>
  <si>
    <t xml:space="preserve">06:00-21:30 uur maan-/vrijdag </t>
  </si>
  <si>
    <t>Toelichting kengetallenoverzicht:</t>
  </si>
  <si>
    <t>invoerveld</t>
  </si>
  <si>
    <t>tijdlk nvt</t>
  </si>
  <si>
    <t>: aantal schoon te maken m2 per uur</t>
  </si>
  <si>
    <t>Instructies voor het invullen van het calculatie model</t>
  </si>
  <si>
    <t>Medewerk(st)er algemeen schoonmaak onderhoud</t>
  </si>
  <si>
    <t>en randapparatuur</t>
  </si>
  <si>
    <t>RUIMTE OMSCHRIJVING (OPDRACHTGEVER)</t>
  </si>
  <si>
    <t>Bedrijfsgemiddelde</t>
  </si>
  <si>
    <t>Kosten afrondingsuren</t>
  </si>
  <si>
    <t>Eénmalige uitkering</t>
  </si>
  <si>
    <t>Indien u een wijziging wilt invoeren mbt een loongroep, wijzig de tekst boven de opbouw. De tekstwijziging wordt doorgevoerd in het jaarprijsblad.</t>
  </si>
  <si>
    <t>251-500 m2</t>
  </si>
  <si>
    <t>Toetsenbord</t>
  </si>
  <si>
    <t>Reinigen</t>
  </si>
  <si>
    <t>Beeldscherm</t>
  </si>
  <si>
    <t>RUIMTECATEGORIE</t>
  </si>
  <si>
    <t>Vloeropp in onderhoud</t>
  </si>
  <si>
    <t>Indexering</t>
  </si>
  <si>
    <t>invoerings datum</t>
  </si>
  <si>
    <t>percentage</t>
  </si>
  <si>
    <t>Mutatie in schoonmaakcontract volgens blad 1.1b Overzicht mutaties</t>
  </si>
  <si>
    <t>uren per jaar</t>
  </si>
  <si>
    <t>Factor</t>
  </si>
  <si>
    <t>VERSCHIL</t>
  </si>
  <si>
    <t>Aantal dagen per jaar</t>
  </si>
  <si>
    <t>BHV toeslag</t>
  </si>
  <si>
    <t>11.01 Werknemer algemeen schoonmaakonderhoud</t>
  </si>
  <si>
    <t xml:space="preserve">11.03 Werknemer algemeen schoonmaakonderhoud (sleutelpand) </t>
  </si>
  <si>
    <t>11.02 All-round werknemer algemeen schoonmaakonderhoud</t>
  </si>
  <si>
    <t xml:space="preserve">11.04 All-round werknemer algemeen schoonmaakonderhoud (sleutelpand) </t>
  </si>
  <si>
    <t>21.01 Objectleider (algemeen schoonmaakonderhoud)</t>
  </si>
  <si>
    <t>21.02 Ambulant objectleider (algemeen schoonmaakonderhoud)</t>
  </si>
  <si>
    <t>1+5%</t>
  </si>
  <si>
    <t>Loon groep</t>
  </si>
  <si>
    <t xml:space="preserve">Referentiefuncties in de schoonmaak- en glazenwassersbranche </t>
  </si>
  <si>
    <t>Dienstjaren</t>
  </si>
  <si>
    <t>0 t/m 7 jaar</t>
  </si>
  <si>
    <t>8 jaar en meer</t>
  </si>
  <si>
    <t>11.01 Werknemer algemeen schoonmaakonderhoud 17 jaar</t>
  </si>
  <si>
    <t>11.01 Werknemer algemeen schoonmaakonderhoud 18 jaar</t>
  </si>
  <si>
    <t>11.01 Werknemer algemeen schoonmaakonderhoud 19 jaar</t>
  </si>
  <si>
    <t>11.01 Werknemer algemeen schoonmaakonderhoud 20 jaar</t>
  </si>
  <si>
    <t>11.01 Werknemer algemeen schoonmaakonderhoud 21 jaar</t>
  </si>
  <si>
    <t>11.01 Werknemer meewerkend toezicht algemeen schoonmaakonderhoud 8 jaar en meer</t>
  </si>
  <si>
    <t xml:space="preserve">21.01 Objectleider (algemeen schoonmaakonderhoud) </t>
  </si>
  <si>
    <t>Transport</t>
  </si>
  <si>
    <t>ADDITIONELE PROJECTGEBONDEN SCHOONMAAKWERKZAAMHEDEN</t>
  </si>
  <si>
    <t>GLASBEWASSING</t>
  </si>
  <si>
    <t>TOTALEN</t>
  </si>
  <si>
    <t xml:space="preserve">Opbouw uurtarieven </t>
  </si>
  <si>
    <t>PER-CEEL</t>
  </si>
  <si>
    <t>hal</t>
  </si>
  <si>
    <t>Additionele kosten</t>
  </si>
  <si>
    <t>Totaal eindtarief weekenden [incl. 30% toeslag]</t>
  </si>
  <si>
    <t>11.01 Werknemer algemeen schoonmaakonderhoud 0 t/m 7 jaar</t>
  </si>
  <si>
    <t>11.01 Werknemer algemeen schoonmaakonderhoud 8 jaar en meer</t>
  </si>
  <si>
    <t>11.01 Werknemer niet meewerkend toezicht algemeen schoonmaakonderhoud 8 jaar en meer</t>
  </si>
  <si>
    <t>tarief per uur</t>
  </si>
  <si>
    <t>m2 Vloer IO</t>
  </si>
  <si>
    <t>m2 Vloer NIO</t>
  </si>
  <si>
    <t>: aantal m2 in onderhoud</t>
  </si>
  <si>
    <t>: aantal m2 niet in onderhoud</t>
  </si>
  <si>
    <t>Verhouding vloeropp.</t>
  </si>
  <si>
    <t>Bijzonde3rheden</t>
  </si>
  <si>
    <t>: Eventuele opmerkingen</t>
  </si>
  <si>
    <t>Calculatiemodule</t>
  </si>
  <si>
    <t>Schoonmaakonderhoud</t>
  </si>
  <si>
    <t>Volgorde van invoeren gegevens</t>
  </si>
  <si>
    <t>Op het tabblad 1.2-Kengetal dient u uw gegevens in de oranje omlijnde invoervelden in te voeren</t>
  </si>
  <si>
    <t>Op het tabblad 1.4 Premies en Opslagen dient u uw gegevens in de oranje omlijnde invoervelden in te voeren.</t>
  </si>
  <si>
    <t>Voer uitsluitend de oranje omlijnde invoervelden in (in een aantal beige gekleurde velden zijn koppelingen met oranje omlijnde velden). Het percentage van premies en sociale lasten en de reservering van niet werkbare dagen worden automatisch geplaatst in tabblad 1.4a Opbouw uurtarieven</t>
  </si>
  <si>
    <t>Koppelingveld</t>
  </si>
  <si>
    <t>Op het tabblad 1.4 Opbouw uurtarieven dient u uw gegevens in de oranje omlijnde invoervelden in te voeren.</t>
  </si>
  <si>
    <t>Voer uitsluitend de oranje omlijnde en de oranje gekleurde invoervelden in (in een aantal beige gekleurde velden zijn koppelingen met oranje omlijnde en oranje velden). Het samengestelde uurtarief wordt automatisch geplaatst in de tabbladen 1.0-Contractblad en 1.1-Jaarprijzen.</t>
  </si>
  <si>
    <t>Op het tabblad 1.0-Contractbladbdient u uw gegevens m.b.t. Categorie medewerker/ster te selecteren en de oranje omlijnde invoervelden in te voeren.</t>
  </si>
  <si>
    <t>Selecteer als eerste aan de linkerzijde een wite cel, selecteer de pijl         en kies uw keuze van medewerker/ster uit het overzicht. De desbetreffende gegevens worden automatisch ingevoerd.</t>
  </si>
  <si>
    <t>Voor een test, selecteer de cel hieronder</t>
  </si>
  <si>
    <r>
      <t xml:space="preserve">Na invoering van de categorie medewerkers uitvoerend en toezicht voert u het % per categorie medewerker in. Nu worden de gecalculeerde productie-uren vanuit tabblad 1.3 Basis ruimtestaat automatisch ingevoerd. De percentages van categorieën uitvoerende medewerkers verrekenen automatisch het aantal uren. </t>
    </r>
    <r>
      <rPr>
        <i/>
        <sz val="10"/>
        <color indexed="10"/>
        <rFont val="Verdana"/>
        <family val="2"/>
      </rPr>
      <t>Let op het totale percentage dient 100% te bedragen!</t>
    </r>
  </si>
  <si>
    <t>Voor het toezicht dient u de percentages aan te geven, de uren worden vervolgens automatisch berekend.</t>
  </si>
  <si>
    <t>Op het tabblad 1.5 Machine-investering dient u uw gegevens in de oranje omlijnde invoervelden in te voeren.</t>
  </si>
  <si>
    <t>Dit tabblad is niet van toepassing</t>
  </si>
  <si>
    <t>n.v.t.</t>
  </si>
  <si>
    <t>Op het tabblad 1.6  Afroepprijs dient u uw gegevens in de oranje omlijnde invoervelden in te voeren.</t>
  </si>
  <si>
    <t>Een aantal onderdelen worden automatisch geplaatst in de tabbladen 1.1a t/m 1.1h-Contractblad.</t>
  </si>
  <si>
    <t>Op het tabblad 1.7-Glasbewassing dient u uw gegevens in de oranje omlijnde invoervelden in te voeren.</t>
  </si>
  <si>
    <r>
      <t>De totale investering van machinekosten wordt, na het invoeren van de percentages per locatie, automatisch geplaatst in de tabblad 1.0-Contractblad.</t>
    </r>
    <r>
      <rPr>
        <i/>
        <sz val="10"/>
        <color indexed="10"/>
        <rFont val="Verdana"/>
        <family val="2"/>
      </rPr>
      <t xml:space="preserve"> Let op het totale percentage dient 100% te bedragen!</t>
    </r>
  </si>
  <si>
    <t>De investeringskosten per locatie worden automatisch geplaatst in tabblad 1.1a-Jaarprijzen.</t>
  </si>
  <si>
    <t>: percentage vloeroppervlakte per ruimtecategorie t.o.v. totale vloeroppervlakte</t>
  </si>
  <si>
    <t>berging</t>
  </si>
  <si>
    <t>keuken</t>
  </si>
  <si>
    <t>werkkast</t>
  </si>
  <si>
    <t>gang</t>
  </si>
  <si>
    <t>speellokaal</t>
  </si>
  <si>
    <t>personeelsruimte</t>
  </si>
  <si>
    <t>bibliotheek</t>
  </si>
  <si>
    <t>aula</t>
  </si>
  <si>
    <t>spreekkamer</t>
  </si>
  <si>
    <t>S</t>
  </si>
  <si>
    <t>L</t>
  </si>
  <si>
    <t>leslokaal</t>
  </si>
  <si>
    <t>pantry</t>
  </si>
  <si>
    <t>toilet</t>
  </si>
  <si>
    <t>PROGR. CODE MA-VR Regulier</t>
  </si>
  <si>
    <t>KENGETAL Periodiek</t>
  </si>
  <si>
    <t>KENGETAL MA-VR Regulier</t>
  </si>
  <si>
    <t>UREN P/JR Periodiek</t>
  </si>
  <si>
    <t>1.</t>
  </si>
  <si>
    <t>2.</t>
  </si>
  <si>
    <t>3.</t>
  </si>
  <si>
    <t>Productie uren ma-vr regulier</t>
  </si>
  <si>
    <t>Productie uren Periodiek</t>
  </si>
  <si>
    <t>Frequentie</t>
  </si>
  <si>
    <t>Prijsvorming Glasbewassing</t>
  </si>
  <si>
    <t>TOTAAL</t>
  </si>
  <si>
    <t>Totaal oppervlakte binnen-/ buiten-/ en separatieglas</t>
  </si>
  <si>
    <t>m2</t>
  </si>
  <si>
    <t>a</t>
  </si>
  <si>
    <t>b</t>
  </si>
  <si>
    <t>s</t>
  </si>
  <si>
    <t>t</t>
  </si>
  <si>
    <t>Calculatiecode</t>
  </si>
  <si>
    <t>Code opleverstaat</t>
  </si>
  <si>
    <t>Overal waar in Calculatiemodel 2700-35-2011 een oranje omlijnd/gekleurd invoerveld aanwezig is, dient een getal (niet zijnde nul (0)) te worden ingevuld. Indien er geen getal door Inschrijver wordt ingevuld of een getal dat redelijkerwijs niet in verband te brengen is met het gespecificeerde uurloon (Tabbladen 1.4 en 1.5, zal de Inschrijving als abnormaal lage aanbieding worden gezien. Als gevolg daarvan kan de inschrijving terzijde worden gelegd. Alle in te vullen tarieven dienen te herleidbaar te zijn.</t>
  </si>
  <si>
    <t>Overname kosten volgens Bijlage 4. overname personeel</t>
  </si>
  <si>
    <t>Binnen-/ buitenzijde en tweezijdig separatieglas</t>
  </si>
  <si>
    <t>Stichting CPOW</t>
  </si>
  <si>
    <t>Primair onderwijs Purmerend e.o.</t>
  </si>
  <si>
    <t>BG</t>
  </si>
  <si>
    <t>E.001</t>
  </si>
  <si>
    <t>entrée</t>
  </si>
  <si>
    <t>E.002</t>
  </si>
  <si>
    <t>G.001</t>
  </si>
  <si>
    <t>L.001</t>
  </si>
  <si>
    <t>L.002</t>
  </si>
  <si>
    <t>L.003</t>
  </si>
  <si>
    <t>L.004</t>
  </si>
  <si>
    <t>O.001</t>
  </si>
  <si>
    <t>O.002</t>
  </si>
  <si>
    <t>O.003</t>
  </si>
  <si>
    <t>meterkast</t>
  </si>
  <si>
    <t>O.004</t>
  </si>
  <si>
    <t>O.006</t>
  </si>
  <si>
    <t>O.013</t>
  </si>
  <si>
    <t>O.014</t>
  </si>
  <si>
    <t>P.001</t>
  </si>
  <si>
    <t>kantoor</t>
  </si>
  <si>
    <t>T.001</t>
  </si>
  <si>
    <t>G.002</t>
  </si>
  <si>
    <t>L.005</t>
  </si>
  <si>
    <t>L.006</t>
  </si>
  <si>
    <t>L.007</t>
  </si>
  <si>
    <t>L.008</t>
  </si>
  <si>
    <t>O.005</t>
  </si>
  <si>
    <t>O.008</t>
  </si>
  <si>
    <t>T.002</t>
  </si>
  <si>
    <t>lift</t>
  </si>
  <si>
    <t>trappenhuis</t>
  </si>
  <si>
    <t>directiekamer</t>
  </si>
  <si>
    <t>L.009</t>
  </si>
  <si>
    <t>L.010</t>
  </si>
  <si>
    <t>L.011</t>
  </si>
  <si>
    <t>S.001</t>
  </si>
  <si>
    <t>T.003</t>
  </si>
  <si>
    <t>4 toiletten</t>
  </si>
  <si>
    <t>T.004</t>
  </si>
  <si>
    <t>P.002</t>
  </si>
  <si>
    <t>P.003</t>
  </si>
  <si>
    <t>O.010</t>
  </si>
  <si>
    <t>techniek</t>
  </si>
  <si>
    <t>A.001</t>
  </si>
  <si>
    <t>O.007</t>
  </si>
  <si>
    <t>O.009</t>
  </si>
  <si>
    <t>S.002</t>
  </si>
  <si>
    <t>G.003</t>
  </si>
  <si>
    <t>miva toilet</t>
  </si>
  <si>
    <t>T.005</t>
  </si>
  <si>
    <t>P.004</t>
  </si>
  <si>
    <t>P.005</t>
  </si>
  <si>
    <t>toestelberging</t>
  </si>
  <si>
    <t>H.001</t>
  </si>
  <si>
    <t>A.002</t>
  </si>
  <si>
    <t>handvaardigheid</t>
  </si>
  <si>
    <t>tapijt</t>
  </si>
  <si>
    <t>administratieve -, personeels- en vergaderruimte</t>
  </si>
  <si>
    <t>5 x per week - 40 weken</t>
  </si>
  <si>
    <t>1 x per week - 40 weken</t>
  </si>
  <si>
    <t>5 x per week - 51 weken</t>
  </si>
  <si>
    <t>sanitaire ruimte (toilet-/doucheruimte)</t>
  </si>
  <si>
    <t>pantry, keuken</t>
  </si>
  <si>
    <t>speellokaal (peuterspeelzaal incl speelhuisje)</t>
  </si>
  <si>
    <t>speellokaal (peuterspeelzaal)</t>
  </si>
  <si>
    <t>niet van toepassing</t>
  </si>
  <si>
    <t>tijdelijk niet van toepassing</t>
  </si>
  <si>
    <t>Kosten ziekteverzuim</t>
  </si>
  <si>
    <t>11.02 Werknemer meewerkend toezicht algemeen schoonmaakonderhoud</t>
  </si>
  <si>
    <t>11.02 Werknemer niet meewerkend toezicht algemeen schoonmaakonderhoud</t>
  </si>
  <si>
    <t>11.01 Werknemer algemeen schoonmaakonderhoud 19 jaar 0 t/m 7 jaar</t>
  </si>
  <si>
    <t>11.02 Werknemer niet meewerkend toezicht algemeen schoonmaakonderhoud 8 jaar en meer</t>
  </si>
  <si>
    <t>CPOW</t>
  </si>
  <si>
    <t>Oppervlakte (separatieglas dubbellvoudig gemeten)</t>
  </si>
  <si>
    <t>Prijzen p/m2 (separatieglas dubbelvoudig gemeten)</t>
  </si>
  <si>
    <t>m2 buitenglas</t>
  </si>
  <si>
    <t>m2 binneglas</t>
  </si>
  <si>
    <t>m2 separatie glas</t>
  </si>
  <si>
    <t>Productienorm m2/p uur buitenglas</t>
  </si>
  <si>
    <t>Productienorm m2/p uur binnenglas</t>
  </si>
  <si>
    <t>Productienorm m2/p uur separatieglasglas</t>
  </si>
  <si>
    <t>uren per wasbeurt buitenglas</t>
  </si>
  <si>
    <t>uren per wasbeurt binnenglas</t>
  </si>
  <si>
    <t>uren per wasbeurt separatieglas</t>
  </si>
  <si>
    <t>Tarief p/uur</t>
  </si>
  <si>
    <t xml:space="preserve"> € per m2 buitenglas</t>
  </si>
  <si>
    <t>€ per m2 binnenglas</t>
  </si>
  <si>
    <t>€ per m2 separatieglas</t>
  </si>
  <si>
    <t>Inzet arbeids middelen</t>
  </si>
  <si>
    <t>Het separatieglas is dubelzijdig gemeten, prijs dient voor enkelzijdig wassen te worden ingevoerd</t>
  </si>
  <si>
    <t>Regio</t>
  </si>
  <si>
    <t>Bedrag per beurt</t>
  </si>
  <si>
    <t>Inzet arbeidsmiddel (omschijving)</t>
  </si>
  <si>
    <t>Purmerend</t>
  </si>
  <si>
    <t>Productkeuze:</t>
  </si>
  <si>
    <t>Neutraal reinigingsmiddel, pH-7, het product mag niet schadelijk zijn voor het afwerkmateriaal, geen corroderende werking hebben en mag geen schuurmiddel of etsende stoffen bevatten.</t>
  </si>
  <si>
    <t>Het product is vrij van zure en alkalische bestanddelen, waardoor er geen enkel gevaar is voor aantasting van metaal, lak, rubber enz.</t>
  </si>
  <si>
    <t>Handeling:</t>
  </si>
  <si>
    <t>Inzetten van de beglazing met water en een reinigingsmiddel met behulp van schapenvacht en/of spons</t>
  </si>
  <si>
    <t>Omlijstingen en raam- en kozijnprofielen met spons afnemen.</t>
  </si>
  <si>
    <t>Droogtrekken van het glas en kozijnen zodat er geen resten van het reinigingsmiddel met de opgenomen vervuiling achterblijven.</t>
  </si>
  <si>
    <t>12.01A Glazenwasser A</t>
  </si>
  <si>
    <t>12.01B Glazenwasser B</t>
  </si>
  <si>
    <t>12.03 Allround glazenwasser</t>
  </si>
  <si>
    <t>12.01A Glazenwasser A 8 jaar en meer</t>
  </si>
  <si>
    <t>12.03 Allround glazenwasser 0 t/m 7 jaar</t>
  </si>
  <si>
    <t>INZET ARBEIDSMIDDELEN</t>
  </si>
  <si>
    <t>Volgens specificatie blad 1.9-Glasbewassing</t>
  </si>
  <si>
    <t>Aantal uren gemiddeld per wasbeurt</t>
  </si>
  <si>
    <t>&amp;</t>
  </si>
  <si>
    <t>Mutatie nummer</t>
  </si>
  <si>
    <t>Mutatie datum</t>
  </si>
  <si>
    <t>Premies en opslagen voor schoonmaak</t>
  </si>
  <si>
    <t>Vervallen</t>
  </si>
  <si>
    <t>Vervallen (mutatie)</t>
  </si>
  <si>
    <t>Overzicht Mutaties</t>
  </si>
  <si>
    <t>WAO/WIA basispremie (Aof)</t>
  </si>
  <si>
    <t>WW-premie</t>
  </si>
  <si>
    <t>OP/NP pensioen</t>
  </si>
  <si>
    <t>5 x per jaar</t>
  </si>
  <si>
    <t>4 x per week - 40 weken</t>
  </si>
  <si>
    <t>speellokaal (berging)</t>
  </si>
  <si>
    <t>[Waarvan WGA-vast]</t>
  </si>
  <si>
    <t>[Waarvan WGA-flex]</t>
  </si>
  <si>
    <t>[Waarvan ZW-flex]</t>
  </si>
  <si>
    <t>Totaal</t>
  </si>
  <si>
    <t>Kleine werkgever</t>
  </si>
  <si>
    <t>Middelgrote werkgever</t>
  </si>
  <si>
    <t>Grote werkgever</t>
  </si>
  <si>
    <t>[NAAM LEVERANCIER]</t>
  </si>
  <si>
    <t>0302-52-2015 V1</t>
  </si>
  <si>
    <t>Gasinjetstraat 1-3</t>
  </si>
  <si>
    <t>repro</t>
  </si>
  <si>
    <t>rt/ib</t>
  </si>
  <si>
    <t>O.011</t>
  </si>
  <si>
    <t>O.012</t>
  </si>
  <si>
    <t>T.006</t>
  </si>
  <si>
    <t>T.007</t>
  </si>
  <si>
    <t>wasmachine</t>
  </si>
  <si>
    <t>T.008</t>
  </si>
  <si>
    <t>G.004</t>
  </si>
  <si>
    <t>magazijn</t>
  </si>
  <si>
    <t>leslokaal onderbouw</t>
  </si>
  <si>
    <t>T.009</t>
  </si>
  <si>
    <t>O.015</t>
  </si>
  <si>
    <t>O.01</t>
  </si>
  <si>
    <t>lino</t>
  </si>
  <si>
    <t>S.01</t>
  </si>
  <si>
    <t>T.01</t>
  </si>
  <si>
    <t>T.02</t>
  </si>
  <si>
    <t>T.03</t>
  </si>
  <si>
    <t>T.04</t>
  </si>
  <si>
    <t>T.05</t>
  </si>
  <si>
    <t>T.06</t>
  </si>
  <si>
    <t>T.07</t>
  </si>
  <si>
    <t>T.08</t>
  </si>
  <si>
    <t>T.09</t>
  </si>
  <si>
    <t>T.10</t>
  </si>
  <si>
    <t>G.005</t>
  </si>
  <si>
    <t>3 toiletten</t>
  </si>
  <si>
    <t>P.006</t>
  </si>
  <si>
    <t>P.007</t>
  </si>
  <si>
    <t>O.019</t>
  </si>
  <si>
    <t>L.014</t>
  </si>
  <si>
    <t>L.015</t>
  </si>
  <si>
    <t>E.004</t>
  </si>
  <si>
    <t>O.016</t>
  </si>
  <si>
    <t>O.020</t>
  </si>
  <si>
    <t>O.017</t>
  </si>
  <si>
    <t>O.018</t>
  </si>
  <si>
    <t>cv ruimte</t>
  </si>
  <si>
    <t>2 toiletten</t>
  </si>
  <si>
    <t>lerarenkamer</t>
  </si>
  <si>
    <t>server</t>
  </si>
  <si>
    <t>was/droog ruimte</t>
  </si>
  <si>
    <t>doka</t>
  </si>
  <si>
    <t>O.13</t>
  </si>
  <si>
    <t>O.026</t>
  </si>
  <si>
    <t>l.009</t>
  </si>
  <si>
    <t>l.010</t>
  </si>
  <si>
    <t>l.011</t>
  </si>
  <si>
    <t>l.012</t>
  </si>
  <si>
    <t>l.013</t>
  </si>
  <si>
    <t>l.014</t>
  </si>
  <si>
    <t>l.015</t>
  </si>
  <si>
    <t>l.016</t>
  </si>
  <si>
    <t>s.01</t>
  </si>
  <si>
    <t>h.001</t>
  </si>
  <si>
    <t>e.003</t>
  </si>
  <si>
    <t>e.004</t>
  </si>
  <si>
    <t>g.005</t>
  </si>
  <si>
    <t>g.006</t>
  </si>
  <si>
    <t>g.007</t>
  </si>
  <si>
    <t>a.002</t>
  </si>
  <si>
    <t>t.009</t>
  </si>
  <si>
    <t>1 toilet</t>
  </si>
  <si>
    <t>t.010</t>
  </si>
  <si>
    <t>t.011</t>
  </si>
  <si>
    <t>t.012</t>
  </si>
  <si>
    <t>t.013</t>
  </si>
  <si>
    <t>t.014</t>
  </si>
  <si>
    <t>t.015</t>
  </si>
  <si>
    <t>t.016</t>
  </si>
  <si>
    <t>p.006</t>
  </si>
  <si>
    <t>p.007</t>
  </si>
  <si>
    <t>p.008</t>
  </si>
  <si>
    <t>p.009</t>
  </si>
  <si>
    <t>o.01</t>
  </si>
  <si>
    <t>o.017</t>
  </si>
  <si>
    <t>o.021</t>
  </si>
  <si>
    <t>o.023</t>
  </si>
  <si>
    <t>kleedruimte</t>
  </si>
  <si>
    <t>o.024</t>
  </si>
  <si>
    <t>o.015</t>
  </si>
  <si>
    <t>o.016</t>
  </si>
  <si>
    <t>o.018</t>
  </si>
  <si>
    <t>o.019</t>
  </si>
  <si>
    <t>o.020</t>
  </si>
  <si>
    <t>o.022</t>
  </si>
  <si>
    <t>o.025</t>
  </si>
  <si>
    <t>o.026</t>
  </si>
  <si>
    <t>o.027</t>
  </si>
  <si>
    <t>o.028</t>
  </si>
  <si>
    <t>Stellingmolen 19-21</t>
  </si>
  <si>
    <t>E.003</t>
  </si>
  <si>
    <t>Ha.001</t>
  </si>
  <si>
    <t>Ha.002</t>
  </si>
  <si>
    <t>K.001</t>
  </si>
  <si>
    <t>L.012</t>
  </si>
  <si>
    <t>L.013</t>
  </si>
  <si>
    <t>S.02</t>
  </si>
  <si>
    <t>T.11</t>
  </si>
  <si>
    <t>T.12</t>
  </si>
  <si>
    <t>T.13</t>
  </si>
  <si>
    <t>B.001</t>
  </si>
  <si>
    <t>B.002</t>
  </si>
  <si>
    <t>Karekietpark 28</t>
  </si>
  <si>
    <t>L.016</t>
  </si>
  <si>
    <t>L.017</t>
  </si>
  <si>
    <t>L.019</t>
  </si>
  <si>
    <t>L.020</t>
  </si>
  <si>
    <t>G.006</t>
  </si>
  <si>
    <t>G.007</t>
  </si>
  <si>
    <t>G.008</t>
  </si>
  <si>
    <t>G.009</t>
  </si>
  <si>
    <t>T.010</t>
  </si>
  <si>
    <t>T.011</t>
  </si>
  <si>
    <t>T.012</t>
  </si>
  <si>
    <t>T.013</t>
  </si>
  <si>
    <t>T.014</t>
  </si>
  <si>
    <t>T.016</t>
  </si>
  <si>
    <t>douche</t>
  </si>
  <si>
    <t>D.001</t>
  </si>
  <si>
    <t>T.017</t>
  </si>
  <si>
    <t>P.008</t>
  </si>
  <si>
    <t>congiërge/repro</t>
  </si>
  <si>
    <t>netwerkruimte</t>
  </si>
  <si>
    <t>Totaal uren per jaar</t>
  </si>
  <si>
    <t>Perentage inzet per locatieo.b.v. verhouding inzewt productie-uren</t>
  </si>
  <si>
    <t>Bedrag reservering per jaar/locatie</t>
  </si>
  <si>
    <t>Totaal uren per jaar per locatie</t>
  </si>
  <si>
    <t>Purmerend Weidevenne</t>
  </si>
  <si>
    <t>Landsmeer</t>
  </si>
  <si>
    <t>Purmerend de Gors</t>
  </si>
  <si>
    <t>Monnickendam</t>
  </si>
  <si>
    <t>Purmerend Zuid</t>
  </si>
  <si>
    <t>Purmerend centrum</t>
  </si>
  <si>
    <t>Purmerend Noord</t>
  </si>
  <si>
    <t>Edam</t>
  </si>
  <si>
    <t>Marken</t>
  </si>
  <si>
    <t>11.02 Werknemer meewerkend toezicht algemeen schoonmaakonderhoud 8 jaar en meer</t>
  </si>
  <si>
    <t>21.02 Ambulant objectleider (algemeen schoonmaakonderhoud) 8 jaar en meer</t>
  </si>
  <si>
    <t>: afkortingen voor ruimtecategorieën bij toepassing van VSR-kwaliteitsmetingen V=verkeersruimten, S=Sanitaire ruimten en L=Leslokalen</t>
  </si>
  <si>
    <t>Gemiddelde uren per dag</t>
  </si>
  <si>
    <t xml:space="preserve">Categorie werkgever: </t>
  </si>
  <si>
    <t>Aantallen</t>
  </si>
  <si>
    <t>Totaal SV-loon grondslag voor berekening sociale verzekeringen</t>
  </si>
  <si>
    <t>Totaal aantal gevulde cellen</t>
  </si>
  <si>
    <t>Gemiddelde is gekoppeld aan cel D40 tabblad 1.4</t>
  </si>
  <si>
    <t>Naam onderwijslocatie</t>
  </si>
  <si>
    <t>Plaats</t>
  </si>
  <si>
    <t xml:space="preserve">OCBS = Oecumenische Basisschool </t>
  </si>
  <si>
    <t>OCBS de Trimaran</t>
  </si>
  <si>
    <t>OCBS Klimop</t>
  </si>
  <si>
    <t>OCBS het Prisma</t>
  </si>
  <si>
    <t>Hoefsmidhof 1-4</t>
  </si>
  <si>
    <t>PCB   = Protestant Christelijke Basisschool</t>
  </si>
  <si>
    <t>M2 glas binnen- en buitenzijde</t>
  </si>
  <si>
    <t>aula, gemeenschappelijke ruimte, bibliotheek</t>
  </si>
  <si>
    <t>ib ruimte</t>
  </si>
  <si>
    <t>speelzaal</t>
  </si>
  <si>
    <t>berging speelzaal</t>
  </si>
  <si>
    <t/>
  </si>
  <si>
    <t>steen</t>
  </si>
  <si>
    <t>descol</t>
  </si>
  <si>
    <t>coral</t>
  </si>
  <si>
    <t>sure step</t>
  </si>
  <si>
    <t>topshield</t>
  </si>
  <si>
    <t>gietvloer</t>
  </si>
  <si>
    <t>Glas bin/buit/sep</t>
  </si>
  <si>
    <t>computerlokaal</t>
  </si>
  <si>
    <t>K.002</t>
  </si>
  <si>
    <t>Kosten per jaar buitenglas</t>
  </si>
  <si>
    <t>Kosten per jaar binnenglas</t>
  </si>
  <si>
    <t>Kosten per jaar separatie-glas</t>
  </si>
  <si>
    <t>SMO 2016</t>
  </si>
  <si>
    <t>GLAS 2016</t>
  </si>
  <si>
    <t>Versie</t>
  </si>
  <si>
    <t>entree, gang, hal, repro, kopieer</t>
  </si>
  <si>
    <t>Tabblad: Voorblad</t>
  </si>
  <si>
    <t>Tabblad: 1.2-Kengetal</t>
  </si>
  <si>
    <t>Vul de naam van uw organisatie in bij: "NAAM LEVERANCIER"</t>
  </si>
  <si>
    <t xml:space="preserve">STAP 1: Voer in de witte cellen de gevraagde kengetallen in </t>
  </si>
  <si>
    <t>Tabblad: 1.3-Basis ruimtestaat</t>
  </si>
  <si>
    <t xml:space="preserve">STAP 2: De ingevoerde kengetallen worden automatisch geplaatst in de ruimtestaat. Het aantal productie-uren per jaar wordt op ruimteniveau weergegeven. De mogelijkheid is aanwezig om op ruimteniveau een factor toe te passen </t>
  </si>
  <si>
    <t>Tabblad: 1.4-Premies en opslagen</t>
  </si>
  <si>
    <t>STAP 4: Voer in de witte cellen de gevraagde informatie in. Let op: in gekleurde cellen zijn formules of koppelingen aanwezig, deze mogen niet worden verwijderd of aangepast.</t>
  </si>
  <si>
    <t>STAP 3: Voer in de witte cellen de gevraagde informatie in. Let op: in gekleurde cellen zijn formules of koppelingen aanwezig, deze mogen niet worden verwijderd of aangepast.</t>
  </si>
  <si>
    <t>Tabblad: 1.6-Machine-investeringskosten</t>
  </si>
  <si>
    <t>Tabblad: 1.7-Afroep prijzen</t>
  </si>
  <si>
    <t>STAP 5: Voer in de witte cellen de gevraagde informatie in. Let op: in gekleurde cellen zijn formules of koppelingen aanwezig, deze mogen niet worden verwijderd of aangepast.</t>
  </si>
  <si>
    <t>STAP 6: Voer in de witte cellen de gevraagde informatie in.</t>
  </si>
  <si>
    <t>Tabblad: 1.5-Opbouw uurtarieven</t>
  </si>
  <si>
    <t>Tabblad: 1.8-Glasbewassing</t>
  </si>
  <si>
    <t>STAP 7: Voer in de witte cellen de gevraagde informatie in. Let op: in gekleurde cellen zijn formules of koppelingen aanwezig, deze mogen niet worden verwijderd of aangepast.</t>
  </si>
  <si>
    <t>Tabblad: 1.0-Contractblad</t>
  </si>
  <si>
    <t>STAP 8: Selecteer in de linker omlijnde cellen een loongroep medewerker. Het uurtarief wordt automatisch geplaats. Vul het percentage in van het aantal in te zetten uren en het jaarbedrag wordt gecalculeerd.</t>
  </si>
  <si>
    <t>In het contractblad wordt automatisch het aantal m2 glas weergegeven.</t>
  </si>
  <si>
    <t>In het tabblad 1.1a-Jaarprijzen wordt een totaal overzicht per locatie</t>
  </si>
  <si>
    <t>weergegeven. Hier behoeft niets te worden ingevoerd.</t>
  </si>
  <si>
    <t>Het tabblad 1.3a-Mutaties is niet van toepassing</t>
  </si>
  <si>
    <t>Schoonmaak</t>
  </si>
  <si>
    <t>Perceel 1</t>
  </si>
  <si>
    <t>OCBS de Toermalijn</t>
  </si>
  <si>
    <t>= invoervelden</t>
  </si>
</sst>
</file>

<file path=xl/styles.xml><?xml version="1.0" encoding="utf-8"?>
<styleSheet xmlns="http://schemas.openxmlformats.org/spreadsheetml/2006/main" xmlns:mc="http://schemas.openxmlformats.org/markup-compatibility/2006" xmlns:x14ac="http://schemas.microsoft.com/office/spreadsheetml/2009/9/ac" mc:Ignorable="x14ac">
  <numFmts count="32">
    <numFmt numFmtId="41" formatCode="_-* #,##0_-;_-* #,##0\-;_-* &quot;-&quot;_-;_-@_-"/>
    <numFmt numFmtId="43" formatCode="_-* #,##0.00_-;_-* #,##0.00\-;_-* &quot;-&quot;??_-;_-@_-"/>
    <numFmt numFmtId="164" formatCode="_(&quot;€&quot;* #,##0.00_);_(&quot;€&quot;* \(#,##0.00\);_(&quot;€&quot;* &quot;-&quot;??_);_(@_)"/>
    <numFmt numFmtId="165" formatCode="_(* #,##0.00_);_(* \(#,##0.00\);_(* &quot;-&quot;??_);_(@_)"/>
    <numFmt numFmtId="166" formatCode="_(&quot;ƒ&quot;* #,##0.00_);_(&quot;ƒ&quot;* \(#,##0.00\);_(&quot;ƒ&quot;* &quot;-&quot;??_);_(@_)"/>
    <numFmt numFmtId="167" formatCode="_-* #,##0.00_-;\-* #,##0.00_-;_-* &quot;-&quot;??_-;_-@_-"/>
    <numFmt numFmtId="168" formatCode="&quot;Fl.&quot;#,##0;\-&quot;Fl.&quot;#,##0"/>
    <numFmt numFmtId="169" formatCode="&quot;Fl.&quot;#,##0;[Red]\-&quot;Fl.&quot;#,##0"/>
    <numFmt numFmtId="170" formatCode="_-&quot;ƒ&quot;\ * #,##0.00_-;_-&quot;ƒ&quot;\ * #,##0.00\-;_-&quot;ƒ&quot;\ * &quot;-&quot;??_-;_-@_-"/>
    <numFmt numFmtId="171" formatCode="0_)"/>
    <numFmt numFmtId="172" formatCode="General_)"/>
    <numFmt numFmtId="173" formatCode="0.00_)"/>
    <numFmt numFmtId="174" formatCode="0.000"/>
    <numFmt numFmtId="175" formatCode="_-* #,##0_-;_-* #,##0\-;_-* &quot;-&quot;??_-;_-@_-"/>
    <numFmt numFmtId="176" formatCode="00,000"/>
    <numFmt numFmtId="177" formatCode="0.0%"/>
    <numFmt numFmtId="178" formatCode="0.0"/>
    <numFmt numFmtId="179" formatCode="#,##0.0"/>
    <numFmt numFmtId="180" formatCode="_-* #,##0.000_-;_-* #,##0.000\-;_-* &quot;-&quot;??_-;_-@_-"/>
    <numFmt numFmtId="181" formatCode="0.000%"/>
    <numFmt numFmtId="182" formatCode="_-[$€-2]\ * #,##0.00_ ;_-[$€-2]\ * \-#,##0.00\ ;_-[$€-2]\ * &quot;-&quot;??_ ;_-@_ "/>
    <numFmt numFmtId="183" formatCode="_([$€-2]\ * #,##0.00_);_([$€-2]\ * \(#,##0.00\);_([$€-2]\ * &quot;-&quot;??_);_(@_)"/>
    <numFmt numFmtId="184" formatCode="#,000"/>
    <numFmt numFmtId="185" formatCode="_-[$€-2]\ * #,##0.00_-;_-[$€-2]\ * #,##0.00\-;_-[$€-2]\ * &quot;-&quot;??_-;_-@_-"/>
    <numFmt numFmtId="186" formatCode="mm/dd/yyyy"/>
    <numFmt numFmtId="187" formatCode="[$-413]d\-mmm\-yy;@"/>
    <numFmt numFmtId="188" formatCode="0.0000000%"/>
    <numFmt numFmtId="189" formatCode="0\ &quot;x per jaar&quot;"/>
    <numFmt numFmtId="190" formatCode="_-[$€-413]\ * #,##0.00_-;_-[$€-413]\ * #,##0.00\-;_-[$€-413]\ * &quot;-&quot;??_-;_-@_-"/>
    <numFmt numFmtId="191" formatCode="[$-413]d/mmm/yy;@"/>
    <numFmt numFmtId="192" formatCode="_(* #,##0.00000_);_(* \(#,##0.00000\);_(* &quot;-&quot;??_);_(@_)"/>
    <numFmt numFmtId="193" formatCode="dd/mmmm/yyyy"/>
  </numFmts>
  <fonts count="86" x14ac:knownFonts="1">
    <font>
      <sz val="10"/>
      <name val="MS Sans Serif"/>
    </font>
    <font>
      <sz val="10"/>
      <color theme="1"/>
      <name val="Verdana"/>
      <family val="2"/>
    </font>
    <font>
      <b/>
      <sz val="10"/>
      <name val="MS Sans Serif"/>
    </font>
    <font>
      <sz val="10"/>
      <name val="MS Sans Serif"/>
    </font>
    <font>
      <sz val="10"/>
      <name val="Helvetica"/>
    </font>
    <font>
      <sz val="10"/>
      <name val="Times"/>
    </font>
    <font>
      <sz val="10"/>
      <name val="Arial"/>
    </font>
    <font>
      <sz val="10"/>
      <name val="Courier"/>
      <family val="3"/>
    </font>
    <font>
      <sz val="8"/>
      <name val="Helvetica"/>
    </font>
    <font>
      <sz val="8"/>
      <name val="MS Sans Serif"/>
      <family val="2"/>
    </font>
    <font>
      <sz val="9"/>
      <name val="Geneva"/>
    </font>
    <font>
      <sz val="12"/>
      <name val="Times"/>
      <family val="1"/>
    </font>
    <font>
      <sz val="8"/>
      <name val="Geneva"/>
    </font>
    <font>
      <sz val="10"/>
      <name val="Verdana"/>
    </font>
    <font>
      <b/>
      <sz val="10"/>
      <name val="Verdana"/>
    </font>
    <font>
      <sz val="10"/>
      <color indexed="10"/>
      <name val="Verdana"/>
    </font>
    <font>
      <sz val="10"/>
      <color indexed="8"/>
      <name val="Verdana"/>
      <family val="2"/>
    </font>
    <font>
      <b/>
      <sz val="10"/>
      <color indexed="18"/>
      <name val="Verdana"/>
      <family val="2"/>
    </font>
    <font>
      <sz val="10"/>
      <color indexed="18"/>
      <name val="Verdana"/>
      <family val="2"/>
    </font>
    <font>
      <sz val="12"/>
      <name val="Verdana"/>
    </font>
    <font>
      <b/>
      <sz val="10"/>
      <color indexed="20"/>
      <name val="Verdana"/>
      <family val="2"/>
    </font>
    <font>
      <b/>
      <sz val="10"/>
      <color indexed="8"/>
      <name val="Verdana"/>
      <family val="2"/>
    </font>
    <font>
      <b/>
      <sz val="12"/>
      <name val="Verdana"/>
    </font>
    <font>
      <sz val="12"/>
      <color indexed="8"/>
      <name val="Verdana"/>
      <family val="2"/>
    </font>
    <font>
      <sz val="10"/>
      <color indexed="9"/>
      <name val="Verdana"/>
      <family val="2"/>
    </font>
    <font>
      <sz val="12"/>
      <color indexed="10"/>
      <name val="Verdana"/>
      <family val="2"/>
    </font>
    <font>
      <b/>
      <sz val="10"/>
      <color indexed="9"/>
      <name val="Verdana"/>
      <family val="2"/>
    </font>
    <font>
      <b/>
      <sz val="10"/>
      <color indexed="63"/>
      <name val="Verdana"/>
      <family val="2"/>
    </font>
    <font>
      <sz val="10"/>
      <color indexed="63"/>
      <name val="Verdana"/>
      <family val="2"/>
    </font>
    <font>
      <b/>
      <sz val="12"/>
      <color indexed="63"/>
      <name val="Verdana"/>
    </font>
    <font>
      <sz val="12"/>
      <color indexed="63"/>
      <name val="Verdana"/>
    </font>
    <font>
      <sz val="9"/>
      <color indexed="63"/>
      <name val="Verdana"/>
      <family val="2"/>
    </font>
    <font>
      <sz val="10"/>
      <color indexed="63"/>
      <name val="MS Sans Serif"/>
      <family val="2"/>
    </font>
    <font>
      <sz val="8"/>
      <color indexed="63"/>
      <name val="Verdana"/>
      <family val="2"/>
    </font>
    <font>
      <b/>
      <sz val="8"/>
      <color indexed="63"/>
      <name val="Verdana"/>
      <family val="2"/>
    </font>
    <font>
      <i/>
      <sz val="10"/>
      <color indexed="63"/>
      <name val="Verdana"/>
    </font>
    <font>
      <i/>
      <sz val="10"/>
      <name val="Verdana"/>
      <family val="2"/>
    </font>
    <font>
      <sz val="8"/>
      <name val="Verdana"/>
      <family val="2"/>
    </font>
    <font>
      <b/>
      <sz val="11"/>
      <color indexed="52"/>
      <name val="Calibri"/>
      <family val="2"/>
    </font>
    <font>
      <sz val="11"/>
      <color indexed="52"/>
      <name val="Calibri"/>
      <family val="2"/>
    </font>
    <font>
      <sz val="11"/>
      <color indexed="17"/>
      <name val="Calibri"/>
      <family val="2"/>
    </font>
    <font>
      <sz val="10"/>
      <color indexed="12"/>
      <name val="Times New Roman"/>
      <family val="1"/>
    </font>
    <font>
      <b/>
      <sz val="8"/>
      <name val="Arial"/>
      <family val="2"/>
    </font>
    <font>
      <b/>
      <sz val="10"/>
      <name val="Arial"/>
      <family val="2"/>
    </font>
    <font>
      <sz val="11"/>
      <color indexed="60"/>
      <name val="Calibri"/>
      <family val="2"/>
    </font>
    <font>
      <b/>
      <sz val="18"/>
      <color indexed="56"/>
      <name val="Cambria"/>
      <family val="2"/>
    </font>
    <font>
      <b/>
      <sz val="11"/>
      <color indexed="8"/>
      <name val="Calibri"/>
      <family val="2"/>
    </font>
    <font>
      <sz val="11"/>
      <color indexed="10"/>
      <name val="Calibri"/>
      <family val="2"/>
    </font>
    <font>
      <b/>
      <sz val="14"/>
      <color indexed="63"/>
      <name val="Verdana"/>
      <family val="2"/>
    </font>
    <font>
      <i/>
      <sz val="10"/>
      <color indexed="10"/>
      <name val="Verdana"/>
      <family val="2"/>
    </font>
    <font>
      <sz val="10"/>
      <color indexed="10"/>
      <name val="MS Sans Serif"/>
      <family val="2"/>
    </font>
    <font>
      <b/>
      <sz val="9"/>
      <name val="Verdana"/>
      <family val="2"/>
    </font>
    <font>
      <b/>
      <i/>
      <sz val="10"/>
      <color indexed="63"/>
      <name val="Verdana"/>
    </font>
    <font>
      <b/>
      <sz val="10"/>
      <color indexed="10"/>
      <name val="Verdana"/>
      <family val="2"/>
    </font>
    <font>
      <sz val="9"/>
      <name val="Verdana"/>
    </font>
    <font>
      <b/>
      <sz val="16"/>
      <name val="Verdana"/>
      <family val="2"/>
    </font>
    <font>
      <b/>
      <sz val="9"/>
      <color indexed="63"/>
      <name val="Verdana"/>
      <family val="2"/>
    </font>
    <font>
      <b/>
      <sz val="14"/>
      <name val="Verdana"/>
    </font>
    <font>
      <b/>
      <sz val="12"/>
      <color theme="1" tint="4.9989318521683403E-2"/>
      <name val="Verdana"/>
    </font>
    <font>
      <sz val="12"/>
      <color theme="1" tint="4.9989318521683403E-2"/>
      <name val="Verdana"/>
      <family val="2"/>
    </font>
    <font>
      <b/>
      <sz val="12"/>
      <color theme="1" tint="0.499984740745262"/>
      <name val="Verdana"/>
      <family val="2"/>
    </font>
    <font>
      <sz val="12"/>
      <color theme="1" tint="0.499984740745262"/>
      <name val="Verdana"/>
      <family val="2"/>
    </font>
    <font>
      <b/>
      <sz val="10"/>
      <color theme="1" tint="4.9989318521683403E-2"/>
      <name val="Verdana"/>
      <family val="2"/>
    </font>
    <font>
      <sz val="10"/>
      <color theme="1" tint="4.9989318521683403E-2"/>
      <name val="Verdana"/>
    </font>
    <font>
      <sz val="10"/>
      <color rgb="FF336699"/>
      <name val="Verdana"/>
    </font>
    <font>
      <sz val="10"/>
      <color theme="0"/>
      <name val="Verdana"/>
      <family val="2"/>
    </font>
    <font>
      <sz val="12"/>
      <color theme="0"/>
      <name val="Verdana"/>
      <family val="2"/>
    </font>
    <font>
      <b/>
      <sz val="10"/>
      <color theme="0"/>
      <name val="Verdana"/>
      <family val="2"/>
    </font>
    <font>
      <sz val="10"/>
      <color theme="0" tint="-0.499984740745262"/>
      <name val="MS Sans Serif"/>
      <family val="2"/>
    </font>
    <font>
      <sz val="10"/>
      <color theme="0" tint="-0.499984740745262"/>
      <name val="Verdana"/>
      <family val="2"/>
    </font>
    <font>
      <sz val="10"/>
      <color theme="1" tint="4.9989318521683403E-2"/>
      <name val="MS Sans Serif"/>
      <family val="2"/>
    </font>
    <font>
      <b/>
      <i/>
      <sz val="10"/>
      <color theme="1" tint="4.9989318521683403E-2"/>
      <name val="Verdana"/>
      <family val="2"/>
    </font>
    <font>
      <sz val="9"/>
      <color theme="0" tint="-0.499984740745262"/>
      <name val="Verdana"/>
      <family val="2"/>
    </font>
    <font>
      <b/>
      <sz val="10"/>
      <color theme="0" tint="-0.499984740745262"/>
      <name val="Verdana"/>
      <family val="2"/>
    </font>
    <font>
      <sz val="10"/>
      <color theme="0"/>
      <name val="MS Sans Serif"/>
    </font>
    <font>
      <b/>
      <sz val="14"/>
      <color theme="1" tint="4.9989318521683403E-2"/>
      <name val="Verdana"/>
    </font>
    <font>
      <sz val="9"/>
      <color theme="1" tint="4.9989318521683403E-2"/>
      <name val="Verdana"/>
      <family val="2"/>
    </font>
    <font>
      <b/>
      <sz val="10"/>
      <color rgb="FFFF0000"/>
      <name val="Verdana"/>
      <family val="2"/>
    </font>
    <font>
      <sz val="10"/>
      <color rgb="FF424242"/>
      <name val="Verdana"/>
      <family val="2"/>
    </font>
    <font>
      <b/>
      <sz val="10"/>
      <color theme="0"/>
      <name val="MS Sans Serif"/>
      <family val="2"/>
    </font>
    <font>
      <b/>
      <sz val="9"/>
      <color theme="0"/>
      <name val="Verdana"/>
      <family val="2"/>
    </font>
    <font>
      <i/>
      <sz val="10"/>
      <color rgb="FF424242"/>
      <name val="Verdana"/>
    </font>
    <font>
      <u/>
      <sz val="10"/>
      <color theme="10"/>
      <name val="MS Sans Serif"/>
    </font>
    <font>
      <u/>
      <sz val="10"/>
      <color theme="11"/>
      <name val="MS Sans Serif"/>
    </font>
    <font>
      <b/>
      <sz val="10"/>
      <color rgb="FFFF0000"/>
      <name val="MS Sans Serif"/>
    </font>
    <font>
      <sz val="10"/>
      <color rgb="FFFF0000"/>
      <name val="Verdana"/>
    </font>
  </fonts>
  <fills count="21">
    <fill>
      <patternFill patternType="none"/>
    </fill>
    <fill>
      <patternFill patternType="gray125"/>
    </fill>
    <fill>
      <patternFill patternType="solid">
        <fgColor indexed="42"/>
      </patternFill>
    </fill>
    <fill>
      <patternFill patternType="solid">
        <fgColor indexed="22"/>
      </patternFill>
    </fill>
    <fill>
      <patternFill patternType="solid">
        <fgColor indexed="43"/>
      </patternFill>
    </fill>
    <fill>
      <patternFill patternType="solid">
        <fgColor indexed="26"/>
        <bgColor indexed="64"/>
      </patternFill>
    </fill>
    <fill>
      <patternFill patternType="solid">
        <fgColor indexed="22"/>
        <bgColor indexed="64"/>
      </patternFill>
    </fill>
    <fill>
      <patternFill patternType="solid">
        <fgColor indexed="15"/>
        <bgColor indexed="64"/>
      </patternFill>
    </fill>
    <fill>
      <patternFill patternType="solid">
        <fgColor indexed="44"/>
        <bgColor indexed="64"/>
      </patternFill>
    </fill>
    <fill>
      <patternFill patternType="solid">
        <fgColor indexed="63"/>
        <bgColor indexed="64"/>
      </patternFill>
    </fill>
    <fill>
      <patternFill patternType="solid">
        <fgColor indexed="9"/>
        <bgColor indexed="64"/>
      </patternFill>
    </fill>
    <fill>
      <patternFill patternType="solid">
        <fgColor indexed="23"/>
        <bgColor indexed="64"/>
      </patternFill>
    </fill>
    <fill>
      <patternFill patternType="solid">
        <fgColor theme="6" tint="0.59999389629810485"/>
        <bgColor indexed="64"/>
      </patternFill>
    </fill>
    <fill>
      <patternFill patternType="solid">
        <fgColor theme="2"/>
        <bgColor indexed="64"/>
      </patternFill>
    </fill>
    <fill>
      <patternFill patternType="solid">
        <fgColor theme="0"/>
        <bgColor indexed="64"/>
      </patternFill>
    </fill>
    <fill>
      <patternFill patternType="solid">
        <fgColor theme="9" tint="0.39997558519241921"/>
        <bgColor indexed="64"/>
      </patternFill>
    </fill>
    <fill>
      <patternFill patternType="solid">
        <fgColor theme="2" tint="-9.9978637043366805E-2"/>
        <bgColor indexed="64"/>
      </patternFill>
    </fill>
    <fill>
      <patternFill patternType="solid">
        <fgColor theme="2"/>
        <bgColor indexed="24"/>
      </patternFill>
    </fill>
    <fill>
      <patternFill patternType="solid">
        <fgColor theme="2" tint="-0.499984740745262"/>
        <bgColor indexed="64"/>
      </patternFill>
    </fill>
    <fill>
      <patternFill patternType="solid">
        <fgColor theme="2" tint="-0.249977111117893"/>
        <bgColor indexed="64"/>
      </patternFill>
    </fill>
    <fill>
      <patternFill patternType="solid">
        <fgColor rgb="FFFABF8F"/>
        <bgColor rgb="FF000000"/>
      </patternFill>
    </fill>
  </fills>
  <borders count="70">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auto="1"/>
      </left>
      <right style="thin">
        <color auto="1"/>
      </right>
      <top style="thin">
        <color auto="1"/>
      </top>
      <bottom style="thin">
        <color auto="1"/>
      </bottom>
      <diagonal/>
    </border>
    <border>
      <left/>
      <right/>
      <top style="double">
        <color auto="1"/>
      </top>
      <bottom/>
      <diagonal/>
    </border>
    <border>
      <left style="double">
        <color auto="1"/>
      </left>
      <right/>
      <top style="double">
        <color auto="1"/>
      </top>
      <bottom/>
      <diagonal/>
    </border>
    <border>
      <left/>
      <right/>
      <top style="thin">
        <color indexed="62"/>
      </top>
      <bottom style="double">
        <color indexed="62"/>
      </bottom>
      <diagonal/>
    </border>
    <border>
      <left/>
      <right/>
      <top/>
      <bottom style="thin">
        <color auto="1"/>
      </bottom>
      <diagonal/>
    </border>
    <border>
      <left style="thin">
        <color indexed="9"/>
      </left>
      <right/>
      <top/>
      <bottom/>
      <diagonal/>
    </border>
    <border>
      <left style="thin">
        <color indexed="55"/>
      </left>
      <right style="thin">
        <color indexed="55"/>
      </right>
      <top style="thin">
        <color indexed="55"/>
      </top>
      <bottom style="thin">
        <color indexed="55"/>
      </bottom>
      <diagonal/>
    </border>
    <border>
      <left style="thin">
        <color indexed="23"/>
      </left>
      <right style="thin">
        <color indexed="23"/>
      </right>
      <top/>
      <bottom style="thin">
        <color indexed="23"/>
      </bottom>
      <diagonal/>
    </border>
    <border>
      <left style="thin">
        <color auto="1"/>
      </left>
      <right style="thin">
        <color auto="1"/>
      </right>
      <top style="thin">
        <color auto="1"/>
      </top>
      <bottom/>
      <diagonal/>
    </border>
    <border>
      <left style="thin">
        <color indexed="55"/>
      </left>
      <right/>
      <top style="thin">
        <color indexed="55"/>
      </top>
      <bottom style="thin">
        <color indexed="55"/>
      </bottom>
      <diagonal/>
    </border>
    <border>
      <left/>
      <right style="thin">
        <color indexed="55"/>
      </right>
      <top style="thin">
        <color indexed="55"/>
      </top>
      <bottom style="thin">
        <color indexed="55"/>
      </bottom>
      <diagonal/>
    </border>
    <border>
      <left/>
      <right/>
      <top style="thin">
        <color indexed="55"/>
      </top>
      <bottom style="thin">
        <color indexed="55"/>
      </bottom>
      <diagonal/>
    </border>
    <border>
      <left/>
      <right/>
      <top/>
      <bottom style="thin">
        <color indexed="23"/>
      </bottom>
      <diagonal/>
    </border>
    <border>
      <left/>
      <right/>
      <top/>
      <bottom style="thin">
        <color indexed="4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FF9933"/>
      </left>
      <right/>
      <top/>
      <bottom/>
      <diagonal/>
    </border>
    <border>
      <left style="thin">
        <color rgb="FFFF9933"/>
      </left>
      <right style="thin">
        <color rgb="FFFF9933"/>
      </right>
      <top style="thin">
        <color rgb="FFFF9933"/>
      </top>
      <bottom style="thin">
        <color rgb="FFFF9933"/>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theme="0" tint="-0.34998626667073579"/>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style="thin">
        <color rgb="FFFF9933"/>
      </right>
      <top style="thin">
        <color rgb="FFFF9933"/>
      </top>
      <bottom style="thin">
        <color rgb="FFFF993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top/>
      <bottom style="thin">
        <color theme="0" tint="-0.34998626667073579"/>
      </bottom>
      <diagonal/>
    </border>
    <border>
      <left/>
      <right/>
      <top style="thin">
        <color theme="0" tint="-0.34998626667073579"/>
      </top>
      <bottom/>
      <diagonal/>
    </border>
    <border>
      <left/>
      <right/>
      <top style="thin">
        <color rgb="FFFF9933"/>
      </top>
      <bottom/>
      <diagonal/>
    </border>
    <border>
      <left/>
      <right/>
      <top/>
      <bottom style="thin">
        <color rgb="FFFF9933"/>
      </bottom>
      <diagonal/>
    </border>
    <border>
      <left style="thin">
        <color rgb="FFFF9933"/>
      </left>
      <right/>
      <top style="thin">
        <color rgb="FFFF9933"/>
      </top>
      <bottom/>
      <diagonal/>
    </border>
    <border>
      <left style="thin">
        <color rgb="FFFF9933"/>
      </left>
      <right/>
      <top style="thin">
        <color rgb="FFFF9933"/>
      </top>
      <bottom style="thin">
        <color rgb="FFFF993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double">
        <color theme="1" tint="0.14999847407452621"/>
      </left>
      <right style="double">
        <color theme="1" tint="0.14999847407452621"/>
      </right>
      <top style="double">
        <color theme="1" tint="0.14999847407452621"/>
      </top>
      <bottom style="double">
        <color theme="1" tint="0.14999847407452621"/>
      </bottom>
      <diagonal/>
    </border>
    <border>
      <left/>
      <right style="thin">
        <color theme="0" tint="-0.249977111117893"/>
      </right>
      <top style="thin">
        <color theme="0" tint="-0.249977111117893"/>
      </top>
      <bottom style="thin">
        <color rgb="FFFF9933"/>
      </bottom>
      <diagonal/>
    </border>
    <border>
      <left style="double">
        <color rgb="FFFF9933"/>
      </left>
      <right/>
      <top style="double">
        <color rgb="FFFF9933"/>
      </top>
      <bottom/>
      <diagonal/>
    </border>
    <border>
      <left/>
      <right/>
      <top style="double">
        <color rgb="FFFF9933"/>
      </top>
      <bottom/>
      <diagonal/>
    </border>
    <border>
      <left/>
      <right style="double">
        <color rgb="FFFF9933"/>
      </right>
      <top style="double">
        <color rgb="FFFF9933"/>
      </top>
      <bottom/>
      <diagonal/>
    </border>
    <border>
      <left style="double">
        <color rgb="FFFF9933"/>
      </left>
      <right/>
      <top/>
      <bottom/>
      <diagonal/>
    </border>
    <border>
      <left/>
      <right style="double">
        <color rgb="FFFF9933"/>
      </right>
      <top/>
      <bottom/>
      <diagonal/>
    </border>
    <border>
      <left style="double">
        <color rgb="FFFF9933"/>
      </left>
      <right/>
      <top/>
      <bottom style="double">
        <color rgb="FFFF9933"/>
      </bottom>
      <diagonal/>
    </border>
    <border>
      <left/>
      <right/>
      <top/>
      <bottom style="double">
        <color rgb="FFFF9933"/>
      </bottom>
      <diagonal/>
    </border>
    <border>
      <left/>
      <right style="double">
        <color rgb="FFFF9933"/>
      </right>
      <top/>
      <bottom style="double">
        <color rgb="FFFF9933"/>
      </bottom>
      <diagonal/>
    </border>
    <border>
      <left/>
      <right style="thin">
        <color rgb="FFFF9933"/>
      </right>
      <top/>
      <bottom/>
      <diagonal/>
    </border>
    <border>
      <left/>
      <right/>
      <top style="thin">
        <color rgb="FFFF9933"/>
      </top>
      <bottom style="thin">
        <color rgb="FFFF9933"/>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diagonal/>
    </border>
    <border>
      <left style="double">
        <color theme="1" tint="0.14999847407452621"/>
      </left>
      <right/>
      <top style="double">
        <color theme="1" tint="0.14999847407452621"/>
      </top>
      <bottom style="double">
        <color theme="1" tint="0.14999847407452621"/>
      </bottom>
      <diagonal/>
    </border>
    <border>
      <left/>
      <right style="double">
        <color theme="1" tint="0.14999847407452621"/>
      </right>
      <top style="double">
        <color theme="1" tint="0.14999847407452621"/>
      </top>
      <bottom style="double">
        <color theme="1" tint="0.1499984740745262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rgb="FFFF9933"/>
      </left>
      <right style="thin">
        <color theme="0" tint="-0.249977111117893"/>
      </right>
      <top style="thin">
        <color theme="0" tint="-0.249977111117893"/>
      </top>
      <bottom style="thin">
        <color theme="0" tint="-0.249977111117893"/>
      </bottom>
      <diagonal/>
    </border>
    <border>
      <left style="thin">
        <color theme="0" tint="-0.249977111117893"/>
      </left>
      <right style="thin">
        <color rgb="FFFF9933"/>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top/>
      <bottom/>
      <diagonal/>
    </border>
    <border>
      <left/>
      <right style="thin">
        <color theme="0" tint="-0.249977111117893"/>
      </right>
      <top/>
      <bottom/>
      <diagonal/>
    </border>
    <border>
      <left style="thin">
        <color theme="0" tint="-0.249977111117893"/>
      </left>
      <right/>
      <top/>
      <bottom style="thin">
        <color theme="0" tint="-0.249977111117893"/>
      </bottom>
      <diagonal/>
    </border>
    <border>
      <left/>
      <right style="thin">
        <color theme="0" tint="-0.249977111117893"/>
      </right>
      <top/>
      <bottom style="thin">
        <color theme="0" tint="-0.249977111117893"/>
      </bottom>
      <diagonal/>
    </border>
  </borders>
  <cellStyleXfs count="1062">
    <xf numFmtId="0" fontId="0" fillId="0" borderId="0"/>
    <xf numFmtId="0" fontId="38" fillId="3" borderId="1" applyNumberFormat="0" applyAlignment="0" applyProtection="0"/>
    <xf numFmtId="165" fontId="4" fillId="0" borderId="0" applyFont="0" applyFill="0" applyBorder="0" applyAlignment="0" applyProtection="0"/>
    <xf numFmtId="167" fontId="4" fillId="0" borderId="0" applyFont="0" applyFill="0" applyBorder="0" applyAlignment="0" applyProtection="0"/>
    <xf numFmtId="166" fontId="5" fillId="0" borderId="0" applyFont="0" applyFill="0" applyBorder="0" applyAlignment="0" applyProtection="0"/>
    <xf numFmtId="166" fontId="4" fillId="0" borderId="0" applyFont="0" applyFill="0" applyBorder="0" applyAlignment="0" applyProtection="0"/>
    <xf numFmtId="164" fontId="11" fillId="0" borderId="0" applyFont="0" applyFill="0" applyBorder="0" applyAlignment="0" applyProtection="0"/>
    <xf numFmtId="169" fontId="13" fillId="0" borderId="0"/>
    <xf numFmtId="0" fontId="39" fillId="0" borderId="2" applyNumberFormat="0" applyFill="0" applyAlignment="0" applyProtection="0"/>
    <xf numFmtId="0" fontId="40" fillId="2" borderId="0" applyNumberFormat="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41" fillId="6" borderId="0"/>
    <xf numFmtId="43" fontId="42" fillId="0" borderId="0">
      <alignment horizontal="center" vertical="center" textRotation="90" wrapText="1"/>
    </xf>
    <xf numFmtId="0" fontId="43" fillId="5" borderId="4"/>
    <xf numFmtId="168" fontId="13" fillId="0" borderId="0"/>
    <xf numFmtId="0" fontId="44" fillId="4" borderId="0" applyNumberFormat="0" applyBorder="0" applyAlignment="0" applyProtection="0"/>
    <xf numFmtId="0" fontId="4" fillId="0" borderId="0"/>
    <xf numFmtId="0" fontId="16" fillId="0" borderId="0"/>
    <xf numFmtId="0" fontId="10" fillId="0" borderId="0"/>
    <xf numFmtId="0" fontId="5" fillId="0" borderId="0"/>
    <xf numFmtId="0" fontId="4" fillId="0" borderId="0"/>
    <xf numFmtId="0" fontId="3" fillId="0" borderId="0"/>
    <xf numFmtId="0" fontId="13" fillId="0" borderId="0"/>
    <xf numFmtId="0" fontId="11" fillId="0" borderId="0"/>
    <xf numFmtId="0" fontId="3" fillId="0" borderId="0"/>
    <xf numFmtId="0" fontId="6" fillId="0" borderId="0"/>
    <xf numFmtId="0" fontId="13" fillId="0" borderId="0"/>
    <xf numFmtId="0" fontId="4" fillId="0" borderId="0"/>
    <xf numFmtId="0" fontId="4" fillId="0" borderId="0"/>
    <xf numFmtId="0" fontId="7" fillId="0" borderId="0"/>
    <xf numFmtId="9" fontId="3" fillId="0" borderId="0" applyFont="0" applyFill="0" applyBorder="0" applyAlignment="0" applyProtection="0"/>
    <xf numFmtId="0" fontId="43" fillId="7" borderId="5" applyNumberFormat="0" applyFont="0" applyBorder="0">
      <alignment horizontal="center"/>
    </xf>
    <xf numFmtId="0" fontId="4" fillId="0" borderId="0"/>
    <xf numFmtId="0" fontId="45" fillId="0" borderId="0" applyNumberFormat="0" applyFill="0" applyBorder="0" applyAlignment="0" applyProtection="0"/>
    <xf numFmtId="0" fontId="46" fillId="0" borderId="6" applyNumberFormat="0" applyFill="0" applyAlignment="0" applyProtection="0"/>
    <xf numFmtId="170" fontId="3" fillId="0" borderId="0" applyFont="0" applyFill="0" applyBorder="0" applyAlignment="0" applyProtection="0"/>
    <xf numFmtId="0" fontId="47"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cellStyleXfs>
  <cellXfs count="746">
    <xf numFmtId="0" fontId="0" fillId="0" borderId="0" xfId="0"/>
    <xf numFmtId="0" fontId="13" fillId="0" borderId="0" xfId="0" applyFont="1"/>
    <xf numFmtId="0" fontId="13" fillId="0" borderId="0" xfId="28" applyFont="1" applyFill="1" applyProtection="1">
      <protection hidden="1"/>
    </xf>
    <xf numFmtId="181" fontId="13" fillId="0" borderId="0" xfId="20" applyNumberFormat="1" applyFont="1" applyFill="1" applyBorder="1" applyAlignment="1" applyProtection="1">
      <alignment vertical="center"/>
      <protection hidden="1"/>
    </xf>
    <xf numFmtId="181" fontId="13" fillId="0" borderId="0" xfId="31" applyNumberFormat="1" applyFont="1" applyFill="1" applyBorder="1" applyAlignment="1" applyProtection="1">
      <alignment vertical="center"/>
      <protection locked="0"/>
    </xf>
    <xf numFmtId="0" fontId="13" fillId="0" borderId="0" xfId="28" applyFont="1" applyFill="1" applyBorder="1" applyAlignment="1" applyProtection="1">
      <alignment vertical="center"/>
      <protection hidden="1"/>
    </xf>
    <xf numFmtId="0" fontId="16" fillId="0" borderId="0" xfId="28" applyFont="1" applyFill="1" applyBorder="1" applyAlignment="1" applyProtection="1">
      <alignment vertical="center"/>
      <protection hidden="1"/>
    </xf>
    <xf numFmtId="178" fontId="16" fillId="0" borderId="0" xfId="28" applyNumberFormat="1" applyFont="1" applyFill="1" applyBorder="1" applyAlignment="1" applyProtection="1">
      <alignment vertical="center"/>
      <protection hidden="1"/>
    </xf>
    <xf numFmtId="178" fontId="18" fillId="0" borderId="0" xfId="28" applyNumberFormat="1" applyFont="1" applyFill="1" applyBorder="1" applyAlignment="1" applyProtection="1">
      <alignment vertical="center"/>
      <protection hidden="1"/>
    </xf>
    <xf numFmtId="178" fontId="13" fillId="0" borderId="0" xfId="28" applyNumberFormat="1" applyFont="1" applyFill="1" applyBorder="1" applyAlignment="1" applyProtection="1">
      <alignment vertical="center"/>
      <protection hidden="1"/>
    </xf>
    <xf numFmtId="0" fontId="13" fillId="0" borderId="0" xfId="0" applyFont="1" applyFill="1" applyBorder="1" applyAlignment="1">
      <alignment vertical="center"/>
    </xf>
    <xf numFmtId="0" fontId="13" fillId="0" borderId="0" xfId="28" applyFont="1" applyFill="1" applyBorder="1" applyProtection="1">
      <protection hidden="1"/>
    </xf>
    <xf numFmtId="0" fontId="20" fillId="0" borderId="0" xfId="28" applyFont="1" applyFill="1" applyBorder="1" applyAlignment="1" applyProtection="1">
      <alignment horizontal="right" vertical="center"/>
      <protection hidden="1"/>
    </xf>
    <xf numFmtId="0" fontId="20" fillId="0" borderId="0" xfId="28" applyFont="1" applyFill="1" applyBorder="1" applyAlignment="1" applyProtection="1">
      <alignment horizontal="center" vertical="center"/>
      <protection hidden="1"/>
    </xf>
    <xf numFmtId="178" fontId="16" fillId="0" borderId="0" xfId="28" applyNumberFormat="1" applyFont="1" applyFill="1" applyBorder="1" applyAlignment="1" applyProtection="1">
      <alignment vertical="center"/>
      <protection locked="0"/>
    </xf>
    <xf numFmtId="2" fontId="13" fillId="0" borderId="0" xfId="20" applyNumberFormat="1" applyFont="1" applyFill="1" applyBorder="1" applyProtection="1">
      <protection hidden="1"/>
    </xf>
    <xf numFmtId="0" fontId="17" fillId="0" borderId="0" xfId="28" applyFont="1" applyFill="1" applyBorder="1" applyAlignment="1" applyProtection="1">
      <alignment horizontal="left" vertical="center"/>
      <protection hidden="1"/>
    </xf>
    <xf numFmtId="2" fontId="13" fillId="0" borderId="0" xfId="0" applyNumberFormat="1" applyFont="1" applyFill="1" applyBorder="1" applyAlignment="1">
      <alignment vertical="center"/>
    </xf>
    <xf numFmtId="2" fontId="19" fillId="0" borderId="0" xfId="20" applyNumberFormat="1" applyFont="1" applyFill="1" applyBorder="1" applyProtection="1">
      <protection hidden="1"/>
    </xf>
    <xf numFmtId="0" fontId="19" fillId="0" borderId="0" xfId="0" applyFont="1" applyFill="1" applyBorder="1"/>
    <xf numFmtId="9" fontId="14" fillId="0" borderId="0" xfId="20" applyNumberFormat="1" applyFont="1" applyFill="1" applyBorder="1" applyAlignment="1" applyProtection="1">
      <alignment horizontal="center" vertical="center"/>
      <protection hidden="1"/>
    </xf>
    <xf numFmtId="181" fontId="14" fillId="0" borderId="0" xfId="20" applyNumberFormat="1" applyFont="1" applyFill="1" applyBorder="1" applyAlignment="1" applyProtection="1">
      <alignment vertical="center"/>
      <protection hidden="1"/>
    </xf>
    <xf numFmtId="0" fontId="23" fillId="0" borderId="0" xfId="28" applyFont="1" applyFill="1" applyBorder="1" applyAlignment="1" applyProtection="1">
      <alignment horizontal="left" vertical="center"/>
      <protection hidden="1"/>
    </xf>
    <xf numFmtId="2" fontId="16" fillId="0" borderId="0" xfId="28" applyNumberFormat="1" applyFont="1" applyFill="1" applyBorder="1" applyAlignment="1" applyProtection="1">
      <alignment horizontal="right" vertical="center"/>
      <protection hidden="1"/>
    </xf>
    <xf numFmtId="0" fontId="21" fillId="0" borderId="0" xfId="28" applyFont="1" applyFill="1" applyBorder="1" applyAlignment="1" applyProtection="1">
      <alignment vertical="center"/>
      <protection hidden="1"/>
    </xf>
    <xf numFmtId="10" fontId="16" fillId="0" borderId="0" xfId="31" applyNumberFormat="1" applyFont="1" applyFill="1" applyBorder="1" applyAlignment="1" applyProtection="1">
      <alignment vertical="center"/>
      <protection hidden="1"/>
    </xf>
    <xf numFmtId="0" fontId="27" fillId="0" borderId="0" xfId="21" applyFont="1" applyFill="1" applyBorder="1" applyAlignment="1"/>
    <xf numFmtId="0" fontId="28" fillId="0" borderId="0" xfId="21" applyFont="1" applyFill="1" applyAlignment="1"/>
    <xf numFmtId="49" fontId="28" fillId="0" borderId="0" xfId="17" applyNumberFormat="1" applyFont="1" applyFill="1" applyBorder="1" applyAlignment="1" applyProtection="1">
      <alignment horizontal="left" vertical="top"/>
      <protection hidden="1"/>
    </xf>
    <xf numFmtId="49" fontId="29" fillId="0" borderId="0" xfId="21" applyNumberFormat="1" applyFont="1" applyFill="1" applyBorder="1" applyAlignment="1"/>
    <xf numFmtId="2" fontId="30" fillId="0" borderId="0" xfId="21" applyNumberFormat="1" applyFont="1" applyFill="1" applyBorder="1" applyAlignment="1"/>
    <xf numFmtId="2" fontId="30" fillId="0" borderId="0" xfId="21" applyNumberFormat="1" applyFont="1" applyFill="1" applyAlignment="1"/>
    <xf numFmtId="2" fontId="29" fillId="0" borderId="0" xfId="21" applyNumberFormat="1" applyFont="1" applyFill="1" applyAlignment="1"/>
    <xf numFmtId="0" fontId="30" fillId="0" borderId="0" xfId="21" applyFont="1" applyFill="1" applyAlignment="1"/>
    <xf numFmtId="183" fontId="27" fillId="0" borderId="0" xfId="21" applyNumberFormat="1" applyFont="1" applyFill="1" applyBorder="1" applyAlignment="1">
      <alignment horizontal="left"/>
    </xf>
    <xf numFmtId="49" fontId="28" fillId="0" borderId="0" xfId="21" applyNumberFormat="1" applyFont="1" applyFill="1" applyBorder="1" applyAlignment="1"/>
    <xf numFmtId="0" fontId="28" fillId="0" borderId="0" xfId="21" applyFont="1" applyFill="1" applyAlignment="1">
      <alignment horizontal="center"/>
    </xf>
    <xf numFmtId="175" fontId="28" fillId="0" borderId="0" xfId="17" applyNumberFormat="1" applyFont="1" applyFill="1" applyBorder="1" applyAlignment="1" applyProtection="1">
      <alignment horizontal="left" vertical="top"/>
      <protection hidden="1"/>
    </xf>
    <xf numFmtId="49" fontId="28" fillId="0" borderId="0" xfId="17" applyNumberFormat="1" applyFont="1" applyFill="1" applyBorder="1" applyAlignment="1" applyProtection="1">
      <alignment horizontal="left"/>
      <protection hidden="1"/>
    </xf>
    <xf numFmtId="165" fontId="28" fillId="0" borderId="0" xfId="2" applyFont="1" applyFill="1" applyAlignment="1"/>
    <xf numFmtId="1" fontId="28" fillId="0" borderId="0" xfId="2" applyNumberFormat="1" applyFont="1" applyFill="1" applyAlignment="1">
      <alignment horizontal="center"/>
    </xf>
    <xf numFmtId="182" fontId="28" fillId="0" borderId="0" xfId="5" applyNumberFormat="1" applyFont="1" applyFill="1" applyAlignment="1"/>
    <xf numFmtId="182" fontId="28" fillId="0" borderId="0" xfId="5" applyNumberFormat="1" applyFont="1" applyFill="1" applyAlignment="1">
      <alignment horizontal="right"/>
    </xf>
    <xf numFmtId="165" fontId="28" fillId="0" borderId="0" xfId="21" applyNumberFormat="1" applyFont="1" applyFill="1" applyAlignment="1"/>
    <xf numFmtId="165" fontId="28" fillId="0" borderId="7" xfId="2" applyFont="1" applyFill="1" applyBorder="1" applyAlignment="1"/>
    <xf numFmtId="182" fontId="28" fillId="0" borderId="7" xfId="5" applyNumberFormat="1" applyFont="1" applyFill="1" applyBorder="1" applyAlignment="1">
      <alignment horizontal="right"/>
    </xf>
    <xf numFmtId="49" fontId="27" fillId="0" borderId="0" xfId="17" applyNumberFormat="1" applyFont="1" applyFill="1" applyBorder="1" applyAlignment="1" applyProtection="1">
      <alignment horizontal="left"/>
      <protection hidden="1"/>
    </xf>
    <xf numFmtId="177" fontId="27" fillId="0" borderId="0" xfId="17" applyNumberFormat="1" applyFont="1" applyFill="1" applyBorder="1" applyAlignment="1" applyProtection="1">
      <alignment horizontal="center"/>
      <protection hidden="1"/>
    </xf>
    <xf numFmtId="165" fontId="27" fillId="0" borderId="0" xfId="2" applyFont="1" applyFill="1" applyBorder="1" applyAlignment="1" applyProtection="1">
      <alignment horizontal="left"/>
      <protection hidden="1"/>
    </xf>
    <xf numFmtId="0" fontId="27" fillId="0" borderId="0" xfId="17" applyNumberFormat="1" applyFont="1" applyFill="1" applyBorder="1" applyAlignment="1" applyProtection="1">
      <alignment horizontal="left"/>
      <protection hidden="1"/>
    </xf>
    <xf numFmtId="182" fontId="27" fillId="0" borderId="0" xfId="17" applyNumberFormat="1" applyFont="1" applyFill="1" applyBorder="1" applyAlignment="1" applyProtection="1">
      <alignment horizontal="left"/>
      <protection hidden="1"/>
    </xf>
    <xf numFmtId="0" fontId="28" fillId="0" borderId="0" xfId="17" applyFont="1" applyFill="1" applyBorder="1" applyAlignment="1" applyProtection="1">
      <alignment horizontal="left"/>
      <protection hidden="1"/>
    </xf>
    <xf numFmtId="177" fontId="27" fillId="0" borderId="0" xfId="31" applyNumberFormat="1" applyFont="1" applyFill="1" applyBorder="1" applyAlignment="1" applyProtection="1">
      <alignment horizontal="center"/>
      <protection hidden="1"/>
    </xf>
    <xf numFmtId="183" fontId="28" fillId="0" borderId="0" xfId="21" applyNumberFormat="1" applyFont="1" applyFill="1" applyAlignment="1"/>
    <xf numFmtId="165" fontId="28" fillId="0" borderId="0" xfId="2" applyFont="1" applyFill="1" applyAlignment="1">
      <alignment horizontal="center"/>
    </xf>
    <xf numFmtId="0" fontId="28" fillId="0" borderId="0" xfId="17" applyNumberFormat="1" applyFont="1" applyFill="1" applyBorder="1" applyAlignment="1" applyProtection="1">
      <alignment horizontal="center"/>
      <protection hidden="1"/>
    </xf>
    <xf numFmtId="49" fontId="27" fillId="0" borderId="0" xfId="21" applyNumberFormat="1" applyFont="1" applyFill="1" applyBorder="1" applyAlignment="1"/>
    <xf numFmtId="0" fontId="28" fillId="0" borderId="0" xfId="21" applyFont="1" applyFill="1" applyAlignment="1">
      <alignment horizontal="right"/>
    </xf>
    <xf numFmtId="183" fontId="27" fillId="0" borderId="0" xfId="17" applyNumberFormat="1" applyFont="1" applyFill="1" applyBorder="1" applyAlignment="1" applyProtection="1">
      <alignment horizontal="left"/>
      <protection hidden="1"/>
    </xf>
    <xf numFmtId="10" fontId="28" fillId="0" borderId="0" xfId="21" applyNumberFormat="1" applyFont="1" applyFill="1" applyAlignment="1">
      <alignment horizontal="right"/>
    </xf>
    <xf numFmtId="0" fontId="28" fillId="0" borderId="0" xfId="0" applyFont="1"/>
    <xf numFmtId="0" fontId="28" fillId="0" borderId="0" xfId="0" applyFont="1" applyAlignment="1">
      <alignment vertical="center"/>
    </xf>
    <xf numFmtId="0" fontId="28" fillId="0" borderId="0" xfId="21" applyFont="1" applyFill="1" applyAlignment="1">
      <alignment vertical="center"/>
    </xf>
    <xf numFmtId="1" fontId="28" fillId="0" borderId="0" xfId="33" applyNumberFormat="1" applyFont="1" applyAlignment="1">
      <alignment horizontal="center"/>
    </xf>
    <xf numFmtId="43" fontId="28" fillId="0" borderId="0" xfId="10" applyFont="1" applyAlignment="1">
      <alignment horizontal="left"/>
    </xf>
    <xf numFmtId="174" fontId="28" fillId="0" borderId="0" xfId="33" applyNumberFormat="1" applyFont="1" applyAlignment="1">
      <alignment horizontal="center"/>
    </xf>
    <xf numFmtId="3" fontId="28" fillId="0" borderId="0" xfId="33" applyNumberFormat="1" applyFont="1" applyAlignment="1">
      <alignment horizontal="right"/>
    </xf>
    <xf numFmtId="3" fontId="28" fillId="0" borderId="0" xfId="10" applyNumberFormat="1" applyFont="1" applyAlignment="1">
      <alignment horizontal="right"/>
    </xf>
    <xf numFmtId="43" fontId="28" fillId="0" borderId="0" xfId="10" applyFont="1" applyAlignment="1">
      <alignment horizontal="right"/>
    </xf>
    <xf numFmtId="43" fontId="28" fillId="0" borderId="0" xfId="10" applyFont="1" applyAlignment="1">
      <alignment horizontal="center"/>
    </xf>
    <xf numFmtId="0" fontId="28" fillId="0" borderId="0" xfId="33" applyFont="1" applyAlignment="1">
      <alignment horizontal="center"/>
    </xf>
    <xf numFmtId="0" fontId="28" fillId="0" borderId="0" xfId="33" applyFont="1"/>
    <xf numFmtId="2" fontId="29" fillId="0" borderId="0" xfId="21" applyNumberFormat="1" applyFont="1" applyFill="1" applyBorder="1" applyAlignment="1"/>
    <xf numFmtId="174" fontId="30" fillId="0" borderId="0" xfId="21" applyNumberFormat="1" applyFont="1" applyFill="1" applyAlignment="1"/>
    <xf numFmtId="3" fontId="30" fillId="0" borderId="0" xfId="21" applyNumberFormat="1" applyFont="1" applyFill="1" applyAlignment="1">
      <alignment horizontal="right"/>
    </xf>
    <xf numFmtId="0" fontId="30" fillId="0" borderId="0" xfId="21" applyFont="1" applyFill="1" applyAlignment="1">
      <alignment horizontal="right"/>
    </xf>
    <xf numFmtId="2" fontId="30" fillId="0" borderId="0" xfId="21" applyNumberFormat="1" applyFont="1" applyFill="1" applyBorder="1" applyAlignment="1">
      <alignment horizontal="left" vertical="top"/>
    </xf>
    <xf numFmtId="0" fontId="32" fillId="0" borderId="0" xfId="0" applyFont="1" applyAlignment="1">
      <alignment vertical="top"/>
    </xf>
    <xf numFmtId="0" fontId="28" fillId="0" borderId="0" xfId="33" applyFont="1" applyFill="1" applyAlignment="1">
      <alignment horizontal="center"/>
    </xf>
    <xf numFmtId="2" fontId="28" fillId="0" borderId="0" xfId="33" applyNumberFormat="1" applyFont="1" applyAlignment="1">
      <alignment horizontal="center"/>
    </xf>
    <xf numFmtId="2" fontId="28" fillId="0" borderId="0" xfId="10" applyNumberFormat="1" applyFont="1" applyAlignment="1">
      <alignment horizontal="left"/>
    </xf>
    <xf numFmtId="3" fontId="28" fillId="0" borderId="0" xfId="10" applyNumberFormat="1" applyFont="1" applyFill="1" applyAlignment="1">
      <alignment horizontal="right"/>
    </xf>
    <xf numFmtId="43" fontId="28" fillId="0" borderId="0" xfId="10" applyFont="1" applyFill="1" applyAlignment="1">
      <alignment horizontal="right"/>
    </xf>
    <xf numFmtId="1" fontId="28" fillId="0" borderId="0" xfId="33" applyNumberFormat="1" applyFont="1" applyFill="1" applyAlignment="1">
      <alignment horizontal="center"/>
    </xf>
    <xf numFmtId="43" fontId="28" fillId="0" borderId="0" xfId="10" applyFont="1" applyFill="1" applyAlignment="1">
      <alignment horizontal="left"/>
    </xf>
    <xf numFmtId="43" fontId="28" fillId="0" borderId="0" xfId="10" applyFont="1" applyFill="1" applyAlignment="1">
      <alignment horizontal="center"/>
    </xf>
    <xf numFmtId="174" fontId="28" fillId="0" borderId="0" xfId="33" applyNumberFormat="1" applyFont="1" applyFill="1" applyAlignment="1">
      <alignment horizontal="center"/>
    </xf>
    <xf numFmtId="3" fontId="28" fillId="0" borderId="0" xfId="33" applyNumberFormat="1" applyFont="1" applyFill="1" applyAlignment="1">
      <alignment horizontal="right"/>
    </xf>
    <xf numFmtId="0" fontId="28" fillId="0" borderId="0" xfId="33" applyFont="1" applyFill="1"/>
    <xf numFmtId="0" fontId="28" fillId="0" borderId="0" xfId="0" applyFont="1" applyFill="1"/>
    <xf numFmtId="0" fontId="27" fillId="0" borderId="0" xfId="0" applyFont="1" applyFill="1" applyAlignment="1"/>
    <xf numFmtId="0" fontId="28" fillId="0" borderId="0" xfId="0" applyFont="1" applyFill="1" applyAlignment="1"/>
    <xf numFmtId="0" fontId="28" fillId="8" borderId="0" xfId="0" applyFont="1" applyFill="1" applyAlignment="1">
      <alignment horizontal="center"/>
    </xf>
    <xf numFmtId="0" fontId="27" fillId="0" borderId="0" xfId="0" applyFont="1"/>
    <xf numFmtId="0" fontId="28" fillId="0" borderId="0" xfId="0" applyFont="1" applyAlignment="1">
      <alignment horizontal="center"/>
    </xf>
    <xf numFmtId="0" fontId="28" fillId="0" borderId="0" xfId="0" applyNumberFormat="1" applyFont="1" applyAlignment="1">
      <alignment horizontal="center"/>
    </xf>
    <xf numFmtId="0" fontId="28" fillId="0" borderId="0" xfId="0" applyNumberFormat="1" applyFont="1" applyAlignment="1"/>
    <xf numFmtId="179" fontId="28" fillId="0" borderId="0" xfId="0" applyNumberFormat="1" applyFont="1" applyAlignment="1">
      <alignment horizontal="right"/>
    </xf>
    <xf numFmtId="176" fontId="28" fillId="0" borderId="0" xfId="0" applyNumberFormat="1" applyFont="1" applyFill="1" applyAlignment="1">
      <alignment horizontal="center"/>
    </xf>
    <xf numFmtId="43" fontId="28" fillId="0" borderId="0" xfId="10" applyFont="1"/>
    <xf numFmtId="1" fontId="28" fillId="0" borderId="0" xfId="0" applyNumberFormat="1" applyFont="1" applyFill="1"/>
    <xf numFmtId="0" fontId="33" fillId="0" borderId="0" xfId="0" applyFont="1"/>
    <xf numFmtId="2" fontId="27" fillId="0" borderId="0" xfId="0" applyNumberFormat="1" applyFont="1"/>
    <xf numFmtId="2" fontId="27" fillId="0" borderId="0" xfId="0" applyNumberFormat="1" applyFont="1" applyAlignment="1">
      <alignment horizontal="center"/>
    </xf>
    <xf numFmtId="0" fontId="27" fillId="0" borderId="0" xfId="0" applyNumberFormat="1" applyFont="1" applyAlignment="1">
      <alignment horizontal="center"/>
    </xf>
    <xf numFmtId="0" fontId="27" fillId="0" borderId="0" xfId="0" applyNumberFormat="1" applyFont="1" applyAlignment="1"/>
    <xf numFmtId="179" fontId="27" fillId="0" borderId="0" xfId="0" applyNumberFormat="1" applyFont="1" applyAlignment="1">
      <alignment horizontal="right"/>
    </xf>
    <xf numFmtId="176" fontId="27" fillId="0" borderId="0" xfId="0" applyNumberFormat="1" applyFont="1" applyFill="1" applyAlignment="1">
      <alignment horizontal="center"/>
    </xf>
    <xf numFmtId="43" fontId="27" fillId="0" borderId="0" xfId="10" applyFont="1"/>
    <xf numFmtId="2" fontId="27" fillId="0" borderId="0" xfId="0" applyNumberFormat="1" applyFont="1" applyFill="1"/>
    <xf numFmtId="0" fontId="34" fillId="0" borderId="0" xfId="0" applyFont="1"/>
    <xf numFmtId="2" fontId="29" fillId="0" borderId="0" xfId="0" applyNumberFormat="1" applyFont="1" applyAlignment="1">
      <alignment horizontal="center"/>
    </xf>
    <xf numFmtId="2" fontId="29" fillId="0" borderId="0" xfId="0" applyNumberFormat="1" applyFont="1"/>
    <xf numFmtId="2" fontId="29" fillId="0" borderId="0" xfId="21" applyNumberFormat="1" applyFont="1" applyFill="1" applyBorder="1" applyAlignment="1">
      <alignment horizontal="center"/>
    </xf>
    <xf numFmtId="0" fontId="30" fillId="0" borderId="0" xfId="21" applyNumberFormat="1" applyFont="1" applyFill="1" applyBorder="1" applyAlignment="1"/>
    <xf numFmtId="0" fontId="28" fillId="0" borderId="0" xfId="0" applyFont="1" applyAlignment="1">
      <alignment vertical="top"/>
    </xf>
    <xf numFmtId="0" fontId="28" fillId="0" borderId="0" xfId="0" applyFont="1" applyAlignment="1">
      <alignment horizontal="right" vertical="top"/>
    </xf>
    <xf numFmtId="176" fontId="28" fillId="0" borderId="0" xfId="0" applyNumberFormat="1" applyFont="1" applyAlignment="1">
      <alignment horizontal="center"/>
    </xf>
    <xf numFmtId="0" fontId="28" fillId="0" borderId="0" xfId="0" applyFont="1" applyAlignment="1">
      <alignment horizontal="right"/>
    </xf>
    <xf numFmtId="2" fontId="29" fillId="0" borderId="0" xfId="0" applyNumberFormat="1" applyFont="1" applyAlignment="1">
      <alignment horizontal="left"/>
    </xf>
    <xf numFmtId="2" fontId="30" fillId="0" borderId="0" xfId="0" applyNumberFormat="1" applyFont="1" applyAlignment="1">
      <alignment horizontal="left"/>
    </xf>
    <xf numFmtId="2" fontId="28" fillId="0" borderId="0" xfId="17" applyNumberFormat="1" applyFont="1" applyFill="1" applyAlignment="1" applyProtection="1">
      <alignment horizontal="center"/>
      <protection hidden="1"/>
    </xf>
    <xf numFmtId="2" fontId="28" fillId="0" borderId="0" xfId="17" applyNumberFormat="1" applyFont="1" applyFill="1" applyProtection="1">
      <protection hidden="1"/>
    </xf>
    <xf numFmtId="0" fontId="28" fillId="0" borderId="0" xfId="17" applyFont="1" applyFill="1" applyProtection="1">
      <protection hidden="1"/>
    </xf>
    <xf numFmtId="0" fontId="28" fillId="0" borderId="0" xfId="17" applyNumberFormat="1" applyFont="1" applyFill="1" applyBorder="1" applyAlignment="1" applyProtection="1">
      <alignment horizontal="left"/>
      <protection hidden="1"/>
    </xf>
    <xf numFmtId="4" fontId="28" fillId="0" borderId="0" xfId="17" applyNumberFormat="1" applyFont="1" applyFill="1" applyBorder="1" applyAlignment="1" applyProtection="1">
      <alignment horizontal="center"/>
      <protection hidden="1"/>
    </xf>
    <xf numFmtId="0" fontId="28" fillId="0" borderId="0" xfId="17" applyFont="1" applyFill="1" applyBorder="1" applyAlignment="1" applyProtection="1">
      <alignment horizontal="center"/>
      <protection hidden="1"/>
    </xf>
    <xf numFmtId="183" fontId="28" fillId="0" borderId="0" xfId="17" applyNumberFormat="1" applyFont="1" applyFill="1" applyBorder="1" applyAlignment="1" applyProtection="1">
      <alignment horizontal="center"/>
      <protection hidden="1"/>
    </xf>
    <xf numFmtId="2" fontId="29" fillId="0" borderId="0" xfId="19" applyNumberFormat="1" applyFont="1" applyFill="1" applyBorder="1" applyAlignment="1">
      <alignment vertical="center"/>
    </xf>
    <xf numFmtId="2" fontId="30" fillId="0" borderId="0" xfId="19" applyNumberFormat="1" applyFont="1" applyFill="1" applyBorder="1" applyAlignment="1">
      <alignment vertical="center"/>
    </xf>
    <xf numFmtId="0" fontId="29" fillId="0" borderId="0" xfId="17" applyNumberFormat="1" applyFont="1" applyFill="1" applyBorder="1" applyAlignment="1" applyProtection="1">
      <alignment horizontal="left" vertical="center"/>
      <protection hidden="1"/>
    </xf>
    <xf numFmtId="0" fontId="28" fillId="0" borderId="0" xfId="0" applyFont="1" applyFill="1" applyAlignment="1">
      <alignment vertical="center"/>
    </xf>
    <xf numFmtId="0" fontId="28" fillId="0" borderId="0" xfId="0" applyFont="1" applyFill="1" applyAlignment="1">
      <alignment horizontal="center" vertical="center"/>
    </xf>
    <xf numFmtId="2" fontId="29" fillId="0" borderId="0" xfId="19" applyNumberFormat="1" applyFont="1" applyFill="1" applyBorder="1" applyAlignment="1">
      <alignment horizontal="center" vertical="center"/>
    </xf>
    <xf numFmtId="0" fontId="28" fillId="0" borderId="0" xfId="0" applyFont="1" applyFill="1" applyAlignment="1">
      <alignment horizontal="left" vertical="center" wrapText="1"/>
    </xf>
    <xf numFmtId="0" fontId="28" fillId="0" borderId="0" xfId="0" applyFont="1" applyFill="1" applyAlignment="1">
      <alignment vertical="center" wrapText="1"/>
    </xf>
    <xf numFmtId="0" fontId="28" fillId="0" borderId="0" xfId="0" applyFont="1" applyFill="1" applyAlignment="1">
      <alignment horizontal="left" vertical="center"/>
    </xf>
    <xf numFmtId="0" fontId="31" fillId="0" borderId="0" xfId="19" applyFont="1" applyAlignment="1">
      <alignment vertical="center"/>
    </xf>
    <xf numFmtId="0" fontId="31" fillId="0" borderId="0" xfId="19" applyFont="1" applyAlignment="1">
      <alignment horizontal="center" vertical="center"/>
    </xf>
    <xf numFmtId="0" fontId="28" fillId="0" borderId="0" xfId="0" applyFont="1" applyAlignment="1">
      <alignment horizontal="center" vertical="center"/>
    </xf>
    <xf numFmtId="2" fontId="29" fillId="0" borderId="0" xfId="21" applyNumberFormat="1" applyFont="1" applyFill="1" applyBorder="1" applyAlignment="1">
      <alignment vertical="center"/>
    </xf>
    <xf numFmtId="2" fontId="30" fillId="0" borderId="0" xfId="21" applyNumberFormat="1" applyFont="1" applyFill="1" applyBorder="1" applyAlignment="1">
      <alignment vertical="center"/>
    </xf>
    <xf numFmtId="2" fontId="31" fillId="0" borderId="0" xfId="19" applyNumberFormat="1" applyFont="1" applyFill="1" applyAlignment="1">
      <alignment vertical="center"/>
    </xf>
    <xf numFmtId="2" fontId="30" fillId="0" borderId="0" xfId="21" applyNumberFormat="1" applyFont="1" applyFill="1" applyBorder="1" applyAlignment="1">
      <alignment horizontal="left" vertical="center"/>
    </xf>
    <xf numFmtId="0" fontId="28" fillId="0" borderId="0" xfId="29" applyFont="1" applyFill="1" applyBorder="1" applyAlignment="1">
      <alignment vertical="center"/>
    </xf>
    <xf numFmtId="2" fontId="28" fillId="0" borderId="0" xfId="29" applyNumberFormat="1" applyFont="1" applyFill="1" applyBorder="1" applyAlignment="1">
      <alignment vertical="center"/>
    </xf>
    <xf numFmtId="2" fontId="28" fillId="0" borderId="0" xfId="29" applyNumberFormat="1" applyFont="1" applyFill="1" applyBorder="1" applyAlignment="1">
      <alignment horizontal="center" vertical="center"/>
    </xf>
    <xf numFmtId="0" fontId="31" fillId="0" borderId="0" xfId="19" applyFont="1" applyBorder="1" applyAlignment="1">
      <alignment vertical="center"/>
    </xf>
    <xf numFmtId="0" fontId="28" fillId="0" borderId="0" xfId="19" applyFont="1" applyFill="1" applyAlignment="1">
      <alignment horizontal="center" vertical="center"/>
    </xf>
    <xf numFmtId="0" fontId="27" fillId="0" borderId="0" xfId="0" applyFont="1" applyFill="1" applyAlignment="1">
      <alignment vertical="center"/>
    </xf>
    <xf numFmtId="0" fontId="31" fillId="0" borderId="0" xfId="19" applyFont="1" applyFill="1" applyBorder="1" applyAlignment="1">
      <alignment vertical="center"/>
    </xf>
    <xf numFmtId="0" fontId="28" fillId="0" borderId="0" xfId="19" applyFont="1" applyFill="1" applyBorder="1" applyAlignment="1">
      <alignment horizontal="center" vertical="center"/>
    </xf>
    <xf numFmtId="0" fontId="28" fillId="0" borderId="0" xfId="19" applyFont="1" applyFill="1" applyBorder="1" applyAlignment="1">
      <alignment vertical="center"/>
    </xf>
    <xf numFmtId="0" fontId="28" fillId="0" borderId="0" xfId="2" applyNumberFormat="1" applyFont="1" applyFill="1" applyAlignment="1"/>
    <xf numFmtId="177" fontId="28" fillId="0" borderId="0" xfId="31" applyNumberFormat="1" applyFont="1" applyFill="1" applyBorder="1" applyAlignment="1" applyProtection="1">
      <alignment horizontal="center"/>
      <protection hidden="1"/>
    </xf>
    <xf numFmtId="181" fontId="36" fillId="0" borderId="0" xfId="31" applyNumberFormat="1" applyFont="1" applyFill="1" applyBorder="1" applyAlignment="1" applyProtection="1">
      <alignment vertical="center"/>
      <protection locked="0"/>
    </xf>
    <xf numFmtId="0" fontId="22" fillId="0" borderId="0" xfId="0" applyFont="1" applyFill="1" applyBorder="1"/>
    <xf numFmtId="172" fontId="24" fillId="9" borderId="1" xfId="0" applyNumberFormat="1" applyFont="1" applyFill="1" applyBorder="1" applyAlignment="1" applyProtection="1">
      <alignment horizontal="center"/>
    </xf>
    <xf numFmtId="0" fontId="22" fillId="0" borderId="0" xfId="0" applyFont="1"/>
    <xf numFmtId="0" fontId="36" fillId="0" borderId="0" xfId="0" applyFont="1"/>
    <xf numFmtId="0" fontId="29" fillId="0" borderId="0" xfId="0" applyFont="1"/>
    <xf numFmtId="0" fontId="28" fillId="0" borderId="0" xfId="28" applyFont="1" applyFill="1" applyProtection="1">
      <protection hidden="1"/>
    </xf>
    <xf numFmtId="0" fontId="28" fillId="0" borderId="0" xfId="28" applyFont="1" applyFill="1" applyBorder="1" applyProtection="1">
      <protection hidden="1"/>
    </xf>
    <xf numFmtId="0" fontId="32" fillId="0" borderId="0" xfId="22" applyFont="1"/>
    <xf numFmtId="0" fontId="27" fillId="0" borderId="0" xfId="22" applyFont="1" applyAlignment="1">
      <alignment horizontal="center"/>
    </xf>
    <xf numFmtId="0" fontId="28" fillId="0" borderId="0" xfId="22" applyFont="1" applyFill="1" applyAlignment="1">
      <alignment vertical="center"/>
    </xf>
    <xf numFmtId="0" fontId="28" fillId="0" borderId="0" xfId="28" applyFont="1" applyFill="1" applyAlignment="1" applyProtection="1">
      <alignment vertical="center"/>
      <protection hidden="1"/>
    </xf>
    <xf numFmtId="0" fontId="28" fillId="0" borderId="0" xfId="28" applyFont="1" applyFill="1" applyBorder="1" applyAlignment="1" applyProtection="1">
      <alignment vertical="center"/>
      <protection hidden="1"/>
    </xf>
    <xf numFmtId="2" fontId="28" fillId="0" borderId="0" xfId="22" applyNumberFormat="1" applyFont="1" applyFill="1" applyAlignment="1">
      <alignment vertical="center"/>
    </xf>
    <xf numFmtId="2" fontId="28" fillId="0" borderId="0" xfId="28" applyNumberFormat="1" applyFont="1" applyFill="1" applyAlignment="1" applyProtection="1">
      <alignment vertical="center"/>
      <protection hidden="1"/>
    </xf>
    <xf numFmtId="0" fontId="27" fillId="0" borderId="0" xfId="28" applyFont="1" applyFill="1" applyBorder="1" applyAlignment="1" applyProtection="1">
      <alignment horizontal="center" vertical="center"/>
      <protection hidden="1"/>
    </xf>
    <xf numFmtId="0" fontId="27" fillId="0" borderId="0" xfId="28" applyFont="1" applyFill="1" applyBorder="1" applyAlignment="1" applyProtection="1">
      <alignment horizontal="right" vertical="center"/>
      <protection hidden="1"/>
    </xf>
    <xf numFmtId="2" fontId="27" fillId="0" borderId="0" xfId="22" applyNumberFormat="1" applyFont="1" applyAlignment="1">
      <alignment horizontal="center"/>
    </xf>
    <xf numFmtId="2" fontId="28" fillId="0" borderId="0" xfId="28" applyNumberFormat="1" applyFont="1" applyFill="1" applyBorder="1" applyAlignment="1" applyProtection="1">
      <alignment vertical="center"/>
      <protection hidden="1"/>
    </xf>
    <xf numFmtId="0" fontId="32" fillId="0" borderId="0" xfId="22" applyFont="1" applyFill="1" applyBorder="1"/>
    <xf numFmtId="2" fontId="29" fillId="0" borderId="0" xfId="28" applyNumberFormat="1" applyFont="1" applyFill="1" applyBorder="1" applyAlignment="1" applyProtection="1">
      <alignment vertical="center"/>
      <protection locked="0"/>
    </xf>
    <xf numFmtId="2" fontId="28" fillId="0" borderId="8" xfId="20" applyNumberFormat="1" applyFont="1" applyFill="1" applyBorder="1" applyProtection="1">
      <protection hidden="1"/>
    </xf>
    <xf numFmtId="2" fontId="28" fillId="0" borderId="0" xfId="20" applyNumberFormat="1" applyFont="1" applyFill="1" applyBorder="1" applyProtection="1">
      <protection hidden="1"/>
    </xf>
    <xf numFmtId="0" fontId="32" fillId="0" borderId="0" xfId="22" applyFont="1" applyFill="1"/>
    <xf numFmtId="0" fontId="27" fillId="0" borderId="0" xfId="28" applyFont="1" applyFill="1" applyBorder="1" applyAlignment="1" applyProtection="1">
      <alignment vertical="center"/>
      <protection hidden="1"/>
    </xf>
    <xf numFmtId="0" fontId="32" fillId="0" borderId="0" xfId="22" applyFont="1" applyBorder="1"/>
    <xf numFmtId="181" fontId="27" fillId="0" borderId="0" xfId="22" applyNumberFormat="1" applyFont="1" applyFill="1" applyBorder="1" applyAlignment="1"/>
    <xf numFmtId="0" fontId="27" fillId="0" borderId="8" xfId="28" applyFont="1" applyFill="1" applyBorder="1" applyAlignment="1" applyProtection="1">
      <alignment horizontal="left" vertical="center"/>
      <protection hidden="1"/>
    </xf>
    <xf numFmtId="0" fontId="27" fillId="0" borderId="0" xfId="28" applyFont="1" applyFill="1" applyBorder="1" applyAlignment="1" applyProtection="1">
      <alignment horizontal="left" vertical="center"/>
      <protection hidden="1"/>
    </xf>
    <xf numFmtId="10" fontId="27" fillId="0" borderId="0" xfId="31" applyNumberFormat="1" applyFont="1" applyFill="1" applyBorder="1" applyAlignment="1"/>
    <xf numFmtId="183" fontId="28" fillId="0" borderId="0" xfId="28" applyNumberFormat="1" applyFont="1" applyFill="1" applyBorder="1" applyAlignment="1" applyProtection="1">
      <alignment vertical="center"/>
      <protection hidden="1"/>
    </xf>
    <xf numFmtId="178" fontId="28" fillId="0" borderId="0" xfId="28" applyNumberFormat="1" applyFont="1" applyFill="1" applyBorder="1" applyAlignment="1" applyProtection="1">
      <alignment vertical="center"/>
      <protection hidden="1"/>
    </xf>
    <xf numFmtId="181" fontId="28" fillId="0" borderId="0" xfId="28" applyNumberFormat="1" applyFont="1" applyFill="1" applyBorder="1" applyAlignment="1" applyProtection="1">
      <alignment vertical="center"/>
      <protection hidden="1"/>
    </xf>
    <xf numFmtId="181" fontId="28" fillId="0" borderId="0" xfId="28" applyNumberFormat="1" applyFont="1" applyFill="1" applyBorder="1" applyAlignment="1" applyProtection="1">
      <alignment horizontal="right" vertical="center"/>
      <protection hidden="1"/>
    </xf>
    <xf numFmtId="0" fontId="28" fillId="0" borderId="0" xfId="28" applyFont="1" applyFill="1" applyBorder="1" applyAlignment="1" applyProtection="1">
      <alignment horizontal="right" vertical="center"/>
      <protection hidden="1"/>
    </xf>
    <xf numFmtId="0" fontId="27" fillId="0" borderId="0" xfId="28" applyFont="1" applyFill="1" applyBorder="1" applyAlignment="1" applyProtection="1">
      <protection hidden="1"/>
    </xf>
    <xf numFmtId="0" fontId="28" fillId="0" borderId="0" xfId="28" applyFont="1" applyFill="1" applyAlignment="1" applyProtection="1">
      <protection hidden="1"/>
    </xf>
    <xf numFmtId="0" fontId="28" fillId="0" borderId="0" xfId="22" applyFont="1" applyAlignment="1"/>
    <xf numFmtId="0" fontId="28" fillId="0" borderId="0" xfId="22" applyFont="1" applyFill="1" applyAlignment="1"/>
    <xf numFmtId="177" fontId="28" fillId="0" borderId="7" xfId="31" applyNumberFormat="1" applyFont="1" applyFill="1" applyBorder="1" applyAlignment="1" applyProtection="1">
      <alignment horizontal="center"/>
      <protection hidden="1"/>
    </xf>
    <xf numFmtId="183" fontId="27" fillId="0" borderId="0" xfId="2" applyNumberFormat="1" applyFont="1" applyFill="1" applyBorder="1" applyAlignment="1" applyProtection="1">
      <alignment horizontal="left"/>
      <protection hidden="1"/>
    </xf>
    <xf numFmtId="165" fontId="27" fillId="0" borderId="0" xfId="17" applyNumberFormat="1" applyFont="1" applyFill="1" applyBorder="1" applyAlignment="1" applyProtection="1">
      <alignment horizontal="left"/>
      <protection hidden="1"/>
    </xf>
    <xf numFmtId="181" fontId="27" fillId="8" borderId="1" xfId="20" applyNumberFormat="1" applyFont="1" applyFill="1" applyBorder="1" applyAlignment="1" applyProtection="1">
      <alignment horizontal="center" vertical="center"/>
      <protection hidden="1"/>
    </xf>
    <xf numFmtId="2" fontId="48" fillId="0" borderId="0" xfId="0" applyNumberFormat="1" applyFont="1"/>
    <xf numFmtId="165" fontId="28" fillId="0" borderId="0" xfId="2" applyFont="1" applyFill="1" applyBorder="1" applyAlignment="1"/>
    <xf numFmtId="165" fontId="13" fillId="0" borderId="0" xfId="0" applyNumberFormat="1" applyFont="1"/>
    <xf numFmtId="4" fontId="13" fillId="0" borderId="0" xfId="0" applyNumberFormat="1" applyFont="1"/>
    <xf numFmtId="182" fontId="28" fillId="0" borderId="0" xfId="21" applyNumberFormat="1" applyFont="1" applyFill="1" applyAlignment="1"/>
    <xf numFmtId="49" fontId="13" fillId="0" borderId="0" xfId="0" applyNumberFormat="1" applyFont="1"/>
    <xf numFmtId="183" fontId="13" fillId="0" borderId="0" xfId="0" applyNumberFormat="1" applyFont="1"/>
    <xf numFmtId="0" fontId="14" fillId="0" borderId="0" xfId="0" applyFont="1"/>
    <xf numFmtId="4" fontId="14" fillId="0" borderId="0" xfId="0" applyNumberFormat="1" applyFont="1"/>
    <xf numFmtId="2" fontId="14" fillId="0" borderId="0" xfId="0" applyNumberFormat="1" applyFont="1"/>
    <xf numFmtId="2" fontId="22" fillId="0" borderId="0" xfId="21" applyNumberFormat="1" applyFont="1" applyFill="1" applyBorder="1" applyAlignment="1"/>
    <xf numFmtId="2" fontId="30" fillId="0" borderId="0" xfId="21" applyNumberFormat="1" applyFont="1" applyFill="1" applyBorder="1" applyAlignment="1">
      <alignment horizontal="left"/>
    </xf>
    <xf numFmtId="0" fontId="27" fillId="0" borderId="0" xfId="17" applyNumberFormat="1" applyFont="1" applyFill="1" applyBorder="1" applyAlignment="1" applyProtection="1">
      <alignment horizontal="center"/>
      <protection hidden="1"/>
    </xf>
    <xf numFmtId="0" fontId="14" fillId="12" borderId="3" xfId="33" applyFont="1" applyFill="1" applyBorder="1" applyAlignment="1">
      <alignment horizontal="center"/>
    </xf>
    <xf numFmtId="179" fontId="14" fillId="12" borderId="3" xfId="33" applyNumberFormat="1" applyFont="1" applyFill="1" applyBorder="1" applyAlignment="1">
      <alignment horizontal="center"/>
    </xf>
    <xf numFmtId="0" fontId="52" fillId="0" borderId="0" xfId="33" applyFont="1" applyFill="1"/>
    <xf numFmtId="185" fontId="14" fillId="12" borderId="0" xfId="21" applyNumberFormat="1" applyFont="1" applyFill="1" applyAlignment="1">
      <alignment horizontal="center"/>
    </xf>
    <xf numFmtId="0" fontId="13" fillId="0" borderId="0" xfId="0" applyFont="1" applyFill="1" applyBorder="1"/>
    <xf numFmtId="0" fontId="13" fillId="0" borderId="0" xfId="0" applyFont="1" applyBorder="1"/>
    <xf numFmtId="4" fontId="13" fillId="0" borderId="0" xfId="0" applyNumberFormat="1" applyFont="1" applyBorder="1"/>
    <xf numFmtId="0" fontId="13" fillId="0" borderId="0" xfId="0" applyFont="1" applyBorder="1" applyAlignment="1">
      <alignment horizontal="center"/>
    </xf>
    <xf numFmtId="165" fontId="28" fillId="0" borderId="0" xfId="0" applyNumberFormat="1" applyFont="1" applyBorder="1"/>
    <xf numFmtId="0" fontId="58" fillId="0" borderId="0" xfId="21" applyNumberFormat="1" applyFont="1" applyFill="1" applyBorder="1" applyAlignment="1"/>
    <xf numFmtId="0" fontId="59" fillId="0" borderId="0" xfId="21" applyNumberFormat="1" applyFont="1" applyFill="1" applyBorder="1" applyAlignment="1"/>
    <xf numFmtId="0" fontId="28" fillId="0" borderId="0" xfId="21" applyFont="1" applyFill="1" applyBorder="1" applyAlignment="1"/>
    <xf numFmtId="0" fontId="27" fillId="0" borderId="0" xfId="21" applyFont="1" applyFill="1" applyAlignment="1">
      <alignment vertical="top" wrapText="1"/>
    </xf>
    <xf numFmtId="49" fontId="27" fillId="0" borderId="0" xfId="17" applyNumberFormat="1" applyFont="1" applyFill="1" applyBorder="1" applyAlignment="1" applyProtection="1">
      <alignment horizontal="left" vertical="top" wrapText="1"/>
      <protection hidden="1"/>
    </xf>
    <xf numFmtId="0" fontId="27" fillId="0" borderId="0" xfId="21" applyFont="1" applyFill="1" applyAlignment="1">
      <alignment horizontal="center" vertical="top" wrapText="1"/>
    </xf>
    <xf numFmtId="0" fontId="27" fillId="0" borderId="0" xfId="17" applyFont="1" applyFill="1" applyBorder="1" applyAlignment="1" applyProtection="1">
      <alignment horizontal="center" vertical="top" wrapText="1"/>
      <protection hidden="1"/>
    </xf>
    <xf numFmtId="49" fontId="60" fillId="0" borderId="0" xfId="21" applyNumberFormat="1" applyFont="1" applyFill="1" applyBorder="1" applyAlignment="1"/>
    <xf numFmtId="2" fontId="61" fillId="0" borderId="0" xfId="21" applyNumberFormat="1" applyFont="1" applyFill="1" applyBorder="1" applyAlignment="1"/>
    <xf numFmtId="15" fontId="61" fillId="0" borderId="0" xfId="21" applyNumberFormat="1" applyFont="1" applyFill="1" applyBorder="1" applyAlignment="1">
      <alignment horizontal="left"/>
    </xf>
    <xf numFmtId="49" fontId="62" fillId="0" borderId="0" xfId="17" applyNumberFormat="1" applyFont="1" applyFill="1" applyBorder="1" applyAlignment="1" applyProtection="1">
      <alignment horizontal="left"/>
      <protection hidden="1"/>
    </xf>
    <xf numFmtId="49" fontId="63" fillId="0" borderId="0" xfId="17" applyNumberFormat="1" applyFont="1" applyFill="1" applyBorder="1" applyAlignment="1" applyProtection="1">
      <alignment horizontal="left"/>
      <protection hidden="1"/>
    </xf>
    <xf numFmtId="49" fontId="62" fillId="0" borderId="0" xfId="17" applyNumberFormat="1" applyFont="1" applyFill="1" applyBorder="1" applyAlignment="1" applyProtection="1">
      <alignment horizontal="left" vertical="center"/>
      <protection hidden="1"/>
    </xf>
    <xf numFmtId="0" fontId="27" fillId="0" borderId="0" xfId="17" applyNumberFormat="1" applyFont="1" applyFill="1" applyBorder="1" applyAlignment="1" applyProtection="1">
      <alignment horizontal="left" vertical="center"/>
      <protection hidden="1"/>
    </xf>
    <xf numFmtId="175" fontId="28" fillId="0" borderId="0" xfId="17" applyNumberFormat="1" applyFont="1" applyFill="1" applyBorder="1" applyAlignment="1" applyProtection="1">
      <alignment horizontal="left" vertical="center"/>
      <protection hidden="1"/>
    </xf>
    <xf numFmtId="182" fontId="28" fillId="0" borderId="0" xfId="21" applyNumberFormat="1" applyFont="1" applyFill="1" applyAlignment="1">
      <alignment vertical="center"/>
    </xf>
    <xf numFmtId="43" fontId="28" fillId="0" borderId="0" xfId="21" applyNumberFormat="1" applyFont="1" applyFill="1" applyAlignment="1">
      <alignment vertical="center"/>
    </xf>
    <xf numFmtId="177" fontId="27" fillId="0" borderId="0" xfId="17" applyNumberFormat="1" applyFont="1" applyFill="1" applyBorder="1" applyAlignment="1" applyProtection="1">
      <alignment horizontal="center" vertical="center"/>
      <protection hidden="1"/>
    </xf>
    <xf numFmtId="165" fontId="27" fillId="0" borderId="0" xfId="2" applyFont="1" applyFill="1" applyBorder="1" applyAlignment="1" applyProtection="1">
      <alignment horizontal="left" vertical="center"/>
      <protection hidden="1"/>
    </xf>
    <xf numFmtId="182" fontId="27" fillId="0" borderId="0" xfId="17" applyNumberFormat="1" applyFont="1" applyFill="1" applyBorder="1" applyAlignment="1" applyProtection="1">
      <alignment horizontal="left" vertical="center"/>
      <protection hidden="1"/>
    </xf>
    <xf numFmtId="183" fontId="28" fillId="0" borderId="0" xfId="22" applyNumberFormat="1" applyFont="1" applyAlignment="1">
      <alignment horizontal="center" vertical="center"/>
    </xf>
    <xf numFmtId="4" fontId="28" fillId="0" borderId="17" xfId="31" applyNumberFormat="1" applyFont="1" applyFill="1" applyBorder="1" applyAlignment="1" applyProtection="1">
      <alignment horizontal="center" vertical="center"/>
      <protection hidden="1"/>
    </xf>
    <xf numFmtId="10" fontId="28" fillId="0" borderId="17" xfId="31" applyNumberFormat="1" applyFont="1" applyFill="1" applyBorder="1" applyAlignment="1" applyProtection="1">
      <alignment horizontal="center" vertical="center"/>
      <protection hidden="1"/>
    </xf>
    <xf numFmtId="0" fontId="13" fillId="0" borderId="0" xfId="0" applyFont="1" applyAlignment="1">
      <alignment horizontal="center" vertical="center" textRotation="90"/>
    </xf>
    <xf numFmtId="0" fontId="13" fillId="0" borderId="0" xfId="0" applyFont="1" applyAlignment="1">
      <alignment horizontal="center" vertical="center"/>
    </xf>
    <xf numFmtId="0" fontId="64" fillId="0" borderId="0" xfId="0" applyFont="1" applyAlignment="1">
      <alignment horizontal="left" vertical="center"/>
    </xf>
    <xf numFmtId="0" fontId="54" fillId="0" borderId="0" xfId="0" applyFont="1" applyAlignment="1">
      <alignment horizontal="center" vertical="center" textRotation="90"/>
    </xf>
    <xf numFmtId="0" fontId="54" fillId="0" borderId="0" xfId="0" applyFont="1" applyAlignment="1">
      <alignment vertical="center"/>
    </xf>
    <xf numFmtId="0" fontId="54" fillId="0" borderId="0" xfId="0" applyFont="1" applyAlignment="1">
      <alignment horizontal="left" vertical="center"/>
    </xf>
    <xf numFmtId="2" fontId="27" fillId="0" borderId="0" xfId="21" applyNumberFormat="1" applyFont="1" applyFill="1" applyAlignment="1">
      <alignment vertical="center" wrapText="1"/>
    </xf>
    <xf numFmtId="182" fontId="28" fillId="0" borderId="0" xfId="21" applyNumberFormat="1" applyFont="1" applyFill="1" applyAlignment="1">
      <alignment horizontal="right" vertical="center"/>
    </xf>
    <xf numFmtId="165" fontId="28" fillId="0" borderId="0" xfId="21" applyNumberFormat="1" applyFont="1" applyFill="1" applyAlignment="1">
      <alignment vertical="center"/>
    </xf>
    <xf numFmtId="165" fontId="28" fillId="0" borderId="0" xfId="2" applyFont="1" applyFill="1" applyAlignment="1">
      <alignment vertical="center"/>
    </xf>
    <xf numFmtId="182" fontId="28" fillId="0" borderId="0" xfId="5" applyNumberFormat="1" applyFont="1" applyFill="1" applyAlignment="1">
      <alignment horizontal="right" vertical="center"/>
    </xf>
    <xf numFmtId="0" fontId="65" fillId="0" borderId="0" xfId="21" applyFont="1" applyFill="1" applyBorder="1" applyAlignment="1"/>
    <xf numFmtId="0" fontId="66" fillId="0" borderId="0" xfId="21" applyFont="1" applyFill="1" applyBorder="1" applyAlignment="1"/>
    <xf numFmtId="0" fontId="67" fillId="0" borderId="0" xfId="21" applyFont="1" applyFill="1" applyBorder="1" applyAlignment="1">
      <alignment vertical="top" wrapText="1"/>
    </xf>
    <xf numFmtId="0" fontId="65" fillId="0" borderId="0" xfId="21" applyFont="1" applyFill="1" applyBorder="1" applyAlignment="1">
      <alignment vertical="center"/>
    </xf>
    <xf numFmtId="0" fontId="30" fillId="0" borderId="0" xfId="21" applyFont="1" applyFill="1" applyBorder="1" applyAlignment="1"/>
    <xf numFmtId="0" fontId="27" fillId="0" borderId="0" xfId="21" applyFont="1" applyFill="1" applyBorder="1" applyAlignment="1">
      <alignment vertical="top" wrapText="1"/>
    </xf>
    <xf numFmtId="0" fontId="28" fillId="0" borderId="0" xfId="21" applyFont="1" applyFill="1" applyBorder="1" applyAlignment="1">
      <alignment vertical="center"/>
    </xf>
    <xf numFmtId="0" fontId="65" fillId="0" borderId="18" xfId="21" applyFont="1" applyFill="1" applyBorder="1" applyAlignment="1"/>
    <xf numFmtId="0" fontId="65" fillId="0" borderId="19" xfId="21" applyFont="1" applyFill="1" applyBorder="1" applyAlignment="1">
      <alignment vertical="center" wrapText="1"/>
    </xf>
    <xf numFmtId="0" fontId="15" fillId="0" borderId="0" xfId="21" applyFont="1" applyFill="1" applyBorder="1" applyAlignment="1"/>
    <xf numFmtId="0" fontId="25" fillId="0" borderId="0" xfId="21" applyFont="1" applyFill="1" applyBorder="1" applyAlignment="1"/>
    <xf numFmtId="0" fontId="53" fillId="0" borderId="0" xfId="21" applyFont="1" applyFill="1" applyBorder="1" applyAlignment="1">
      <alignment vertical="top" wrapText="1"/>
    </xf>
    <xf numFmtId="0" fontId="15" fillId="0" borderId="0" xfId="21" applyFont="1" applyFill="1" applyBorder="1" applyAlignment="1">
      <alignment vertical="center"/>
    </xf>
    <xf numFmtId="49" fontId="15" fillId="0" borderId="0" xfId="17" applyNumberFormat="1" applyFont="1" applyFill="1" applyBorder="1" applyAlignment="1" applyProtection="1">
      <alignment horizontal="left"/>
      <protection hidden="1"/>
    </xf>
    <xf numFmtId="165" fontId="15" fillId="0" borderId="0" xfId="2" applyFont="1" applyFill="1" applyBorder="1" applyAlignment="1"/>
    <xf numFmtId="2" fontId="62" fillId="14" borderId="0" xfId="0" applyNumberFormat="1" applyFont="1" applyFill="1" applyBorder="1" applyAlignment="1">
      <alignment vertical="center" wrapText="1"/>
    </xf>
    <xf numFmtId="49" fontId="62" fillId="14" borderId="0" xfId="17" applyNumberFormat="1" applyFont="1" applyFill="1" applyBorder="1" applyAlignment="1" applyProtection="1">
      <alignment horizontal="center" vertical="center" wrapText="1"/>
      <protection hidden="1"/>
    </xf>
    <xf numFmtId="0" fontId="14" fillId="0" borderId="0" xfId="0" applyFont="1" applyAlignment="1">
      <alignment vertical="center"/>
    </xf>
    <xf numFmtId="0" fontId="2" fillId="0" borderId="0" xfId="0" applyFont="1" applyAlignment="1">
      <alignment vertical="center"/>
    </xf>
    <xf numFmtId="2" fontId="62" fillId="14" borderId="0" xfId="0" applyNumberFormat="1" applyFont="1" applyFill="1" applyBorder="1" applyAlignment="1">
      <alignment horizontal="center" vertical="center" wrapText="1"/>
    </xf>
    <xf numFmtId="0" fontId="13" fillId="0" borderId="0" xfId="0" applyFont="1" applyAlignment="1">
      <alignment vertical="center"/>
    </xf>
    <xf numFmtId="0" fontId="0" fillId="0" borderId="0" xfId="0" applyAlignment="1">
      <alignment vertical="center"/>
    </xf>
    <xf numFmtId="4" fontId="13" fillId="0" borderId="0" xfId="0" applyNumberFormat="1" applyFont="1" applyAlignment="1">
      <alignment vertical="center"/>
    </xf>
    <xf numFmtId="183" fontId="58" fillId="14" borderId="0" xfId="0" applyNumberFormat="1" applyFont="1" applyFill="1" applyAlignment="1">
      <alignment vertical="center"/>
    </xf>
    <xf numFmtId="183" fontId="62" fillId="14" borderId="0" xfId="0" applyNumberFormat="1" applyFont="1" applyFill="1" applyAlignment="1">
      <alignment vertical="center"/>
    </xf>
    <xf numFmtId="185" fontId="13" fillId="0" borderId="0" xfId="0" applyNumberFormat="1" applyFont="1" applyAlignment="1">
      <alignment vertical="center"/>
    </xf>
    <xf numFmtId="0" fontId="13" fillId="14" borderId="0" xfId="0" applyFont="1" applyFill="1"/>
    <xf numFmtId="0" fontId="68" fillId="14" borderId="0" xfId="0" applyFont="1" applyFill="1"/>
    <xf numFmtId="0" fontId="69" fillId="14" borderId="0" xfId="26" applyFont="1" applyFill="1" applyBorder="1"/>
    <xf numFmtId="0" fontId="63" fillId="14" borderId="0" xfId="0" applyFont="1" applyFill="1"/>
    <xf numFmtId="0" fontId="70" fillId="14" borderId="0" xfId="0" applyFont="1" applyFill="1"/>
    <xf numFmtId="0" fontId="63" fillId="14" borderId="0" xfId="26" applyFont="1" applyFill="1" applyBorder="1"/>
    <xf numFmtId="0" fontId="71" fillId="14" borderId="0" xfId="26" applyFont="1" applyFill="1" applyBorder="1" applyAlignment="1">
      <alignment horizontal="right"/>
    </xf>
    <xf numFmtId="9" fontId="65" fillId="14" borderId="0" xfId="26" applyNumberFormat="1" applyFont="1" applyFill="1" applyBorder="1"/>
    <xf numFmtId="188" fontId="72" fillId="14" borderId="0" xfId="26" applyNumberFormat="1" applyFont="1" applyFill="1" applyBorder="1"/>
    <xf numFmtId="0" fontId="65" fillId="14" borderId="0" xfId="0" applyFont="1" applyFill="1"/>
    <xf numFmtId="10" fontId="73" fillId="14" borderId="0" xfId="26" applyNumberFormat="1" applyFont="1" applyFill="1" applyBorder="1" applyAlignment="1" applyProtection="1">
      <alignment horizontal="center"/>
      <protection locked="0" hidden="1"/>
    </xf>
    <xf numFmtId="4" fontId="13" fillId="14" borderId="0" xfId="0" applyNumberFormat="1" applyFont="1" applyFill="1"/>
    <xf numFmtId="0" fontId="51" fillId="13" borderId="19" xfId="26" applyFont="1" applyFill="1" applyBorder="1" applyAlignment="1">
      <alignment horizontal="center"/>
    </xf>
    <xf numFmtId="10" fontId="63" fillId="13" borderId="19" xfId="26" applyNumberFormat="1" applyFont="1" applyFill="1" applyBorder="1" applyAlignment="1" applyProtection="1">
      <alignment horizontal="center" vertical="center"/>
      <protection locked="0" hidden="1"/>
    </xf>
    <xf numFmtId="0" fontId="71" fillId="14" borderId="0" xfId="26" applyFont="1" applyFill="1" applyBorder="1" applyAlignment="1">
      <alignment horizontal="right" vertical="center"/>
    </xf>
    <xf numFmtId="187" fontId="51" fillId="10" borderId="19" xfId="26" applyNumberFormat="1" applyFont="1" applyFill="1" applyBorder="1" applyAlignment="1">
      <alignment horizontal="center" vertical="center"/>
    </xf>
    <xf numFmtId="0" fontId="51" fillId="10" borderId="19" xfId="26" applyFont="1" applyFill="1" applyBorder="1" applyAlignment="1">
      <alignment horizontal="center" vertical="center"/>
    </xf>
    <xf numFmtId="0" fontId="69" fillId="14" borderId="0" xfId="26" applyFont="1" applyFill="1" applyBorder="1" applyAlignment="1">
      <alignment vertical="center"/>
    </xf>
    <xf numFmtId="0" fontId="13" fillId="14" borderId="0" xfId="0" applyFont="1" applyFill="1" applyAlignment="1">
      <alignment vertical="center"/>
    </xf>
    <xf numFmtId="181" fontId="62" fillId="14" borderId="19" xfId="26" applyNumberFormat="1" applyFont="1" applyFill="1" applyBorder="1" applyAlignment="1" applyProtection="1">
      <alignment horizontal="center" vertical="center"/>
      <protection locked="0" hidden="1"/>
    </xf>
    <xf numFmtId="0" fontId="13" fillId="0" borderId="20" xfId="0" applyFont="1" applyFill="1" applyBorder="1"/>
    <xf numFmtId="0" fontId="13" fillId="0" borderId="20" xfId="0" applyFont="1" applyBorder="1"/>
    <xf numFmtId="0" fontId="13" fillId="0" borderId="21" xfId="0" applyFont="1" applyFill="1" applyBorder="1"/>
    <xf numFmtId="0" fontId="13" fillId="0" borderId="21" xfId="0" applyFont="1" applyBorder="1"/>
    <xf numFmtId="183" fontId="28" fillId="0" borderId="20" xfId="0" applyNumberFormat="1" applyFont="1" applyBorder="1"/>
    <xf numFmtId="183" fontId="28" fillId="0" borderId="21" xfId="0" applyNumberFormat="1" applyFont="1" applyBorder="1"/>
    <xf numFmtId="0" fontId="14" fillId="0" borderId="0" xfId="0" applyFont="1" applyAlignment="1">
      <alignment horizontal="right" vertical="center"/>
    </xf>
    <xf numFmtId="0" fontId="65" fillId="0" borderId="0" xfId="0" applyFont="1" applyAlignment="1">
      <alignment horizontal="center" vertical="center" textRotation="90"/>
    </xf>
    <xf numFmtId="0" fontId="65" fillId="0" borderId="0" xfId="0" applyFont="1" applyAlignment="1">
      <alignment horizontal="center" vertical="center"/>
    </xf>
    <xf numFmtId="172" fontId="24" fillId="9" borderId="10" xfId="0" applyNumberFormat="1" applyFont="1" applyFill="1" applyBorder="1" applyAlignment="1" applyProtection="1">
      <alignment horizontal="center"/>
    </xf>
    <xf numFmtId="171" fontId="62" fillId="14" borderId="0" xfId="0" applyNumberFormat="1" applyFont="1" applyFill="1" applyBorder="1" applyAlignment="1" applyProtection="1">
      <alignment horizontal="left" vertical="center" wrapText="1"/>
    </xf>
    <xf numFmtId="2" fontId="62" fillId="14" borderId="0" xfId="10" applyNumberFormat="1" applyFont="1" applyFill="1" applyBorder="1" applyAlignment="1" applyProtection="1">
      <alignment horizontal="left" vertical="center" wrapText="1"/>
    </xf>
    <xf numFmtId="2" fontId="62" fillId="14" borderId="0" xfId="0" applyNumberFormat="1" applyFont="1" applyFill="1" applyBorder="1" applyAlignment="1" applyProtection="1">
      <alignment horizontal="left" vertical="center" wrapText="1"/>
    </xf>
    <xf numFmtId="174" fontId="62" fillId="14" borderId="0" xfId="0" applyNumberFormat="1" applyFont="1" applyFill="1" applyBorder="1" applyAlignment="1" applyProtection="1">
      <alignment horizontal="center" vertical="center" wrapText="1"/>
    </xf>
    <xf numFmtId="3" fontId="62" fillId="14" borderId="0" xfId="0" applyNumberFormat="1" applyFont="1" applyFill="1" applyBorder="1" applyAlignment="1" applyProtection="1">
      <alignment horizontal="right" vertical="center" wrapText="1"/>
    </xf>
    <xf numFmtId="179" fontId="62" fillId="14" borderId="0" xfId="0" applyNumberFormat="1" applyFont="1" applyFill="1" applyBorder="1" applyAlignment="1">
      <alignment horizontal="center" vertical="center" wrapText="1"/>
    </xf>
    <xf numFmtId="173" fontId="62" fillId="14" borderId="0" xfId="0" applyNumberFormat="1" applyFont="1" applyFill="1" applyBorder="1" applyAlignment="1" applyProtection="1">
      <alignment horizontal="right" vertical="center" wrapText="1"/>
    </xf>
    <xf numFmtId="173" fontId="62" fillId="14" borderId="0" xfId="0" applyNumberFormat="1" applyFont="1" applyFill="1" applyBorder="1" applyAlignment="1" applyProtection="1">
      <alignment horizontal="center" vertical="center" wrapText="1"/>
    </xf>
    <xf numFmtId="0" fontId="28" fillId="13" borderId="10" xfId="0" applyNumberFormat="1" applyFont="1" applyFill="1" applyBorder="1" applyAlignment="1">
      <alignment horizontal="center"/>
    </xf>
    <xf numFmtId="0" fontId="28" fillId="13" borderId="10" xfId="11" quotePrefix="1" applyNumberFormat="1" applyFont="1" applyFill="1" applyBorder="1" applyAlignment="1">
      <alignment horizontal="center"/>
    </xf>
    <xf numFmtId="0" fontId="28" fillId="13" borderId="10" xfId="0" applyNumberFormat="1" applyFont="1" applyFill="1" applyBorder="1" applyAlignment="1">
      <alignment horizontal="left"/>
    </xf>
    <xf numFmtId="1" fontId="28" fillId="13" borderId="1" xfId="0" applyNumberFormat="1" applyFont="1" applyFill="1" applyBorder="1" applyAlignment="1">
      <alignment horizontal="center"/>
    </xf>
    <xf numFmtId="2" fontId="28" fillId="13" borderId="1" xfId="0" applyNumberFormat="1" applyFont="1" applyFill="1" applyBorder="1"/>
    <xf numFmtId="176" fontId="28" fillId="13" borderId="1" xfId="0" applyNumberFormat="1" applyFont="1" applyFill="1" applyBorder="1" applyAlignment="1">
      <alignment horizontal="center"/>
    </xf>
    <xf numFmtId="184" fontId="28" fillId="13" borderId="1" xfId="0" applyNumberFormat="1" applyFont="1" applyFill="1" applyBorder="1" applyAlignment="1">
      <alignment horizontal="center"/>
    </xf>
    <xf numFmtId="1" fontId="28" fillId="13" borderId="1" xfId="33" applyNumberFormat="1" applyFont="1" applyFill="1" applyBorder="1" applyAlignment="1">
      <alignment horizontal="center"/>
    </xf>
    <xf numFmtId="0" fontId="28" fillId="13" borderId="1" xfId="10" applyNumberFormat="1" applyFont="1" applyFill="1" applyBorder="1" applyAlignment="1">
      <alignment horizontal="left"/>
    </xf>
    <xf numFmtId="0" fontId="28" fillId="13" borderId="1" xfId="10" applyNumberFormat="1" applyFont="1" applyFill="1" applyBorder="1" applyAlignment="1"/>
    <xf numFmtId="174" fontId="28" fillId="13" borderId="1" xfId="0" applyNumberFormat="1" applyFont="1" applyFill="1" applyBorder="1" applyAlignment="1">
      <alignment horizontal="center"/>
    </xf>
    <xf numFmtId="174" fontId="28" fillId="13" borderId="1" xfId="0" applyNumberFormat="1" applyFont="1" applyFill="1" applyBorder="1" applyAlignment="1">
      <alignment horizontal="left"/>
    </xf>
    <xf numFmtId="3" fontId="28" fillId="13" borderId="10" xfId="0" applyNumberFormat="1" applyFont="1" applyFill="1" applyBorder="1" applyAlignment="1">
      <alignment horizontal="right"/>
    </xf>
    <xf numFmtId="3" fontId="28" fillId="13" borderId="10" xfId="0" applyNumberFormat="1" applyFont="1" applyFill="1" applyBorder="1" applyAlignment="1" applyProtection="1">
      <alignment horizontal="right"/>
    </xf>
    <xf numFmtId="173" fontId="28" fillId="13" borderId="10" xfId="0" applyNumberFormat="1" applyFont="1" applyFill="1" applyBorder="1" applyAlignment="1" applyProtection="1">
      <alignment horizontal="right"/>
    </xf>
    <xf numFmtId="173" fontId="28" fillId="13" borderId="10" xfId="0" applyNumberFormat="1" applyFont="1" applyFill="1" applyBorder="1" applyAlignment="1" applyProtection="1">
      <alignment horizontal="left" indent="1"/>
    </xf>
    <xf numFmtId="3" fontId="28" fillId="13" borderId="1" xfId="25" applyNumberFormat="1" applyFont="1" applyFill="1" applyBorder="1" applyAlignment="1">
      <alignment horizontal="right"/>
    </xf>
    <xf numFmtId="179" fontId="28" fillId="13" borderId="1" xfId="10" applyNumberFormat="1" applyFont="1" applyFill="1" applyBorder="1" applyAlignment="1">
      <alignment horizontal="right"/>
    </xf>
    <xf numFmtId="177" fontId="28" fillId="13" borderId="1" xfId="0" applyNumberFormat="1" applyFont="1" applyFill="1" applyBorder="1" applyAlignment="1" applyProtection="1">
      <alignment horizontal="right"/>
    </xf>
    <xf numFmtId="3" fontId="28" fillId="13" borderId="1" xfId="0" applyNumberFormat="1" applyFont="1" applyFill="1" applyBorder="1" applyAlignment="1">
      <alignment horizontal="right"/>
    </xf>
    <xf numFmtId="173" fontId="28" fillId="13" borderId="1" xfId="0" applyNumberFormat="1" applyFont="1" applyFill="1" applyBorder="1" applyAlignment="1" applyProtection="1">
      <alignment horizontal="left" indent="1"/>
    </xf>
    <xf numFmtId="0" fontId="27" fillId="14" borderId="19" xfId="33" applyFont="1" applyFill="1" applyBorder="1" applyAlignment="1">
      <alignment horizontal="center" vertical="center"/>
    </xf>
    <xf numFmtId="0" fontId="28" fillId="14" borderId="0" xfId="0" applyFont="1" applyFill="1" applyAlignment="1">
      <alignment horizontal="center"/>
    </xf>
    <xf numFmtId="43" fontId="28" fillId="15" borderId="19" xfId="10" applyFont="1" applyFill="1" applyBorder="1" applyAlignment="1">
      <alignment horizontal="center"/>
    </xf>
    <xf numFmtId="174" fontId="28" fillId="0" borderId="19" xfId="0" applyNumberFormat="1" applyFont="1" applyBorder="1"/>
    <xf numFmtId="0" fontId="62" fillId="14" borderId="0" xfId="0" applyFont="1" applyFill="1" applyBorder="1" applyAlignment="1">
      <alignment horizontal="center" vertical="center"/>
    </xf>
    <xf numFmtId="0" fontId="62" fillId="14" borderId="0" xfId="0" applyNumberFormat="1" applyFont="1" applyFill="1" applyBorder="1" applyAlignment="1">
      <alignment horizontal="center" vertical="center" wrapText="1"/>
    </xf>
    <xf numFmtId="0" fontId="62" fillId="14" borderId="0" xfId="0" applyNumberFormat="1" applyFont="1" applyFill="1" applyBorder="1" applyAlignment="1">
      <alignment vertical="center" wrapText="1"/>
    </xf>
    <xf numFmtId="0" fontId="62" fillId="14" borderId="0" xfId="0" applyFont="1" applyFill="1" applyBorder="1" applyAlignment="1">
      <alignment vertical="center" wrapText="1"/>
    </xf>
    <xf numFmtId="176" fontId="62" fillId="14" borderId="0" xfId="0" applyNumberFormat="1" applyFont="1" applyFill="1" applyBorder="1" applyAlignment="1">
      <alignment horizontal="center" vertical="center" wrapText="1"/>
    </xf>
    <xf numFmtId="43" fontId="62" fillId="14" borderId="0" xfId="10" applyFont="1" applyFill="1" applyBorder="1" applyAlignment="1">
      <alignment horizontal="center" vertical="center" wrapText="1"/>
    </xf>
    <xf numFmtId="180" fontId="62" fillId="14" borderId="0" xfId="10" applyNumberFormat="1" applyFont="1" applyFill="1" applyBorder="1" applyAlignment="1">
      <alignment horizontal="center" vertical="center" wrapText="1"/>
    </xf>
    <xf numFmtId="0" fontId="62" fillId="14" borderId="0" xfId="0" applyFont="1" applyFill="1" applyBorder="1" applyAlignment="1">
      <alignment vertical="center"/>
    </xf>
    <xf numFmtId="181" fontId="28" fillId="0" borderId="25" xfId="20" applyNumberFormat="1" applyFont="1" applyFill="1" applyBorder="1" applyAlignment="1" applyProtection="1">
      <alignment vertical="center"/>
      <protection hidden="1"/>
    </xf>
    <xf numFmtId="0" fontId="32" fillId="0" borderId="26" xfId="22" applyFont="1" applyFill="1" applyBorder="1"/>
    <xf numFmtId="0" fontId="28" fillId="0" borderId="27" xfId="20" applyFont="1" applyFill="1" applyBorder="1" applyAlignment="1" applyProtection="1">
      <alignment vertical="center"/>
      <protection hidden="1"/>
    </xf>
    <xf numFmtId="0" fontId="27" fillId="0" borderId="27" xfId="28" applyFont="1" applyFill="1" applyBorder="1" applyAlignment="1" applyProtection="1">
      <alignment horizontal="right" vertical="center"/>
      <protection hidden="1"/>
    </xf>
    <xf numFmtId="2" fontId="75" fillId="0" borderId="0" xfId="28" applyNumberFormat="1" applyFont="1" applyFill="1" applyBorder="1" applyAlignment="1" applyProtection="1">
      <alignment horizontal="left" vertical="center"/>
      <protection hidden="1"/>
    </xf>
    <xf numFmtId="2" fontId="63" fillId="0" borderId="0" xfId="20" applyNumberFormat="1" applyFont="1" applyFill="1" applyBorder="1" applyProtection="1">
      <protection hidden="1"/>
    </xf>
    <xf numFmtId="0" fontId="75" fillId="0" borderId="0" xfId="28" applyFont="1" applyFill="1" applyBorder="1" applyAlignment="1" applyProtection="1">
      <alignment horizontal="left" vertical="center"/>
      <protection hidden="1"/>
    </xf>
    <xf numFmtId="0" fontId="58" fillId="0" borderId="0" xfId="28" applyFont="1" applyFill="1" applyBorder="1" applyAlignment="1" applyProtection="1">
      <alignment horizontal="left" vertical="center"/>
      <protection hidden="1"/>
    </xf>
    <xf numFmtId="9" fontId="63" fillId="0" borderId="0" xfId="28" applyNumberFormat="1" applyFont="1" applyFill="1" applyBorder="1" applyAlignment="1" applyProtection="1">
      <alignment vertical="center"/>
      <protection hidden="1"/>
    </xf>
    <xf numFmtId="2" fontId="27" fillId="0" borderId="11" xfId="20" applyNumberFormat="1" applyFont="1" applyFill="1" applyBorder="1" applyAlignment="1" applyProtection="1">
      <alignment horizontal="center"/>
      <protection hidden="1"/>
    </xf>
    <xf numFmtId="2" fontId="28" fillId="0" borderId="19" xfId="20" applyNumberFormat="1" applyFont="1" applyFill="1" applyBorder="1" applyProtection="1">
      <protection hidden="1"/>
    </xf>
    <xf numFmtId="183" fontId="28" fillId="13" borderId="25" xfId="28" applyNumberFormat="1" applyFont="1" applyFill="1" applyBorder="1" applyAlignment="1" applyProtection="1">
      <alignment horizontal="left" vertical="center"/>
      <protection hidden="1"/>
    </xf>
    <xf numFmtId="181" fontId="27" fillId="16" borderId="25" xfId="31" applyNumberFormat="1" applyFont="1" applyFill="1" applyBorder="1" applyAlignment="1"/>
    <xf numFmtId="0" fontId="28" fillId="0" borderId="28" xfId="22" applyFont="1" applyFill="1" applyBorder="1"/>
    <xf numFmtId="0" fontId="32" fillId="0" borderId="29" xfId="22" applyFont="1" applyBorder="1"/>
    <xf numFmtId="0" fontId="28" fillId="0" borderId="28" xfId="28" applyFont="1" applyFill="1" applyBorder="1" applyAlignment="1" applyProtection="1">
      <alignment vertical="center"/>
      <protection hidden="1"/>
    </xf>
    <xf numFmtId="0" fontId="27" fillId="0" borderId="28" xfId="28" applyFont="1" applyFill="1" applyBorder="1" applyAlignment="1" applyProtection="1">
      <alignment horizontal="right" vertical="center"/>
      <protection hidden="1"/>
    </xf>
    <xf numFmtId="0" fontId="27" fillId="0" borderId="29" xfId="28" applyFont="1" applyFill="1" applyBorder="1" applyAlignment="1" applyProtection="1">
      <alignment horizontal="right" vertical="center"/>
      <protection hidden="1"/>
    </xf>
    <xf numFmtId="0" fontId="28" fillId="0" borderId="28" xfId="20" applyFont="1" applyFill="1" applyBorder="1" applyAlignment="1" applyProtection="1">
      <alignment vertical="center"/>
      <protection hidden="1"/>
    </xf>
    <xf numFmtId="181" fontId="28" fillId="14" borderId="25" xfId="20" applyNumberFormat="1" applyFont="1" applyFill="1" applyBorder="1" applyAlignment="1" applyProtection="1">
      <alignment vertical="center"/>
      <protection hidden="1"/>
    </xf>
    <xf numFmtId="183" fontId="28" fillId="14" borderId="25" xfId="28" applyNumberFormat="1" applyFont="1" applyFill="1" applyBorder="1" applyAlignment="1" applyProtection="1">
      <alignment horizontal="left" vertical="center"/>
      <protection hidden="1"/>
    </xf>
    <xf numFmtId="0" fontId="27" fillId="0" borderId="11" xfId="28" applyFont="1" applyFill="1" applyBorder="1" applyAlignment="1" applyProtection="1">
      <alignment horizontal="center" vertical="center"/>
      <protection hidden="1"/>
    </xf>
    <xf numFmtId="0" fontId="28" fillId="0" borderId="28" xfId="28" applyFont="1" applyFill="1" applyBorder="1" applyAlignment="1" applyProtection="1">
      <alignment horizontal="left" vertical="center"/>
      <protection hidden="1"/>
    </xf>
    <xf numFmtId="0" fontId="27" fillId="0" borderId="28" xfId="28" applyFont="1" applyFill="1" applyBorder="1" applyAlignment="1" applyProtection="1">
      <alignment vertical="center"/>
      <protection hidden="1"/>
    </xf>
    <xf numFmtId="2" fontId="28" fillId="0" borderId="29" xfId="22" applyNumberFormat="1" applyFont="1" applyFill="1" applyBorder="1" applyAlignment="1">
      <alignment vertical="center"/>
    </xf>
    <xf numFmtId="0" fontId="28" fillId="0" borderId="29" xfId="22" applyFont="1" applyFill="1" applyBorder="1" applyAlignment="1">
      <alignment vertical="center"/>
    </xf>
    <xf numFmtId="10" fontId="28" fillId="0" borderId="30" xfId="31" applyNumberFormat="1" applyFont="1" applyFill="1" applyBorder="1" applyAlignment="1" applyProtection="1">
      <alignment vertical="center"/>
      <protection hidden="1"/>
    </xf>
    <xf numFmtId="0" fontId="27" fillId="0" borderId="29" xfId="28" applyFont="1" applyFill="1" applyBorder="1" applyAlignment="1" applyProtection="1">
      <alignment vertical="center"/>
      <protection hidden="1"/>
    </xf>
    <xf numFmtId="2" fontId="28" fillId="14" borderId="19" xfId="28" applyNumberFormat="1" applyFont="1" applyFill="1" applyBorder="1" applyAlignment="1" applyProtection="1">
      <alignment horizontal="right" vertical="center"/>
      <protection hidden="1"/>
    </xf>
    <xf numFmtId="2" fontId="28" fillId="13" borderId="31" xfId="22" applyNumberFormat="1" applyFont="1" applyFill="1" applyBorder="1" applyAlignment="1">
      <alignment vertical="center"/>
    </xf>
    <xf numFmtId="0" fontId="28" fillId="13" borderId="32" xfId="22" applyFont="1" applyFill="1" applyBorder="1" applyAlignment="1">
      <alignment vertical="center"/>
    </xf>
    <xf numFmtId="0" fontId="28" fillId="13" borderId="31" xfId="22" applyFont="1" applyFill="1" applyBorder="1" applyAlignment="1">
      <alignment vertical="center"/>
    </xf>
    <xf numFmtId="0" fontId="28" fillId="13" borderId="30" xfId="22" applyFont="1" applyFill="1" applyBorder="1" applyAlignment="1">
      <alignment vertical="center"/>
    </xf>
    <xf numFmtId="10" fontId="28" fillId="13" borderId="30" xfId="31" applyNumberFormat="1" applyFont="1" applyFill="1" applyBorder="1" applyAlignment="1" applyProtection="1">
      <alignment vertical="center"/>
      <protection hidden="1"/>
    </xf>
    <xf numFmtId="2" fontId="27" fillId="16" borderId="29" xfId="28" applyNumberFormat="1" applyFont="1" applyFill="1" applyBorder="1" applyAlignment="1" applyProtection="1">
      <alignment vertical="center"/>
      <protection hidden="1"/>
    </xf>
    <xf numFmtId="0" fontId="28" fillId="14" borderId="19" xfId="28" applyFont="1" applyFill="1" applyBorder="1" applyAlignment="1" applyProtection="1">
      <protection hidden="1"/>
    </xf>
    <xf numFmtId="0" fontId="27" fillId="0" borderId="0" xfId="17" applyNumberFormat="1" applyFont="1" applyFill="1" applyBorder="1" applyAlignment="1" applyProtection="1">
      <alignment horizontal="left" vertical="top"/>
      <protection hidden="1"/>
    </xf>
    <xf numFmtId="0" fontId="28" fillId="0" borderId="0" xfId="17" applyFont="1" applyFill="1" applyBorder="1" applyAlignment="1" applyProtection="1">
      <alignment horizontal="right"/>
      <protection hidden="1"/>
    </xf>
    <xf numFmtId="0" fontId="30" fillId="0" borderId="0" xfId="24" applyFont="1" applyFill="1" applyBorder="1" applyProtection="1">
      <protection hidden="1"/>
    </xf>
    <xf numFmtId="164" fontId="27" fillId="0" borderId="0" xfId="6" applyFont="1" applyFill="1" applyBorder="1" applyAlignment="1" applyProtection="1">
      <alignment horizontal="right"/>
      <protection hidden="1"/>
    </xf>
    <xf numFmtId="183" fontId="28" fillId="14" borderId="19" xfId="17" applyNumberFormat="1" applyFont="1" applyFill="1" applyBorder="1" applyAlignment="1" applyProtection="1">
      <alignment horizontal="right"/>
      <protection hidden="1"/>
    </xf>
    <xf numFmtId="10" fontId="28" fillId="14" borderId="19" xfId="31" applyNumberFormat="1" applyFont="1" applyFill="1" applyBorder="1" applyAlignment="1" applyProtection="1">
      <alignment horizontal="center"/>
      <protection locked="0"/>
    </xf>
    <xf numFmtId="0" fontId="28" fillId="0" borderId="33" xfId="17" applyFont="1" applyFill="1" applyBorder="1" applyAlignment="1" applyProtection="1">
      <alignment horizontal="right"/>
      <protection hidden="1"/>
    </xf>
    <xf numFmtId="4" fontId="28" fillId="0" borderId="0" xfId="17" applyNumberFormat="1" applyFont="1" applyFill="1" applyBorder="1" applyAlignment="1" applyProtection="1">
      <alignment horizontal="right"/>
      <protection hidden="1"/>
    </xf>
    <xf numFmtId="183" fontId="28" fillId="13" borderId="33" xfId="17" applyNumberFormat="1" applyFont="1" applyFill="1" applyBorder="1" applyAlignment="1" applyProtection="1">
      <alignment horizontal="right"/>
      <protection hidden="1"/>
    </xf>
    <xf numFmtId="183" fontId="28" fillId="13" borderId="34" xfId="17" applyNumberFormat="1" applyFont="1" applyFill="1" applyBorder="1" applyAlignment="1" applyProtection="1">
      <alignment horizontal="right"/>
      <protection hidden="1"/>
    </xf>
    <xf numFmtId="183" fontId="28" fillId="13" borderId="35" xfId="17" applyNumberFormat="1" applyFont="1" applyFill="1" applyBorder="1" applyAlignment="1" applyProtection="1">
      <alignment horizontal="right"/>
      <protection hidden="1"/>
    </xf>
    <xf numFmtId="183" fontId="28" fillId="13" borderId="18" xfId="17" applyNumberFormat="1" applyFont="1" applyFill="1" applyBorder="1" applyAlignment="1" applyProtection="1">
      <alignment horizontal="right"/>
      <protection hidden="1"/>
    </xf>
    <xf numFmtId="183" fontId="27" fillId="13" borderId="0" xfId="17" applyNumberFormat="1" applyFont="1" applyFill="1" applyBorder="1" applyAlignment="1" applyProtection="1">
      <alignment horizontal="right"/>
      <protection hidden="1"/>
    </xf>
    <xf numFmtId="0" fontId="28" fillId="14" borderId="36" xfId="17" applyFont="1" applyFill="1" applyBorder="1" applyAlignment="1" applyProtection="1">
      <alignment horizontal="center"/>
      <protection hidden="1"/>
    </xf>
    <xf numFmtId="2" fontId="58" fillId="14" borderId="0" xfId="17" applyNumberFormat="1" applyFont="1" applyFill="1" applyBorder="1" applyAlignment="1" applyProtection="1">
      <alignment horizontal="left"/>
      <protection hidden="1"/>
    </xf>
    <xf numFmtId="0" fontId="28" fillId="0" borderId="0" xfId="0" applyFont="1" applyBorder="1"/>
    <xf numFmtId="0" fontId="28" fillId="0" borderId="33" xfId="17" applyFont="1" applyFill="1" applyBorder="1" applyAlignment="1" applyProtection="1">
      <alignment horizontal="center"/>
      <protection hidden="1"/>
    </xf>
    <xf numFmtId="0" fontId="27" fillId="14" borderId="19" xfId="19" applyFont="1" applyFill="1" applyBorder="1" applyAlignment="1">
      <alignment horizontal="center" vertical="center"/>
    </xf>
    <xf numFmtId="183" fontId="27" fillId="13" borderId="17" xfId="0" applyNumberFormat="1" applyFont="1" applyFill="1" applyBorder="1"/>
    <xf numFmtId="183" fontId="27" fillId="16" borderId="0" xfId="0" applyNumberFormat="1" applyFont="1" applyFill="1" applyBorder="1"/>
    <xf numFmtId="183" fontId="28" fillId="14" borderId="19" xfId="0" applyNumberFormat="1" applyFont="1" applyFill="1" applyBorder="1" applyAlignment="1">
      <alignment horizontal="center" vertical="center"/>
    </xf>
    <xf numFmtId="0" fontId="63" fillId="13" borderId="0" xfId="0" applyFont="1" applyFill="1" applyAlignment="1">
      <alignment vertical="center"/>
    </xf>
    <xf numFmtId="0" fontId="62" fillId="13" borderId="0" xfId="0" applyFont="1" applyFill="1" applyAlignment="1">
      <alignment vertical="center"/>
    </xf>
    <xf numFmtId="0" fontId="76" fillId="13" borderId="0" xfId="0" applyFont="1" applyFill="1" applyAlignment="1">
      <alignment vertical="center"/>
    </xf>
    <xf numFmtId="0" fontId="62" fillId="13" borderId="0" xfId="0" applyFont="1" applyFill="1" applyAlignment="1">
      <alignment horizontal="center" vertical="center"/>
    </xf>
    <xf numFmtId="0" fontId="62" fillId="13" borderId="0" xfId="0" applyFont="1" applyFill="1" applyAlignment="1">
      <alignment horizontal="right" vertical="center"/>
    </xf>
    <xf numFmtId="0" fontId="28" fillId="0" borderId="0" xfId="0" applyFont="1" applyFill="1" applyBorder="1" applyAlignment="1">
      <alignment vertical="center"/>
    </xf>
    <xf numFmtId="0" fontId="31" fillId="0" borderId="0" xfId="0" applyFont="1" applyFill="1" applyBorder="1" applyAlignment="1">
      <alignment vertical="center"/>
    </xf>
    <xf numFmtId="183" fontId="28" fillId="0" borderId="0" xfId="0" applyNumberFormat="1" applyFont="1" applyFill="1" applyBorder="1" applyAlignment="1">
      <alignment horizontal="right" vertical="center"/>
    </xf>
    <xf numFmtId="0" fontId="27" fillId="14" borderId="0" xfId="19" applyFont="1" applyFill="1" applyBorder="1" applyAlignment="1">
      <alignment horizontal="center" vertical="center"/>
    </xf>
    <xf numFmtId="3" fontId="27" fillId="0" borderId="0" xfId="33" applyNumberFormat="1" applyFont="1" applyAlignment="1">
      <alignment horizontal="right" vertical="center"/>
    </xf>
    <xf numFmtId="179" fontId="62" fillId="14" borderId="0" xfId="0" applyNumberFormat="1" applyFont="1" applyFill="1" applyBorder="1" applyAlignment="1" applyProtection="1">
      <alignment horizontal="right" vertical="center"/>
    </xf>
    <xf numFmtId="9" fontId="62" fillId="14" borderId="0" xfId="31" applyFont="1" applyFill="1" applyBorder="1" applyAlignment="1" applyProtection="1">
      <alignment horizontal="right" vertical="center"/>
    </xf>
    <xf numFmtId="185" fontId="13" fillId="14" borderId="0" xfId="0" applyNumberFormat="1" applyFont="1" applyFill="1"/>
    <xf numFmtId="185" fontId="27" fillId="0" borderId="0" xfId="21" applyNumberFormat="1" applyFont="1" applyFill="1" applyAlignment="1"/>
    <xf numFmtId="183" fontId="63" fillId="14" borderId="0" xfId="0" applyNumberFormat="1" applyFont="1" applyFill="1" applyAlignment="1">
      <alignment vertical="center"/>
    </xf>
    <xf numFmtId="185" fontId="13" fillId="0" borderId="20" xfId="0" applyNumberFormat="1" applyFont="1" applyBorder="1"/>
    <xf numFmtId="49" fontId="35" fillId="0" borderId="0" xfId="21" applyNumberFormat="1" applyFont="1" applyFill="1" applyBorder="1" applyAlignment="1"/>
    <xf numFmtId="4" fontId="28" fillId="0" borderId="0" xfId="5" applyNumberFormat="1" applyFont="1" applyFill="1" applyAlignment="1">
      <alignment horizontal="center"/>
    </xf>
    <xf numFmtId="0" fontId="28" fillId="0" borderId="0" xfId="33" applyFont="1" applyAlignment="1">
      <alignment vertical="center"/>
    </xf>
    <xf numFmtId="0" fontId="55" fillId="0" borderId="0" xfId="0" applyFont="1" applyAlignment="1">
      <alignment horizontal="center"/>
    </xf>
    <xf numFmtId="2" fontId="22" fillId="0" borderId="0" xfId="0" applyNumberFormat="1" applyFont="1"/>
    <xf numFmtId="2" fontId="13" fillId="0" borderId="0" xfId="0" applyNumberFormat="1" applyFont="1"/>
    <xf numFmtId="0" fontId="27" fillId="0" borderId="0" xfId="0" applyFont="1" applyAlignment="1">
      <alignment horizontal="left" vertical="center" wrapText="1"/>
    </xf>
    <xf numFmtId="0" fontId="14" fillId="16" borderId="0" xfId="0" applyFont="1" applyFill="1" applyAlignment="1">
      <alignment horizontal="center" vertical="center" wrapText="1"/>
    </xf>
    <xf numFmtId="181" fontId="28" fillId="13" borderId="19" xfId="20" applyNumberFormat="1" applyFont="1" applyFill="1" applyBorder="1" applyAlignment="1" applyProtection="1">
      <alignment vertical="center"/>
      <protection hidden="1"/>
    </xf>
    <xf numFmtId="181" fontId="36" fillId="0" borderId="0" xfId="31" applyNumberFormat="1" applyFont="1" applyFill="1" applyBorder="1" applyAlignment="1" applyProtection="1">
      <alignment horizontal="left" vertical="top" wrapText="1"/>
      <protection locked="0"/>
    </xf>
    <xf numFmtId="4" fontId="28" fillId="15" borderId="17" xfId="31" applyNumberFormat="1" applyFont="1" applyFill="1" applyBorder="1" applyAlignment="1" applyProtection="1">
      <alignment horizontal="center" vertical="center"/>
      <protection hidden="1"/>
    </xf>
    <xf numFmtId="181" fontId="13" fillId="0" borderId="0" xfId="31" applyNumberFormat="1" applyFont="1" applyFill="1" applyBorder="1" applyAlignment="1" applyProtection="1">
      <alignment horizontal="left" vertical="top" wrapText="1"/>
      <protection locked="0"/>
    </xf>
    <xf numFmtId="0" fontId="65" fillId="14" borderId="19" xfId="21" applyFont="1" applyFill="1" applyBorder="1" applyAlignment="1">
      <alignment horizontal="right" vertical="center"/>
    </xf>
    <xf numFmtId="181" fontId="77" fillId="0" borderId="0" xfId="31" applyNumberFormat="1" applyFont="1" applyFill="1" applyBorder="1" applyAlignment="1" applyProtection="1">
      <alignment horizontal="left" vertical="top"/>
      <protection locked="0"/>
    </xf>
    <xf numFmtId="181" fontId="36" fillId="0" borderId="0" xfId="31" applyNumberFormat="1" applyFont="1" applyFill="1" applyBorder="1" applyAlignment="1" applyProtection="1">
      <alignment vertical="top"/>
      <protection locked="0"/>
    </xf>
    <xf numFmtId="181" fontId="13" fillId="0" borderId="0" xfId="31" applyNumberFormat="1" applyFont="1" applyFill="1" applyBorder="1" applyAlignment="1" applyProtection="1">
      <alignment vertical="top"/>
      <protection locked="0"/>
    </xf>
    <xf numFmtId="0" fontId="28" fillId="14" borderId="0" xfId="28" applyFont="1" applyFill="1" applyBorder="1" applyAlignment="1" applyProtection="1">
      <protection hidden="1"/>
    </xf>
    <xf numFmtId="0" fontId="28" fillId="13" borderId="1" xfId="0" applyNumberFormat="1" applyFont="1" applyFill="1" applyBorder="1" applyAlignment="1">
      <alignment horizontal="left"/>
    </xf>
    <xf numFmtId="177" fontId="27" fillId="13" borderId="0" xfId="17" applyNumberFormat="1" applyFont="1" applyFill="1" applyBorder="1" applyAlignment="1" applyProtection="1">
      <alignment horizontal="center"/>
      <protection hidden="1"/>
    </xf>
    <xf numFmtId="185" fontId="13" fillId="0" borderId="0" xfId="0" applyNumberFormat="1" applyFont="1"/>
    <xf numFmtId="0" fontId="31" fillId="0" borderId="0" xfId="19" applyFont="1" applyFill="1" applyBorder="1" applyAlignment="1">
      <alignment horizontal="center" vertical="center"/>
    </xf>
    <xf numFmtId="0" fontId="13" fillId="0" borderId="21" xfId="0" applyFont="1" applyFill="1" applyBorder="1" applyAlignment="1">
      <alignment horizontal="center"/>
    </xf>
    <xf numFmtId="0" fontId="56" fillId="0" borderId="0" xfId="19" applyFont="1" applyAlignment="1">
      <alignment horizontal="center" vertical="center"/>
    </xf>
    <xf numFmtId="0" fontId="56" fillId="0" borderId="0" xfId="19" applyFont="1" applyAlignment="1">
      <alignment vertical="center"/>
    </xf>
    <xf numFmtId="2" fontId="30" fillId="0" borderId="0" xfId="21" applyNumberFormat="1" applyFont="1" applyFill="1" applyBorder="1" applyAlignment="1">
      <alignment horizontal="center" vertical="center"/>
    </xf>
    <xf numFmtId="2" fontId="31" fillId="0" borderId="0" xfId="19" applyNumberFormat="1" applyFont="1" applyFill="1" applyAlignment="1">
      <alignment horizontal="center" vertical="center"/>
    </xf>
    <xf numFmtId="0" fontId="13" fillId="0" borderId="37" xfId="0" applyFont="1" applyFill="1" applyBorder="1"/>
    <xf numFmtId="0" fontId="28" fillId="0" borderId="37" xfId="0" applyFont="1" applyBorder="1" applyAlignment="1">
      <alignment horizontal="center"/>
    </xf>
    <xf numFmtId="0" fontId="28" fillId="0" borderId="37" xfId="0" applyNumberFormat="1" applyFont="1" applyBorder="1" applyAlignment="1">
      <alignment horizontal="center"/>
    </xf>
    <xf numFmtId="0" fontId="28" fillId="0" borderId="37" xfId="0" applyFont="1" applyBorder="1"/>
    <xf numFmtId="0" fontId="28" fillId="0" borderId="37" xfId="10" applyNumberFormat="1" applyFont="1" applyFill="1" applyBorder="1" applyAlignment="1"/>
    <xf numFmtId="179" fontId="13" fillId="0" borderId="37" xfId="0" applyNumberFormat="1" applyFont="1" applyBorder="1" applyAlignment="1">
      <alignment horizontal="right"/>
    </xf>
    <xf numFmtId="176" fontId="28" fillId="0" borderId="37" xfId="0" applyNumberFormat="1" applyFont="1" applyBorder="1" applyAlignment="1">
      <alignment horizontal="center"/>
    </xf>
    <xf numFmtId="1" fontId="28" fillId="0" borderId="37" xfId="0" applyNumberFormat="1" applyFont="1" applyFill="1" applyBorder="1" applyAlignment="1">
      <alignment horizontal="center"/>
    </xf>
    <xf numFmtId="2" fontId="28" fillId="0" borderId="15" xfId="0" applyNumberFormat="1" applyFont="1" applyBorder="1" applyAlignment="1">
      <alignment horizontal="center"/>
    </xf>
    <xf numFmtId="174" fontId="28" fillId="0" borderId="36" xfId="0" applyNumberFormat="1" applyFont="1" applyBorder="1"/>
    <xf numFmtId="2" fontId="28" fillId="0" borderId="37" xfId="10" applyNumberFormat="1" applyFont="1" applyFill="1" applyBorder="1" applyAlignment="1">
      <alignment horizontal="center"/>
    </xf>
    <xf numFmtId="43" fontId="28" fillId="0" borderId="37" xfId="10" applyFont="1" applyBorder="1"/>
    <xf numFmtId="183" fontId="28" fillId="0" borderId="37" xfId="0" applyNumberFormat="1" applyFont="1" applyFill="1" applyBorder="1"/>
    <xf numFmtId="0" fontId="28" fillId="0" borderId="0" xfId="0" applyFont="1" applyFill="1" applyAlignment="1">
      <alignment horizontal="center"/>
    </xf>
    <xf numFmtId="0" fontId="27" fillId="0" borderId="0" xfId="0" applyFont="1" applyFill="1" applyAlignment="1">
      <alignment horizontal="center"/>
    </xf>
    <xf numFmtId="165" fontId="28" fillId="0" borderId="0" xfId="2" applyNumberFormat="1" applyFont="1" applyFill="1" applyBorder="1" applyAlignment="1">
      <alignment horizontal="left" indent="1"/>
    </xf>
    <xf numFmtId="0" fontId="56" fillId="0" borderId="0" xfId="19" applyFont="1" applyBorder="1" applyAlignment="1">
      <alignment vertical="center"/>
    </xf>
    <xf numFmtId="0" fontId="56" fillId="0" borderId="0" xfId="19" applyFont="1" applyAlignment="1">
      <alignment horizontal="center" vertical="center" wrapText="1"/>
    </xf>
    <xf numFmtId="0" fontId="63" fillId="14" borderId="0" xfId="0" applyFont="1" applyFill="1" applyAlignment="1">
      <alignment horizontal="center"/>
    </xf>
    <xf numFmtId="3" fontId="13" fillId="0" borderId="0" xfId="0" applyNumberFormat="1" applyFont="1" applyAlignment="1">
      <alignment horizontal="center"/>
    </xf>
    <xf numFmtId="176" fontId="62" fillId="0" borderId="0" xfId="0" applyNumberFormat="1" applyFont="1" applyFill="1" applyBorder="1" applyAlignment="1">
      <alignment horizontal="center" vertical="center" wrapText="1"/>
    </xf>
    <xf numFmtId="176" fontId="78" fillId="0" borderId="37" xfId="0" applyNumberFormat="1" applyFont="1" applyFill="1" applyBorder="1" applyAlignment="1">
      <alignment horizontal="center"/>
    </xf>
    <xf numFmtId="176" fontId="28" fillId="0" borderId="37" xfId="0" applyNumberFormat="1" applyFont="1" applyFill="1" applyBorder="1" applyAlignment="1">
      <alignment horizontal="center"/>
    </xf>
    <xf numFmtId="179" fontId="28" fillId="0" borderId="0" xfId="21" applyNumberFormat="1" applyFont="1" applyFill="1" applyAlignment="1">
      <alignment horizontal="right"/>
    </xf>
    <xf numFmtId="3" fontId="13" fillId="0" borderId="0" xfId="0" applyNumberFormat="1" applyFont="1"/>
    <xf numFmtId="0" fontId="27" fillId="14" borderId="0" xfId="33" applyFont="1" applyFill="1" applyBorder="1" applyAlignment="1">
      <alignment horizontal="center" vertical="center"/>
    </xf>
    <xf numFmtId="0" fontId="13" fillId="0" borderId="20" xfId="0" applyFont="1" applyFill="1" applyBorder="1" applyAlignment="1">
      <alignment vertical="center"/>
    </xf>
    <xf numFmtId="0" fontId="51" fillId="13" borderId="19" xfId="26" applyFont="1" applyFill="1" applyBorder="1" applyAlignment="1">
      <alignment horizontal="center"/>
    </xf>
    <xf numFmtId="0" fontId="13" fillId="14" borderId="20" xfId="0" applyFont="1" applyFill="1" applyBorder="1" applyAlignment="1">
      <alignment horizontal="center" vertical="center"/>
    </xf>
    <xf numFmtId="174" fontId="28" fillId="15" borderId="1" xfId="0" applyNumberFormat="1" applyFont="1" applyFill="1" applyBorder="1" applyAlignment="1">
      <alignment horizontal="center"/>
    </xf>
    <xf numFmtId="183" fontId="28" fillId="13" borderId="33" xfId="17" applyNumberFormat="1" applyFont="1" applyFill="1" applyBorder="1" applyAlignment="1" applyProtection="1">
      <alignment horizontal="right"/>
      <protection hidden="1"/>
    </xf>
    <xf numFmtId="183" fontId="28" fillId="13" borderId="34" xfId="17" applyNumberFormat="1" applyFont="1" applyFill="1" applyBorder="1" applyAlignment="1" applyProtection="1">
      <alignment horizontal="right"/>
      <protection hidden="1"/>
    </xf>
    <xf numFmtId="183" fontId="28" fillId="13" borderId="35" xfId="17" applyNumberFormat="1" applyFont="1" applyFill="1" applyBorder="1" applyAlignment="1" applyProtection="1">
      <alignment horizontal="right"/>
      <protection hidden="1"/>
    </xf>
    <xf numFmtId="183" fontId="28" fillId="13" borderId="18" xfId="17" applyNumberFormat="1" applyFont="1" applyFill="1" applyBorder="1" applyAlignment="1" applyProtection="1">
      <alignment horizontal="right"/>
      <protection hidden="1"/>
    </xf>
    <xf numFmtId="183" fontId="27" fillId="13" borderId="0" xfId="17" applyNumberFormat="1" applyFont="1" applyFill="1" applyBorder="1" applyAlignment="1" applyProtection="1">
      <alignment horizontal="right"/>
      <protection hidden="1"/>
    </xf>
    <xf numFmtId="4" fontId="28" fillId="0" borderId="20" xfId="0" applyNumberFormat="1" applyFont="1" applyBorder="1"/>
    <xf numFmtId="4" fontId="28" fillId="0" borderId="20" xfId="0" applyNumberFormat="1" applyFont="1" applyBorder="1" applyAlignment="1">
      <alignment horizontal="center"/>
    </xf>
    <xf numFmtId="0" fontId="28" fillId="14" borderId="19" xfId="17" applyNumberFormat="1" applyFont="1" applyFill="1" applyBorder="1" applyAlignment="1" applyProtection="1">
      <alignment horizontal="right"/>
      <protection hidden="1"/>
    </xf>
    <xf numFmtId="189" fontId="13" fillId="0" borderId="9" xfId="23" applyNumberFormat="1" applyFont="1" applyFill="1" applyBorder="1" applyAlignment="1">
      <alignment horizontal="center" vertical="center"/>
    </xf>
    <xf numFmtId="0" fontId="13" fillId="0" borderId="21" xfId="0" applyFont="1" applyBorder="1" applyAlignment="1">
      <alignment horizontal="center" vertical="center"/>
    </xf>
    <xf numFmtId="3" fontId="28" fillId="0" borderId="19" xfId="0" applyNumberFormat="1" applyFont="1" applyFill="1" applyBorder="1" applyAlignment="1">
      <alignment horizontal="center" vertical="center"/>
    </xf>
    <xf numFmtId="0" fontId="56" fillId="0" borderId="0" xfId="0" applyFont="1" applyAlignment="1">
      <alignment horizontal="center" vertical="center" wrapText="1"/>
    </xf>
    <xf numFmtId="0" fontId="56" fillId="0" borderId="0" xfId="0" applyFont="1" applyAlignment="1">
      <alignment vertical="center" wrapText="1"/>
    </xf>
    <xf numFmtId="0" fontId="31" fillId="0" borderId="0" xfId="0" applyFont="1" applyAlignment="1">
      <alignment vertical="center" wrapText="1"/>
    </xf>
    <xf numFmtId="0" fontId="31" fillId="0" borderId="0" xfId="0" applyFont="1" applyAlignment="1">
      <alignment vertical="center"/>
    </xf>
    <xf numFmtId="4" fontId="28" fillId="0" borderId="9" xfId="23" applyNumberFormat="1" applyFont="1" applyFill="1" applyBorder="1" applyAlignment="1">
      <alignment horizontal="center" vertical="center"/>
    </xf>
    <xf numFmtId="183" fontId="28" fillId="0" borderId="12" xfId="23" applyNumberFormat="1" applyFont="1" applyFill="1" applyBorder="1" applyAlignment="1">
      <alignment horizontal="center" vertical="center"/>
    </xf>
    <xf numFmtId="4" fontId="28" fillId="16" borderId="19" xfId="23" applyNumberFormat="1" applyFont="1" applyFill="1" applyBorder="1" applyAlignment="1">
      <alignment horizontal="center" vertical="center"/>
    </xf>
    <xf numFmtId="4" fontId="28" fillId="0" borderId="13" xfId="23" applyNumberFormat="1" applyFont="1" applyFill="1" applyBorder="1" applyAlignment="1">
      <alignment horizontal="center" vertical="center"/>
    </xf>
    <xf numFmtId="183" fontId="28" fillId="8" borderId="9" xfId="23" applyNumberFormat="1" applyFont="1" applyFill="1" applyBorder="1" applyAlignment="1">
      <alignment horizontal="center" vertical="center"/>
    </xf>
    <xf numFmtId="183" fontId="28" fillId="8" borderId="12" xfId="23" applyNumberFormat="1" applyFont="1" applyFill="1" applyBorder="1" applyAlignment="1">
      <alignment horizontal="center" vertical="center"/>
    </xf>
    <xf numFmtId="183" fontId="28" fillId="16" borderId="19" xfId="23" applyNumberFormat="1" applyFont="1" applyFill="1" applyBorder="1" applyAlignment="1">
      <alignment horizontal="center" vertical="center"/>
    </xf>
    <xf numFmtId="49" fontId="52" fillId="0" borderId="0" xfId="2" applyNumberFormat="1" applyFont="1" applyFill="1" applyBorder="1" applyAlignment="1" applyProtection="1">
      <protection hidden="1"/>
    </xf>
    <xf numFmtId="0" fontId="13" fillId="0" borderId="0" xfId="23"/>
    <xf numFmtId="4" fontId="13" fillId="0" borderId="0" xfId="23" applyNumberFormat="1"/>
    <xf numFmtId="183" fontId="13" fillId="0" borderId="0" xfId="23" applyNumberFormat="1"/>
    <xf numFmtId="0" fontId="32" fillId="0" borderId="0" xfId="23" applyFont="1"/>
    <xf numFmtId="49" fontId="52" fillId="0" borderId="0" xfId="2" applyNumberFormat="1" applyFont="1" applyFill="1" applyBorder="1" applyAlignment="1" applyProtection="1">
      <alignment horizontal="center" wrapText="1"/>
      <protection hidden="1"/>
    </xf>
    <xf numFmtId="0" fontId="31" fillId="0" borderId="21" xfId="19" applyFont="1" applyBorder="1" applyAlignment="1">
      <alignment vertical="center"/>
    </xf>
    <xf numFmtId="0" fontId="54" fillId="0" borderId="21" xfId="19" applyFont="1" applyBorder="1" applyAlignment="1">
      <alignment vertical="center"/>
    </xf>
    <xf numFmtId="0" fontId="63" fillId="13" borderId="0" xfId="0" applyFont="1" applyFill="1" applyAlignment="1">
      <alignment vertical="center"/>
    </xf>
    <xf numFmtId="0" fontId="62" fillId="13" borderId="0" xfId="0" applyFont="1" applyFill="1" applyAlignment="1">
      <alignment vertical="center"/>
    </xf>
    <xf numFmtId="0" fontId="76" fillId="13" borderId="0" xfId="0" applyFont="1" applyFill="1" applyAlignment="1">
      <alignment vertical="center"/>
    </xf>
    <xf numFmtId="0" fontId="62" fillId="13" borderId="0" xfId="0" applyFont="1" applyFill="1" applyAlignment="1">
      <alignment horizontal="center" vertical="center"/>
    </xf>
    <xf numFmtId="0" fontId="27" fillId="0" borderId="0" xfId="0" applyFont="1" applyFill="1" applyAlignment="1">
      <alignment horizontal="right" vertical="center"/>
    </xf>
    <xf numFmtId="189" fontId="13" fillId="0" borderId="0" xfId="23" applyNumberFormat="1" applyFont="1" applyFill="1" applyBorder="1" applyAlignment="1">
      <alignment horizontal="center" vertical="center"/>
    </xf>
    <xf numFmtId="3" fontId="28" fillId="0" borderId="0" xfId="0" applyNumberFormat="1" applyFont="1" applyFill="1" applyBorder="1" applyAlignment="1">
      <alignment horizontal="center" vertical="center"/>
    </xf>
    <xf numFmtId="3" fontId="28" fillId="0" borderId="0" xfId="0" applyNumberFormat="1" applyFont="1" applyFill="1" applyBorder="1" applyAlignment="1">
      <alignment horizontal="left" vertical="top" wrapText="1"/>
    </xf>
    <xf numFmtId="190" fontId="28" fillId="0" borderId="19" xfId="36" applyNumberFormat="1" applyFont="1" applyFill="1" applyBorder="1" applyAlignment="1">
      <alignment horizontal="center" vertical="center"/>
    </xf>
    <xf numFmtId="0" fontId="26" fillId="11" borderId="0" xfId="0" applyFont="1" applyFill="1" applyAlignment="1">
      <alignment horizontal="center" vertical="center"/>
    </xf>
    <xf numFmtId="183" fontId="28" fillId="8" borderId="14" xfId="0" applyNumberFormat="1" applyFont="1" applyFill="1" applyBorder="1" applyAlignment="1">
      <alignment horizontal="center" vertical="center"/>
    </xf>
    <xf numFmtId="0" fontId="26" fillId="11" borderId="0" xfId="0" applyFont="1" applyFill="1" applyAlignment="1">
      <alignment horizontal="right" vertical="center"/>
    </xf>
    <xf numFmtId="183" fontId="28" fillId="0" borderId="13" xfId="0" applyNumberFormat="1" applyFont="1" applyFill="1" applyBorder="1" applyAlignment="1">
      <alignment horizontal="right" vertical="center"/>
    </xf>
    <xf numFmtId="183" fontId="28" fillId="0" borderId="14" xfId="0" applyNumberFormat="1" applyFont="1" applyFill="1" applyBorder="1" applyAlignment="1">
      <alignment horizontal="right" vertical="center"/>
    </xf>
    <xf numFmtId="183" fontId="28" fillId="8" borderId="0" xfId="0" applyNumberFormat="1" applyFont="1" applyFill="1" applyAlignment="1">
      <alignment vertical="center" wrapText="1"/>
    </xf>
    <xf numFmtId="0" fontId="27" fillId="18" borderId="17" xfId="28" applyFont="1" applyFill="1" applyBorder="1" applyAlignment="1" applyProtection="1">
      <alignment horizontal="center" vertical="center" textRotation="90"/>
      <protection hidden="1"/>
    </xf>
    <xf numFmtId="185" fontId="14" fillId="12" borderId="0" xfId="21" applyNumberFormat="1" applyFont="1" applyFill="1" applyAlignment="1">
      <alignment horizontal="center"/>
    </xf>
    <xf numFmtId="0" fontId="28" fillId="10" borderId="16" xfId="0" applyFont="1" applyFill="1" applyBorder="1" applyAlignment="1">
      <alignment horizontal="center"/>
    </xf>
    <xf numFmtId="0" fontId="16" fillId="0" borderId="19" xfId="18" applyBorder="1"/>
    <xf numFmtId="186" fontId="28" fillId="0" borderId="19" xfId="0" applyNumberFormat="1" applyFont="1" applyBorder="1"/>
    <xf numFmtId="191" fontId="28" fillId="0" borderId="19" xfId="0" applyNumberFormat="1" applyFont="1" applyBorder="1" applyAlignment="1">
      <alignment horizontal="center"/>
    </xf>
    <xf numFmtId="0" fontId="29" fillId="0" borderId="0" xfId="21" applyNumberFormat="1" applyFont="1" applyFill="1" applyBorder="1" applyAlignment="1">
      <alignment horizontal="left"/>
    </xf>
    <xf numFmtId="2" fontId="60" fillId="0" borderId="0" xfId="21" applyNumberFormat="1" applyFont="1" applyFill="1" applyBorder="1" applyAlignment="1"/>
    <xf numFmtId="0" fontId="0" fillId="13" borderId="0" xfId="0" applyFill="1" applyAlignment="1">
      <alignment vertical="center"/>
    </xf>
    <xf numFmtId="2" fontId="57" fillId="13" borderId="0" xfId="0" applyNumberFormat="1" applyFont="1" applyFill="1" applyAlignment="1">
      <alignment horizontal="center" vertical="center"/>
    </xf>
    <xf numFmtId="2" fontId="28" fillId="0" borderId="37" xfId="20" applyNumberFormat="1" applyFont="1" applyFill="1" applyBorder="1" applyProtection="1">
      <protection hidden="1"/>
    </xf>
    <xf numFmtId="0" fontId="28" fillId="0" borderId="37" xfId="22" applyFont="1" applyBorder="1"/>
    <xf numFmtId="2" fontId="27" fillId="13" borderId="39" xfId="20" applyNumberFormat="1" applyFont="1" applyFill="1" applyBorder="1" applyAlignment="1" applyProtection="1">
      <alignment horizontal="center"/>
      <protection hidden="1"/>
    </xf>
    <xf numFmtId="0" fontId="13" fillId="0" borderId="37" xfId="0" applyFont="1" applyBorder="1"/>
    <xf numFmtId="0" fontId="28" fillId="0" borderId="37" xfId="22" applyFont="1" applyFill="1" applyBorder="1"/>
    <xf numFmtId="0" fontId="28" fillId="0" borderId="37" xfId="20" applyFont="1" applyFill="1" applyBorder="1" applyAlignment="1" applyProtection="1">
      <alignment vertical="center"/>
      <protection hidden="1"/>
    </xf>
    <xf numFmtId="181" fontId="27" fillId="16" borderId="29" xfId="31" applyNumberFormat="1" applyFont="1" applyFill="1" applyBorder="1" applyAlignment="1" applyProtection="1">
      <alignment vertical="center"/>
      <protection hidden="1"/>
    </xf>
    <xf numFmtId="181" fontId="27" fillId="16" borderId="25" xfId="22" applyNumberFormat="1" applyFont="1" applyFill="1" applyBorder="1" applyAlignment="1"/>
    <xf numFmtId="0" fontId="65" fillId="14" borderId="0" xfId="0" applyFont="1" applyFill="1" applyBorder="1" applyAlignment="1">
      <alignment horizontal="center" vertical="center"/>
    </xf>
    <xf numFmtId="0" fontId="74" fillId="14" borderId="0" xfId="0" applyFont="1" applyFill="1" applyBorder="1"/>
    <xf numFmtId="0" fontId="79" fillId="14" borderId="0" xfId="0" applyFont="1" applyFill="1" applyBorder="1" applyAlignment="1">
      <alignment vertical="center"/>
    </xf>
    <xf numFmtId="0" fontId="13" fillId="14" borderId="17" xfId="0" applyFont="1" applyFill="1" applyBorder="1" applyAlignment="1">
      <alignment horizontal="center"/>
    </xf>
    <xf numFmtId="4" fontId="28" fillId="0" borderId="19" xfId="0" applyNumberFormat="1" applyFont="1" applyFill="1" applyBorder="1" applyAlignment="1">
      <alignment horizontal="center" vertical="center"/>
    </xf>
    <xf numFmtId="176" fontId="28" fillId="13" borderId="1" xfId="0" applyNumberFormat="1" applyFont="1" applyFill="1" applyBorder="1" applyAlignment="1">
      <alignment horizontal="center"/>
    </xf>
    <xf numFmtId="1" fontId="28" fillId="13" borderId="1" xfId="0" applyNumberFormat="1" applyFont="1" applyFill="1" applyBorder="1" applyAlignment="1">
      <alignment horizontal="center"/>
    </xf>
    <xf numFmtId="2" fontId="28" fillId="13" borderId="1" xfId="0" applyNumberFormat="1" applyFont="1" applyFill="1" applyBorder="1"/>
    <xf numFmtId="0" fontId="28" fillId="13" borderId="1" xfId="0" applyNumberFormat="1" applyFont="1" applyFill="1" applyBorder="1" applyAlignment="1">
      <alignment horizontal="left"/>
    </xf>
    <xf numFmtId="3" fontId="28" fillId="13" borderId="1" xfId="25" applyNumberFormat="1" applyFont="1" applyFill="1" applyBorder="1" applyAlignment="1">
      <alignment horizontal="right"/>
    </xf>
    <xf numFmtId="3" fontId="28" fillId="13" borderId="1" xfId="0" applyNumberFormat="1" applyFont="1" applyFill="1" applyBorder="1" applyAlignment="1">
      <alignment horizontal="right"/>
    </xf>
    <xf numFmtId="179" fontId="28" fillId="13" borderId="1" xfId="10" applyNumberFormat="1" applyFont="1" applyFill="1" applyBorder="1" applyAlignment="1">
      <alignment horizontal="right"/>
    </xf>
    <xf numFmtId="177" fontId="28" fillId="13" borderId="1" xfId="0" applyNumberFormat="1" applyFont="1" applyFill="1" applyBorder="1" applyAlignment="1" applyProtection="1">
      <alignment horizontal="right"/>
    </xf>
    <xf numFmtId="173" fontId="28" fillId="13" borderId="1" xfId="0" applyNumberFormat="1" applyFont="1" applyFill="1" applyBorder="1" applyAlignment="1" applyProtection="1">
      <alignment horizontal="left" indent="1"/>
    </xf>
    <xf numFmtId="174" fontId="28" fillId="15" borderId="1" xfId="0" applyNumberFormat="1" applyFont="1" applyFill="1" applyBorder="1" applyAlignment="1">
      <alignment horizontal="center"/>
    </xf>
    <xf numFmtId="10" fontId="0" fillId="0" borderId="0" xfId="0" applyNumberFormat="1"/>
    <xf numFmtId="181" fontId="14" fillId="0" borderId="0" xfId="31" applyNumberFormat="1" applyFont="1" applyAlignment="1">
      <alignment horizontal="right" vertical="center"/>
    </xf>
    <xf numFmtId="190" fontId="28" fillId="0" borderId="0" xfId="0" applyNumberFormat="1" applyFont="1"/>
    <xf numFmtId="183" fontId="28" fillId="0" borderId="37" xfId="0" applyNumberFormat="1" applyFont="1" applyFill="1" applyBorder="1"/>
    <xf numFmtId="0" fontId="28" fillId="0" borderId="37" xfId="22" applyFont="1" applyFill="1" applyBorder="1"/>
    <xf numFmtId="10" fontId="14" fillId="13" borderId="25" xfId="27" applyNumberFormat="1" applyFont="1" applyFill="1" applyBorder="1"/>
    <xf numFmtId="0" fontId="54" fillId="0" borderId="0" xfId="0" applyFont="1" applyFill="1" applyAlignment="1">
      <alignment vertical="center"/>
    </xf>
    <xf numFmtId="0" fontId="13" fillId="0" borderId="0" xfId="0" applyFont="1" applyFill="1" applyAlignment="1">
      <alignment horizontal="center" vertical="center"/>
    </xf>
    <xf numFmtId="10" fontId="14" fillId="13" borderId="25" xfId="27" applyNumberFormat="1" applyFont="1" applyFill="1" applyBorder="1"/>
    <xf numFmtId="10" fontId="14" fillId="0" borderId="25" xfId="27" applyNumberFormat="1" applyFont="1" applyFill="1" applyBorder="1"/>
    <xf numFmtId="181" fontId="28" fillId="13" borderId="25" xfId="20" applyNumberFormat="1" applyFont="1" applyFill="1" applyBorder="1" applyAlignment="1" applyProtection="1">
      <alignment vertical="center"/>
      <protection hidden="1"/>
    </xf>
    <xf numFmtId="0" fontId="13" fillId="19" borderId="37" xfId="0" applyFont="1" applyFill="1" applyBorder="1"/>
    <xf numFmtId="0" fontId="28" fillId="19" borderId="37" xfId="22" applyFont="1" applyFill="1" applyBorder="1"/>
    <xf numFmtId="181" fontId="28" fillId="19" borderId="25" xfId="20" applyNumberFormat="1" applyFont="1" applyFill="1" applyBorder="1" applyAlignment="1" applyProtection="1">
      <alignment vertical="center"/>
      <protection hidden="1"/>
    </xf>
    <xf numFmtId="4" fontId="27" fillId="13" borderId="17" xfId="3" applyNumberFormat="1" applyFont="1" applyFill="1" applyBorder="1" applyAlignment="1" applyProtection="1">
      <alignment horizontal="center" vertical="center"/>
      <protection hidden="1"/>
    </xf>
    <xf numFmtId="192" fontId="13" fillId="0" borderId="0" xfId="0" applyNumberFormat="1" applyFont="1"/>
    <xf numFmtId="2" fontId="28" fillId="18" borderId="17" xfId="28" applyNumberFormat="1" applyFont="1" applyFill="1" applyBorder="1" applyAlignment="1" applyProtection="1">
      <alignment horizontal="center" vertical="center" textRotation="90"/>
      <protection hidden="1"/>
    </xf>
    <xf numFmtId="2" fontId="28" fillId="13" borderId="17" xfId="28" applyNumberFormat="1" applyFont="1" applyFill="1" applyBorder="1" applyAlignment="1" applyProtection="1">
      <alignment horizontal="center" vertical="center" textRotation="90"/>
      <protection hidden="1"/>
    </xf>
    <xf numFmtId="0" fontId="28" fillId="18" borderId="17" xfId="28" applyFont="1" applyFill="1" applyBorder="1" applyAlignment="1" applyProtection="1">
      <alignment horizontal="center" vertical="center" textRotation="90"/>
      <protection hidden="1"/>
    </xf>
    <xf numFmtId="0" fontId="35" fillId="18" borderId="17" xfId="28" applyNumberFormat="1" applyFont="1" applyFill="1" applyBorder="1" applyAlignment="1" applyProtection="1">
      <alignment horizontal="center" vertical="center" textRotation="90"/>
      <protection hidden="1"/>
    </xf>
    <xf numFmtId="181" fontId="35" fillId="13" borderId="17" xfId="31" applyNumberFormat="1" applyFont="1" applyFill="1" applyBorder="1" applyAlignment="1" applyProtection="1">
      <alignment horizontal="center" vertical="center"/>
      <protection hidden="1"/>
    </xf>
    <xf numFmtId="0" fontId="52" fillId="18" borderId="17" xfId="28" applyFont="1" applyFill="1" applyBorder="1" applyAlignment="1" applyProtection="1">
      <alignment horizontal="center" vertical="center" textRotation="90"/>
      <protection hidden="1"/>
    </xf>
    <xf numFmtId="4" fontId="28" fillId="13" borderId="17" xfId="3" applyNumberFormat="1" applyFont="1" applyFill="1" applyBorder="1" applyAlignment="1" applyProtection="1">
      <alignment horizontal="center" vertical="center"/>
      <protection locked="0"/>
    </xf>
    <xf numFmtId="4" fontId="28" fillId="17" borderId="17" xfId="3" applyNumberFormat="1" applyFont="1" applyFill="1" applyBorder="1" applyAlignment="1" applyProtection="1">
      <alignment horizontal="center" vertical="center"/>
      <protection locked="0"/>
    </xf>
    <xf numFmtId="4" fontId="35" fillId="13" borderId="17" xfId="3" applyNumberFormat="1" applyFont="1" applyFill="1" applyBorder="1" applyAlignment="1" applyProtection="1">
      <alignment horizontal="center" vertical="center"/>
      <protection locked="0"/>
    </xf>
    <xf numFmtId="4" fontId="27" fillId="13" borderId="17" xfId="4" applyNumberFormat="1" applyFont="1" applyFill="1" applyBorder="1" applyAlignment="1" applyProtection="1">
      <alignment horizontal="center" vertical="center"/>
      <protection hidden="1"/>
    </xf>
    <xf numFmtId="15" fontId="0" fillId="0" borderId="0" xfId="0" applyNumberFormat="1"/>
    <xf numFmtId="193" fontId="35" fillId="0" borderId="0" xfId="21" applyNumberFormat="1" applyFont="1" applyFill="1" applyAlignment="1"/>
    <xf numFmtId="185" fontId="28" fillId="0" borderId="0" xfId="21" applyNumberFormat="1" applyFont="1" applyFill="1" applyAlignment="1"/>
    <xf numFmtId="16" fontId="28" fillId="0" borderId="19" xfId="0" applyNumberFormat="1" applyFont="1" applyBorder="1" applyAlignment="1">
      <alignment horizontal="center"/>
    </xf>
    <xf numFmtId="0" fontId="0" fillId="0" borderId="0" xfId="0" applyAlignment="1">
      <alignment horizontal="center"/>
    </xf>
    <xf numFmtId="0" fontId="28" fillId="0" borderId="19" xfId="0" applyFont="1" applyBorder="1"/>
    <xf numFmtId="191" fontId="28" fillId="0" borderId="19" xfId="0" applyNumberFormat="1" applyFont="1" applyBorder="1" applyAlignment="1">
      <alignment horizontal="center"/>
    </xf>
    <xf numFmtId="0" fontId="13" fillId="0" borderId="37" xfId="0" applyFont="1" applyFill="1" applyBorder="1"/>
    <xf numFmtId="0" fontId="28" fillId="0" borderId="37" xfId="0" applyFont="1" applyBorder="1" applyAlignment="1">
      <alignment horizontal="center"/>
    </xf>
    <xf numFmtId="0" fontId="28" fillId="0" borderId="37" xfId="0" applyNumberFormat="1" applyFont="1" applyBorder="1" applyAlignment="1">
      <alignment horizontal="center"/>
    </xf>
    <xf numFmtId="0" fontId="28" fillId="0" borderId="37" xfId="0" applyFont="1" applyBorder="1"/>
    <xf numFmtId="0" fontId="28" fillId="0" borderId="37" xfId="10" applyNumberFormat="1" applyFont="1" applyFill="1" applyBorder="1" applyAlignment="1"/>
    <xf numFmtId="43" fontId="28" fillId="15" borderId="19" xfId="10" applyFont="1" applyFill="1" applyBorder="1" applyAlignment="1">
      <alignment horizontal="center"/>
    </xf>
    <xf numFmtId="174" fontId="28" fillId="0" borderId="19" xfId="0" applyNumberFormat="1" applyFont="1" applyBorder="1"/>
    <xf numFmtId="174" fontId="28" fillId="0" borderId="36" xfId="0" applyNumberFormat="1" applyFont="1" applyBorder="1"/>
    <xf numFmtId="2" fontId="28" fillId="0" borderId="37" xfId="10" applyNumberFormat="1" applyFont="1" applyFill="1" applyBorder="1" applyAlignment="1">
      <alignment horizontal="center"/>
    </xf>
    <xf numFmtId="43" fontId="28" fillId="0" borderId="37" xfId="10" applyFont="1" applyBorder="1"/>
    <xf numFmtId="176" fontId="28" fillId="0" borderId="37" xfId="0" applyNumberFormat="1" applyFont="1" applyBorder="1" applyAlignment="1">
      <alignment horizontal="center"/>
    </xf>
    <xf numFmtId="176" fontId="78" fillId="0" borderId="37" xfId="0" applyNumberFormat="1" applyFont="1" applyBorder="1" applyAlignment="1">
      <alignment horizontal="center"/>
    </xf>
    <xf numFmtId="1" fontId="28" fillId="0" borderId="37" xfId="0" applyNumberFormat="1" applyFont="1" applyFill="1" applyBorder="1" applyAlignment="1">
      <alignment horizontal="center"/>
    </xf>
    <xf numFmtId="0" fontId="16" fillId="0" borderId="19" xfId="18" applyBorder="1"/>
    <xf numFmtId="186" fontId="28" fillId="0" borderId="19" xfId="0" applyNumberFormat="1" applyFont="1" applyBorder="1"/>
    <xf numFmtId="176" fontId="1" fillId="0" borderId="37" xfId="0" applyNumberFormat="1" applyFont="1" applyBorder="1" applyAlignment="1">
      <alignment horizontal="center"/>
    </xf>
    <xf numFmtId="4" fontId="28" fillId="16" borderId="19" xfId="23" applyNumberFormat="1" applyFont="1" applyFill="1" applyBorder="1" applyAlignment="1">
      <alignment horizontal="center" vertical="center"/>
    </xf>
    <xf numFmtId="183" fontId="28" fillId="16" borderId="19" xfId="23" applyNumberFormat="1" applyFont="1" applyFill="1" applyBorder="1" applyAlignment="1">
      <alignment horizontal="center" vertical="center"/>
    </xf>
    <xf numFmtId="4" fontId="28" fillId="0" borderId="0" xfId="0" applyNumberFormat="1" applyFont="1"/>
    <xf numFmtId="9" fontId="27" fillId="13" borderId="17" xfId="0" applyNumberFormat="1" applyFont="1" applyFill="1" applyBorder="1" applyAlignment="1">
      <alignment horizontal="center"/>
    </xf>
    <xf numFmtId="0" fontId="27" fillId="0" borderId="0" xfId="0" applyFont="1" applyAlignment="1">
      <alignment horizontal="center" vertical="center"/>
    </xf>
    <xf numFmtId="0" fontId="27" fillId="0" borderId="0" xfId="0" applyFont="1" applyAlignment="1">
      <alignment horizontal="center" vertical="center" wrapText="1"/>
    </xf>
    <xf numFmtId="0" fontId="27" fillId="0" borderId="0" xfId="0" applyFont="1" applyAlignment="1">
      <alignment horizontal="right" vertical="center"/>
    </xf>
    <xf numFmtId="0" fontId="27" fillId="0" borderId="50" xfId="0" applyFont="1" applyBorder="1" applyAlignment="1">
      <alignment horizontal="center" vertical="center"/>
    </xf>
    <xf numFmtId="4" fontId="27" fillId="0" borderId="23" xfId="0" applyNumberFormat="1" applyFont="1" applyBorder="1" applyAlignment="1">
      <alignment horizontal="center" vertical="center"/>
    </xf>
    <xf numFmtId="4" fontId="28" fillId="13" borderId="17" xfId="0" applyNumberFormat="1" applyFont="1" applyFill="1" applyBorder="1" applyAlignment="1">
      <alignment horizontal="center"/>
    </xf>
    <xf numFmtId="0" fontId="35" fillId="0" borderId="0" xfId="0" applyFont="1" applyBorder="1" applyAlignment="1">
      <alignment horizontal="left" indent="4"/>
    </xf>
    <xf numFmtId="0" fontId="84" fillId="0" borderId="29" xfId="22" applyFont="1" applyBorder="1" applyAlignment="1">
      <alignment horizontal="right"/>
    </xf>
    <xf numFmtId="0" fontId="13" fillId="0" borderId="37" xfId="0" applyFont="1" applyBorder="1" applyAlignment="1">
      <alignment wrapText="1"/>
    </xf>
    <xf numFmtId="10" fontId="14" fillId="0" borderId="25" xfId="27" applyNumberFormat="1" applyFont="1" applyFill="1" applyBorder="1" applyAlignment="1">
      <alignment horizontal="right"/>
    </xf>
    <xf numFmtId="181" fontId="27" fillId="13" borderId="25" xfId="20" applyNumberFormat="1" applyFont="1" applyFill="1" applyBorder="1" applyAlignment="1" applyProtection="1">
      <alignment vertical="center"/>
      <protection hidden="1"/>
    </xf>
    <xf numFmtId="0" fontId="54" fillId="0" borderId="0" xfId="0" applyFont="1" applyAlignment="1">
      <alignment horizontal="center" vertical="center"/>
    </xf>
    <xf numFmtId="4" fontId="14" fillId="13" borderId="54" xfId="0" applyNumberFormat="1" applyFont="1" applyFill="1" applyBorder="1" applyAlignment="1">
      <alignment horizontal="center" vertical="center"/>
    </xf>
    <xf numFmtId="0" fontId="14" fillId="13" borderId="55" xfId="0" applyFont="1" applyFill="1" applyBorder="1" applyAlignment="1">
      <alignment vertical="center"/>
    </xf>
    <xf numFmtId="0" fontId="14" fillId="13" borderId="55" xfId="0" applyFont="1" applyFill="1" applyBorder="1" applyAlignment="1">
      <alignment horizontal="center" vertical="center"/>
    </xf>
    <xf numFmtId="0" fontId="13" fillId="13" borderId="55" xfId="0" applyFont="1" applyFill="1" applyBorder="1" applyAlignment="1">
      <alignment horizontal="center" vertical="center"/>
    </xf>
    <xf numFmtId="0" fontId="13" fillId="13" borderId="56" xfId="0" applyFont="1" applyFill="1" applyBorder="1" applyAlignment="1">
      <alignment horizontal="center" vertical="center"/>
    </xf>
    <xf numFmtId="0" fontId="14" fillId="13" borderId="57" xfId="0" applyFont="1" applyFill="1" applyBorder="1" applyAlignment="1">
      <alignment horizontal="center" vertical="center"/>
    </xf>
    <xf numFmtId="0" fontId="14" fillId="13" borderId="0" xfId="0" applyFont="1" applyFill="1" applyBorder="1" applyAlignment="1">
      <alignment vertical="center"/>
    </xf>
    <xf numFmtId="0" fontId="14" fillId="13" borderId="0" xfId="0" applyFont="1" applyFill="1" applyBorder="1" applyAlignment="1">
      <alignment horizontal="center" vertical="center"/>
    </xf>
    <xf numFmtId="0" fontId="13" fillId="13" borderId="0" xfId="0" applyFont="1" applyFill="1" applyBorder="1" applyAlignment="1">
      <alignment horizontal="center" vertical="center"/>
    </xf>
    <xf numFmtId="0" fontId="13" fillId="13" borderId="58" xfId="0" applyFont="1" applyFill="1" applyBorder="1" applyAlignment="1">
      <alignment horizontal="center" vertical="center"/>
    </xf>
    <xf numFmtId="0" fontId="14" fillId="13" borderId="59" xfId="0" applyFont="1" applyFill="1" applyBorder="1" applyAlignment="1">
      <alignment horizontal="center" vertical="center"/>
    </xf>
    <xf numFmtId="0" fontId="14" fillId="13" borderId="60" xfId="0" applyFont="1" applyFill="1" applyBorder="1" applyAlignment="1">
      <alignment vertical="center"/>
    </xf>
    <xf numFmtId="0" fontId="14" fillId="13" borderId="60" xfId="0" applyFont="1" applyFill="1" applyBorder="1" applyAlignment="1">
      <alignment horizontal="center" vertical="center"/>
    </xf>
    <xf numFmtId="0" fontId="13" fillId="13" borderId="60" xfId="0" applyFont="1" applyFill="1" applyBorder="1" applyAlignment="1">
      <alignment horizontal="center" vertical="center"/>
    </xf>
    <xf numFmtId="0" fontId="13" fillId="13" borderId="61" xfId="0" applyFont="1" applyFill="1" applyBorder="1" applyAlignment="1">
      <alignment horizontal="center" vertical="center"/>
    </xf>
    <xf numFmtId="0" fontId="74" fillId="0" borderId="0" xfId="0" applyFont="1" applyAlignment="1">
      <alignment vertical="center"/>
    </xf>
    <xf numFmtId="0" fontId="65" fillId="0" borderId="0" xfId="0" applyFont="1" applyAlignment="1">
      <alignment vertical="center"/>
    </xf>
    <xf numFmtId="0" fontId="30" fillId="0" borderId="0" xfId="21" applyFont="1" applyFill="1" applyAlignment="1">
      <alignment vertical="center"/>
    </xf>
    <xf numFmtId="0" fontId="65" fillId="0" borderId="0" xfId="0" applyFont="1" applyAlignment="1">
      <alignment horizontal="center" vertical="center" textRotation="90" wrapText="1"/>
    </xf>
    <xf numFmtId="0" fontId="62" fillId="0" borderId="0" xfId="0" applyFont="1" applyAlignment="1">
      <alignment vertical="center" wrapText="1"/>
    </xf>
    <xf numFmtId="0" fontId="62" fillId="0" borderId="0" xfId="0" applyFont="1" applyAlignment="1">
      <alignment horizontal="center" vertical="center" wrapText="1"/>
    </xf>
    <xf numFmtId="0" fontId="14" fillId="0" borderId="0" xfId="0" applyFont="1" applyAlignment="1">
      <alignment horizontal="center" vertical="center" wrapText="1"/>
    </xf>
    <xf numFmtId="2" fontId="28" fillId="0" borderId="22" xfId="28" applyNumberFormat="1" applyFont="1" applyFill="1" applyBorder="1" applyAlignment="1" applyProtection="1">
      <alignment horizontal="center" vertical="center" textRotation="90" wrapText="1"/>
      <protection hidden="1"/>
    </xf>
    <xf numFmtId="2" fontId="28" fillId="0" borderId="23" xfId="28" applyNumberFormat="1" applyFont="1" applyFill="1" applyBorder="1" applyAlignment="1" applyProtection="1">
      <alignment horizontal="center" vertical="center" textRotation="90" wrapText="1"/>
      <protection hidden="1"/>
    </xf>
    <xf numFmtId="2" fontId="13" fillId="0" borderId="23" xfId="28" applyNumberFormat="1" applyFont="1" applyFill="1" applyBorder="1" applyAlignment="1" applyProtection="1">
      <alignment horizontal="center" vertical="center" textRotation="90" wrapText="1"/>
      <protection hidden="1"/>
    </xf>
    <xf numFmtId="0" fontId="28" fillId="0" borderId="23" xfId="28" applyFont="1" applyFill="1" applyBorder="1" applyAlignment="1" applyProtection="1">
      <alignment horizontal="center" vertical="center" textRotation="90" wrapText="1"/>
      <protection hidden="1"/>
    </xf>
    <xf numFmtId="0" fontId="27" fillId="0" borderId="23" xfId="28" applyFont="1" applyFill="1" applyBorder="1" applyAlignment="1" applyProtection="1">
      <alignment horizontal="center" vertical="center" textRotation="90" wrapText="1"/>
      <protection hidden="1"/>
    </xf>
    <xf numFmtId="0" fontId="13" fillId="0" borderId="0" xfId="0" applyFont="1" applyBorder="1" applyAlignment="1">
      <alignment horizontal="center" vertical="center" wrapText="1"/>
    </xf>
    <xf numFmtId="0" fontId="28" fillId="0" borderId="23" xfId="28" applyNumberFormat="1" applyFont="1" applyFill="1" applyBorder="1" applyAlignment="1" applyProtection="1">
      <alignment horizontal="center" vertical="center" textRotation="90" wrapText="1"/>
      <protection hidden="1"/>
    </xf>
    <xf numFmtId="0" fontId="35" fillId="0" borderId="23" xfId="28" applyNumberFormat="1" applyFont="1" applyFill="1" applyBorder="1" applyAlignment="1" applyProtection="1">
      <alignment horizontal="center" vertical="center" textRotation="90" wrapText="1"/>
      <protection hidden="1"/>
    </xf>
    <xf numFmtId="0" fontId="27" fillId="0" borderId="24" xfId="28" applyFont="1" applyFill="1" applyBorder="1" applyAlignment="1" applyProtection="1">
      <alignment horizontal="center" vertical="center" textRotation="90" wrapText="1"/>
      <protection hidden="1"/>
    </xf>
    <xf numFmtId="0" fontId="13" fillId="0" borderId="0" xfId="0" applyFont="1" applyAlignment="1">
      <alignment horizontal="center" vertical="center" wrapText="1"/>
    </xf>
    <xf numFmtId="0" fontId="13" fillId="0" borderId="0" xfId="0" applyFont="1" applyAlignment="1">
      <alignment horizontal="center" vertical="center" textRotation="90" wrapText="1"/>
    </xf>
    <xf numFmtId="0" fontId="64" fillId="0" borderId="0" xfId="0" applyFont="1" applyAlignment="1">
      <alignment vertical="center"/>
    </xf>
    <xf numFmtId="10" fontId="13" fillId="0" borderId="0" xfId="0" applyNumberFormat="1" applyFont="1" applyAlignment="1">
      <alignment horizontal="center" vertical="center"/>
    </xf>
    <xf numFmtId="178" fontId="13" fillId="0" borderId="21" xfId="0" applyNumberFormat="1" applyFont="1" applyFill="1" applyBorder="1" applyAlignment="1">
      <alignment horizontal="center"/>
    </xf>
    <xf numFmtId="178" fontId="13" fillId="0" borderId="20" xfId="0" applyNumberFormat="1" applyFont="1" applyBorder="1" applyAlignment="1">
      <alignment horizontal="center"/>
    </xf>
    <xf numFmtId="2" fontId="28" fillId="0" borderId="20" xfId="2" applyNumberFormat="1" applyFont="1" applyFill="1" applyBorder="1" applyAlignment="1">
      <alignment horizontal="center"/>
    </xf>
    <xf numFmtId="2" fontId="28" fillId="0" borderId="20" xfId="0" applyNumberFormat="1" applyFont="1" applyBorder="1" applyAlignment="1">
      <alignment horizontal="center"/>
    </xf>
    <xf numFmtId="179" fontId="13" fillId="0" borderId="20" xfId="0" applyNumberFormat="1" applyFont="1" applyBorder="1" applyAlignment="1">
      <alignment horizontal="center"/>
    </xf>
    <xf numFmtId="179" fontId="13" fillId="0" borderId="26" xfId="0" applyNumberFormat="1" applyFont="1" applyBorder="1" applyAlignment="1">
      <alignment horizontal="center" vertical="center"/>
    </xf>
    <xf numFmtId="179" fontId="13" fillId="0" borderId="0" xfId="0" applyNumberFormat="1" applyFont="1"/>
    <xf numFmtId="179" fontId="13" fillId="0" borderId="38" xfId="0" applyNumberFormat="1" applyFont="1" applyBorder="1" applyAlignment="1">
      <alignment horizontal="center"/>
    </xf>
    <xf numFmtId="4" fontId="13" fillId="0" borderId="37" xfId="0" applyNumberFormat="1" applyFont="1" applyBorder="1" applyAlignment="1">
      <alignment horizontal="center" vertical="center"/>
    </xf>
    <xf numFmtId="4" fontId="13" fillId="0" borderId="38" xfId="0" applyNumberFormat="1" applyFont="1" applyBorder="1" applyAlignment="1">
      <alignment horizontal="center"/>
    </xf>
    <xf numFmtId="0" fontId="13" fillId="0" borderId="21" xfId="0" applyFont="1" applyFill="1" applyBorder="1" applyAlignment="1">
      <alignment vertical="top"/>
    </xf>
    <xf numFmtId="0" fontId="31" fillId="0" borderId="21" xfId="19" applyFont="1" applyBorder="1" applyAlignment="1">
      <alignment vertical="top"/>
    </xf>
    <xf numFmtId="189" fontId="13" fillId="0" borderId="9" xfId="23" applyNumberFormat="1" applyFont="1" applyFill="1" applyBorder="1" applyAlignment="1">
      <alignment horizontal="center" vertical="top"/>
    </xf>
    <xf numFmtId="4" fontId="28" fillId="0" borderId="19" xfId="0" applyNumberFormat="1" applyFont="1" applyFill="1" applyBorder="1" applyAlignment="1">
      <alignment horizontal="center" vertical="top"/>
    </xf>
    <xf numFmtId="179" fontId="28" fillId="0" borderId="0" xfId="0" applyNumberFormat="1" applyFont="1" applyFill="1" applyBorder="1" applyAlignment="1">
      <alignment horizontal="center" vertical="center"/>
    </xf>
    <xf numFmtId="0" fontId="13" fillId="0" borderId="37" xfId="0" applyFont="1" applyFill="1" applyBorder="1" applyAlignment="1">
      <alignment vertical="center"/>
    </xf>
    <xf numFmtId="179" fontId="27" fillId="0" borderId="0" xfId="0" applyNumberFormat="1" applyFont="1" applyFill="1" applyAlignment="1">
      <alignment horizontal="center"/>
    </xf>
    <xf numFmtId="179" fontId="28" fillId="0" borderId="0" xfId="0" applyNumberFormat="1" applyFont="1" applyAlignment="1">
      <alignment horizontal="center"/>
    </xf>
    <xf numFmtId="179" fontId="27" fillId="0" borderId="0" xfId="0" applyNumberFormat="1" applyFont="1" applyAlignment="1">
      <alignment horizontal="center"/>
    </xf>
    <xf numFmtId="179" fontId="28" fillId="0" borderId="0" xfId="0" applyNumberFormat="1" applyFont="1" applyAlignment="1">
      <alignment horizontal="center" vertical="top"/>
    </xf>
    <xf numFmtId="179" fontId="13" fillId="0" borderId="37" xfId="0" applyNumberFormat="1" applyFont="1" applyBorder="1" applyAlignment="1">
      <alignment horizontal="center"/>
    </xf>
    <xf numFmtId="185" fontId="27" fillId="0" borderId="0" xfId="21" applyNumberFormat="1" applyFont="1" applyFill="1" applyAlignment="1">
      <alignment vertical="center"/>
    </xf>
    <xf numFmtId="43" fontId="27" fillId="0" borderId="0" xfId="10" applyFont="1" applyAlignment="1">
      <alignment horizontal="center"/>
    </xf>
    <xf numFmtId="174" fontId="28" fillId="0" borderId="19" xfId="0" applyNumberFormat="1" applyFont="1" applyBorder="1" applyAlignment="1">
      <alignment horizontal="center"/>
    </xf>
    <xf numFmtId="0" fontId="33" fillId="0" borderId="0" xfId="0" applyFont="1" applyAlignment="1">
      <alignment horizontal="center"/>
    </xf>
    <xf numFmtId="0" fontId="34" fillId="0" borderId="0" xfId="0" applyFont="1" applyAlignment="1">
      <alignment horizontal="center"/>
    </xf>
    <xf numFmtId="0" fontId="27" fillId="0" borderId="0" xfId="0" applyFont="1" applyAlignment="1">
      <alignment horizontal="center"/>
    </xf>
    <xf numFmtId="0" fontId="62" fillId="14" borderId="0" xfId="0" applyFont="1" applyFill="1" applyBorder="1" applyAlignment="1">
      <alignment horizontal="center" vertical="center" wrapText="1"/>
    </xf>
    <xf numFmtId="183" fontId="28" fillId="0" borderId="37" xfId="0" applyNumberFormat="1" applyFont="1" applyFill="1" applyBorder="1" applyAlignment="1">
      <alignment horizontal="center"/>
    </xf>
    <xf numFmtId="190" fontId="28" fillId="0" borderId="37" xfId="0" applyNumberFormat="1" applyFont="1" applyBorder="1" applyAlignment="1">
      <alignment horizontal="center"/>
    </xf>
    <xf numFmtId="0" fontId="28" fillId="10" borderId="62" xfId="0" applyFont="1" applyFill="1" applyBorder="1" applyAlignment="1">
      <alignment horizontal="center"/>
    </xf>
    <xf numFmtId="2" fontId="28" fillId="0" borderId="63" xfId="0" applyNumberFormat="1" applyFont="1" applyBorder="1" applyAlignment="1">
      <alignment horizontal="center"/>
    </xf>
    <xf numFmtId="4" fontId="78" fillId="20" borderId="19" xfId="0" applyNumberFormat="1" applyFont="1" applyFill="1" applyBorder="1" applyAlignment="1" applyProtection="1">
      <alignment horizontal="center" vertical="center"/>
      <protection hidden="1"/>
    </xf>
    <xf numFmtId="2" fontId="85" fillId="0" borderId="0" xfId="28" applyNumberFormat="1" applyFont="1" applyFill="1" applyAlignment="1" applyProtection="1">
      <alignment horizontal="left" vertical="center" indent="1"/>
      <protection hidden="1"/>
    </xf>
    <xf numFmtId="0" fontId="14" fillId="0" borderId="0" xfId="0" applyFont="1" applyAlignment="1">
      <alignment horizontal="left" indent="4"/>
    </xf>
    <xf numFmtId="0" fontId="13" fillId="0" borderId="0" xfId="0" applyFont="1" applyAlignment="1">
      <alignment horizontal="left" indent="4"/>
    </xf>
    <xf numFmtId="0" fontId="28" fillId="0" borderId="26" xfId="22" applyFont="1" applyFill="1" applyBorder="1"/>
    <xf numFmtId="0" fontId="35" fillId="0" borderId="27" xfId="20" applyFont="1" applyFill="1" applyBorder="1" applyAlignment="1" applyProtection="1">
      <alignment horizontal="left" vertical="center" indent="2"/>
      <protection hidden="1"/>
    </xf>
    <xf numFmtId="0" fontId="27" fillId="0" borderId="27" xfId="22" applyFont="1" applyFill="1" applyBorder="1"/>
    <xf numFmtId="10" fontId="78" fillId="20" borderId="19" xfId="0" applyNumberFormat="1" applyFont="1" applyFill="1" applyBorder="1" applyAlignment="1" applyProtection="1">
      <alignment horizontal="center" vertical="center"/>
      <protection hidden="1"/>
    </xf>
    <xf numFmtId="2" fontId="27" fillId="0" borderId="0" xfId="28" applyNumberFormat="1" applyFont="1" applyFill="1" applyAlignment="1" applyProtection="1">
      <alignment vertical="center"/>
      <protection hidden="1"/>
    </xf>
    <xf numFmtId="193" fontId="30" fillId="0" borderId="0" xfId="21" applyNumberFormat="1" applyFont="1" applyFill="1" applyAlignment="1">
      <alignment horizontal="left"/>
    </xf>
    <xf numFmtId="193" fontId="81" fillId="0" borderId="0" xfId="0" applyNumberFormat="1" applyFont="1" applyAlignment="1">
      <alignment horizontal="left"/>
    </xf>
    <xf numFmtId="0" fontId="13" fillId="0" borderId="0" xfId="0" quotePrefix="1" applyFont="1" applyAlignment="1">
      <alignment vertical="center"/>
    </xf>
    <xf numFmtId="49" fontId="52" fillId="0" borderId="0" xfId="2" applyNumberFormat="1" applyFont="1" applyFill="1" applyBorder="1" applyAlignment="1" applyProtection="1">
      <alignment horizontal="left" indent="4"/>
      <protection hidden="1"/>
    </xf>
    <xf numFmtId="181" fontId="36" fillId="0" borderId="0" xfId="31" applyNumberFormat="1" applyFont="1" applyFill="1" applyBorder="1" applyAlignment="1" applyProtection="1">
      <alignment vertical="center" wrapText="1"/>
      <protection locked="0"/>
    </xf>
    <xf numFmtId="181" fontId="49" fillId="0" borderId="0" xfId="31" applyNumberFormat="1" applyFont="1" applyFill="1" applyBorder="1" applyAlignment="1" applyProtection="1">
      <alignment vertical="top" wrapText="1"/>
      <protection locked="0"/>
    </xf>
    <xf numFmtId="0" fontId="50" fillId="0" borderId="0" xfId="0" applyFont="1" applyAlignment="1">
      <alignment vertical="top" wrapText="1"/>
    </xf>
    <xf numFmtId="0" fontId="13" fillId="0" borderId="64" xfId="0" applyFont="1" applyBorder="1" applyAlignment="1">
      <alignment horizontal="center" vertical="center" wrapText="1"/>
    </xf>
    <xf numFmtId="0" fontId="13" fillId="0" borderId="65" xfId="0" applyFont="1" applyBorder="1" applyAlignment="1">
      <alignment horizontal="center" vertical="center" wrapText="1"/>
    </xf>
    <xf numFmtId="0" fontId="13" fillId="0" borderId="66" xfId="0" applyFont="1" applyBorder="1" applyAlignment="1">
      <alignment horizontal="center" vertical="center" wrapText="1"/>
    </xf>
    <xf numFmtId="0" fontId="13" fillId="0" borderId="67" xfId="0" applyFont="1" applyBorder="1" applyAlignment="1">
      <alignment horizontal="center" vertical="center" wrapText="1"/>
    </xf>
    <xf numFmtId="0" fontId="13" fillId="0" borderId="68" xfId="0" applyFont="1" applyBorder="1" applyAlignment="1">
      <alignment horizontal="center" vertical="center" wrapText="1"/>
    </xf>
    <xf numFmtId="0" fontId="13" fillId="0" borderId="69" xfId="0" applyFont="1" applyBorder="1" applyAlignment="1">
      <alignment horizontal="center" vertical="center" wrapText="1"/>
    </xf>
    <xf numFmtId="181" fontId="36" fillId="0" borderId="0" xfId="31" applyNumberFormat="1" applyFont="1" applyFill="1" applyBorder="1" applyAlignment="1" applyProtection="1">
      <alignment horizontal="left" vertical="center" wrapText="1"/>
      <protection locked="0"/>
    </xf>
    <xf numFmtId="0" fontId="27" fillId="16" borderId="40" xfId="0" applyFont="1" applyFill="1" applyBorder="1" applyAlignment="1">
      <alignment horizontal="left" vertical="center" wrapText="1"/>
    </xf>
    <xf numFmtId="0" fontId="27" fillId="16" borderId="41" xfId="0" applyFont="1" applyFill="1" applyBorder="1" applyAlignment="1">
      <alignment horizontal="left" vertical="center" wrapText="1"/>
    </xf>
    <xf numFmtId="0" fontId="27" fillId="16" borderId="42" xfId="0" applyFont="1" applyFill="1" applyBorder="1" applyAlignment="1">
      <alignment horizontal="left" vertical="center" wrapText="1"/>
    </xf>
    <xf numFmtId="0" fontId="27" fillId="16" borderId="43" xfId="0" applyFont="1" applyFill="1" applyBorder="1" applyAlignment="1">
      <alignment horizontal="left" vertical="center" wrapText="1"/>
    </xf>
    <xf numFmtId="0" fontId="27" fillId="16" borderId="0" xfId="0" applyFont="1" applyFill="1" applyBorder="1" applyAlignment="1">
      <alignment horizontal="left" vertical="center" wrapText="1"/>
    </xf>
    <xf numFmtId="0" fontId="27" fillId="16" borderId="44" xfId="0" applyFont="1" applyFill="1" applyBorder="1" applyAlignment="1">
      <alignment horizontal="left" vertical="center" wrapText="1"/>
    </xf>
    <xf numFmtId="0" fontId="27" fillId="16" borderId="45" xfId="0" applyFont="1" applyFill="1" applyBorder="1" applyAlignment="1">
      <alignment horizontal="left" vertical="center" wrapText="1"/>
    </xf>
    <xf numFmtId="0" fontId="27" fillId="16" borderId="46" xfId="0" applyFont="1" applyFill="1" applyBorder="1" applyAlignment="1">
      <alignment horizontal="left" vertical="center" wrapText="1"/>
    </xf>
    <xf numFmtId="0" fontId="27" fillId="16" borderId="47" xfId="0" applyFont="1" applyFill="1" applyBorder="1" applyAlignment="1">
      <alignment horizontal="left" vertical="center" wrapText="1"/>
    </xf>
    <xf numFmtId="181" fontId="36" fillId="0" borderId="0" xfId="31" applyNumberFormat="1" applyFont="1" applyFill="1" applyBorder="1" applyAlignment="1" applyProtection="1">
      <alignment horizontal="left" vertical="top" wrapText="1"/>
      <protection locked="0"/>
    </xf>
    <xf numFmtId="181" fontId="36" fillId="0" borderId="48" xfId="31" applyNumberFormat="1" applyFont="1" applyFill="1" applyBorder="1" applyAlignment="1" applyProtection="1">
      <alignment horizontal="left" vertical="top" wrapText="1"/>
      <protection locked="0"/>
    </xf>
    <xf numFmtId="0" fontId="22" fillId="0" borderId="0" xfId="0" applyFont="1" applyFill="1" applyBorder="1" applyAlignment="1">
      <alignment horizontal="left" wrapText="1"/>
    </xf>
    <xf numFmtId="0" fontId="80" fillId="0" borderId="0" xfId="17" applyFont="1" applyFill="1" applyBorder="1" applyAlignment="1" applyProtection="1">
      <alignment horizontal="right" vertical="center" wrapText="1"/>
      <protection hidden="1"/>
    </xf>
    <xf numFmtId="0" fontId="80" fillId="0" borderId="34" xfId="17" applyFont="1" applyFill="1" applyBorder="1" applyAlignment="1" applyProtection="1">
      <alignment horizontal="right" vertical="center" wrapText="1"/>
      <protection hidden="1"/>
    </xf>
    <xf numFmtId="4" fontId="13" fillId="0" borderId="52" xfId="0" applyNumberFormat="1" applyFont="1" applyBorder="1" applyAlignment="1">
      <alignment horizontal="center"/>
    </xf>
    <xf numFmtId="4" fontId="13" fillId="0" borderId="53" xfId="0" applyNumberFormat="1" applyFont="1" applyBorder="1" applyAlignment="1">
      <alignment horizontal="center"/>
    </xf>
    <xf numFmtId="193" fontId="30" fillId="0" borderId="0" xfId="21" applyNumberFormat="1" applyFont="1" applyFill="1" applyAlignment="1">
      <alignment horizontal="center"/>
    </xf>
    <xf numFmtId="0" fontId="27" fillId="0" borderId="50" xfId="0" applyFont="1" applyBorder="1" applyAlignment="1">
      <alignment horizontal="center" vertical="center" wrapText="1"/>
    </xf>
    <xf numFmtId="0" fontId="27" fillId="0" borderId="51" xfId="0" applyFont="1" applyBorder="1" applyAlignment="1">
      <alignment horizontal="center" vertical="center" wrapText="1"/>
    </xf>
    <xf numFmtId="0" fontId="27" fillId="0" borderId="23" xfId="0" applyFont="1" applyBorder="1" applyAlignment="1">
      <alignment horizontal="center" vertical="center" wrapText="1"/>
    </xf>
    <xf numFmtId="2" fontId="58" fillId="14" borderId="0" xfId="17" applyNumberFormat="1" applyFont="1" applyFill="1" applyBorder="1" applyAlignment="1" applyProtection="1">
      <alignment horizontal="center"/>
      <protection hidden="1"/>
    </xf>
    <xf numFmtId="3" fontId="27" fillId="14" borderId="36" xfId="17" applyNumberFormat="1" applyFont="1" applyFill="1" applyBorder="1" applyAlignment="1" applyProtection="1">
      <alignment horizontal="left" vertical="top" wrapText="1"/>
      <protection hidden="1"/>
    </xf>
    <xf numFmtId="3" fontId="27" fillId="14" borderId="49" xfId="17" applyNumberFormat="1" applyFont="1" applyFill="1" applyBorder="1" applyAlignment="1" applyProtection="1">
      <alignment horizontal="left" vertical="top" wrapText="1"/>
      <protection hidden="1"/>
    </xf>
    <xf numFmtId="3" fontId="27" fillId="14" borderId="25" xfId="17" applyNumberFormat="1" applyFont="1" applyFill="1" applyBorder="1" applyAlignment="1" applyProtection="1">
      <alignment horizontal="left" vertical="top" wrapText="1"/>
      <protection hidden="1"/>
    </xf>
    <xf numFmtId="0" fontId="26" fillId="11" borderId="0" xfId="0" applyFont="1" applyFill="1" applyAlignment="1">
      <alignment horizontal="center" vertical="center"/>
    </xf>
    <xf numFmtId="0" fontId="58" fillId="14" borderId="0" xfId="17" applyNumberFormat="1" applyFont="1" applyFill="1" applyBorder="1" applyAlignment="1" applyProtection="1">
      <alignment horizontal="left" vertical="center"/>
      <protection hidden="1"/>
    </xf>
    <xf numFmtId="0" fontId="28" fillId="0" borderId="0" xfId="0" applyFont="1" applyFill="1" applyAlignment="1">
      <alignment horizontal="left" vertical="center" wrapText="1"/>
    </xf>
    <xf numFmtId="0" fontId="62" fillId="13" borderId="0" xfId="0" applyFont="1" applyFill="1" applyAlignment="1">
      <alignment horizontal="center" vertical="center"/>
    </xf>
    <xf numFmtId="0" fontId="58" fillId="14" borderId="0" xfId="0" applyFont="1" applyFill="1" applyBorder="1" applyAlignment="1">
      <alignment horizontal="left" vertical="center" wrapText="1"/>
    </xf>
    <xf numFmtId="3" fontId="28" fillId="0" borderId="36" xfId="0" applyNumberFormat="1" applyFont="1" applyFill="1" applyBorder="1" applyAlignment="1">
      <alignment horizontal="left" vertical="top" wrapText="1"/>
    </xf>
    <xf numFmtId="3" fontId="28" fillId="0" borderId="49" xfId="0" applyNumberFormat="1" applyFont="1" applyFill="1" applyBorder="1" applyAlignment="1">
      <alignment horizontal="left" vertical="top" wrapText="1"/>
    </xf>
    <xf numFmtId="3" fontId="28" fillId="0" borderId="25" xfId="0" applyNumberFormat="1" applyFont="1" applyFill="1" applyBorder="1" applyAlignment="1">
      <alignment horizontal="left" vertical="top" wrapText="1"/>
    </xf>
    <xf numFmtId="0" fontId="56" fillId="0" borderId="0" xfId="19" applyFont="1" applyAlignment="1">
      <alignment horizontal="center" vertical="center"/>
    </xf>
  </cellXfs>
  <cellStyles count="1062">
    <cellStyle name="Berekening" xfId="1"/>
    <cellStyle name="Comma_CALCULATIEBLAD.XLS" xfId="2"/>
    <cellStyle name="Comma_Uurtarieven 2000 LEVERANCIER" xfId="3"/>
    <cellStyle name="Currency_ATIR-Calc-Uurtarief 2001" xfId="4"/>
    <cellStyle name="Currency_CALCULATIEBLAD.XLS" xfId="5"/>
    <cellStyle name="Currency_MACHINEKST.xls" xfId="6"/>
    <cellStyle name="euro" xfId="7"/>
    <cellStyle name="Gekoppelde cel" xfId="8"/>
    <cellStyle name="Gevolgde hyperlink" xfId="39" builtinId="9" hidden="1"/>
    <cellStyle name="Gevolgde hyperlink" xfId="41" builtinId="9" hidden="1"/>
    <cellStyle name="Gevolgde hyperlink" xfId="43" builtinId="9" hidden="1"/>
    <cellStyle name="Gevolgde hyperlink" xfId="45" builtinId="9" hidden="1"/>
    <cellStyle name="Gevolgde hyperlink" xfId="47" builtinId="9" hidden="1"/>
    <cellStyle name="Gevolgde hyperlink" xfId="49" builtinId="9" hidden="1"/>
    <cellStyle name="Gevolgde hyperlink" xfId="51" builtinId="9" hidden="1"/>
    <cellStyle name="Gevolgde hyperlink" xfId="53" builtinId="9" hidden="1"/>
    <cellStyle name="Gevolgde hyperlink" xfId="55" builtinId="9" hidden="1"/>
    <cellStyle name="Gevolgde hyperlink" xfId="57" builtinId="9" hidden="1"/>
    <cellStyle name="Gevolgde hyperlink" xfId="59" builtinId="9" hidden="1"/>
    <cellStyle name="Gevolgde hyperlink" xfId="61" builtinId="9" hidden="1"/>
    <cellStyle name="Gevolgde hyperlink" xfId="63" builtinId="9" hidden="1"/>
    <cellStyle name="Gevolgde hyperlink" xfId="65" builtinId="9" hidden="1"/>
    <cellStyle name="Gevolgde hyperlink" xfId="67" builtinId="9" hidden="1"/>
    <cellStyle name="Gevolgde hyperlink" xfId="69" builtinId="9" hidden="1"/>
    <cellStyle name="Gevolgde hyperlink" xfId="71" builtinId="9" hidden="1"/>
    <cellStyle name="Gevolgde hyperlink" xfId="73" builtinId="9" hidden="1"/>
    <cellStyle name="Gevolgde hyperlink" xfId="75" builtinId="9" hidden="1"/>
    <cellStyle name="Gevolgde hyperlink" xfId="77" builtinId="9" hidden="1"/>
    <cellStyle name="Gevolgde hyperlink" xfId="79" builtinId="9" hidden="1"/>
    <cellStyle name="Gevolgde hyperlink" xfId="81" builtinId="9" hidden="1"/>
    <cellStyle name="Gevolgde hyperlink" xfId="83" builtinId="9" hidden="1"/>
    <cellStyle name="Gevolgde hyperlink" xfId="85" builtinId="9" hidden="1"/>
    <cellStyle name="Gevolgde hyperlink" xfId="87" builtinId="9" hidden="1"/>
    <cellStyle name="Gevolgde hyperlink" xfId="89" builtinId="9" hidden="1"/>
    <cellStyle name="Gevolgde hyperlink" xfId="91" builtinId="9" hidden="1"/>
    <cellStyle name="Gevolgde hyperlink" xfId="93" builtinId="9" hidden="1"/>
    <cellStyle name="Gevolgde hyperlink" xfId="95" builtinId="9" hidden="1"/>
    <cellStyle name="Gevolgde hyperlink" xfId="97" builtinId="9" hidden="1"/>
    <cellStyle name="Gevolgde hyperlink" xfId="99" builtinId="9" hidden="1"/>
    <cellStyle name="Gevolgde hyperlink" xfId="101" builtinId="9" hidden="1"/>
    <cellStyle name="Gevolgde hyperlink" xfId="103" builtinId="9" hidden="1"/>
    <cellStyle name="Gevolgde hyperlink" xfId="105" builtinId="9" hidden="1"/>
    <cellStyle name="Gevolgde hyperlink" xfId="107" builtinId="9" hidden="1"/>
    <cellStyle name="Gevolgde hyperlink" xfId="109" builtinId="9" hidden="1"/>
    <cellStyle name="Gevolgde hyperlink" xfId="111" builtinId="9" hidden="1"/>
    <cellStyle name="Gevolgde hyperlink" xfId="113" builtinId="9" hidden="1"/>
    <cellStyle name="Gevolgde hyperlink" xfId="115" builtinId="9" hidden="1"/>
    <cellStyle name="Gevolgde hyperlink" xfId="117" builtinId="9" hidden="1"/>
    <cellStyle name="Gevolgde hyperlink" xfId="119" builtinId="9" hidden="1"/>
    <cellStyle name="Gevolgde hyperlink" xfId="121" builtinId="9" hidden="1"/>
    <cellStyle name="Gevolgde hyperlink" xfId="123" builtinId="9" hidden="1"/>
    <cellStyle name="Gevolgde hyperlink" xfId="125" builtinId="9" hidden="1"/>
    <cellStyle name="Gevolgde hyperlink" xfId="127" builtinId="9" hidden="1"/>
    <cellStyle name="Gevolgde hyperlink" xfId="129" builtinId="9" hidden="1"/>
    <cellStyle name="Gevolgde hyperlink" xfId="131" builtinId="9" hidden="1"/>
    <cellStyle name="Gevolgde hyperlink" xfId="133" builtinId="9" hidden="1"/>
    <cellStyle name="Gevolgde hyperlink" xfId="135" builtinId="9" hidden="1"/>
    <cellStyle name="Gevolgde hyperlink" xfId="137" builtinId="9" hidden="1"/>
    <cellStyle name="Gevolgde hyperlink" xfId="139" builtinId="9" hidden="1"/>
    <cellStyle name="Gevolgde hyperlink" xfId="141" builtinId="9" hidden="1"/>
    <cellStyle name="Gevolgde hyperlink" xfId="143" builtinId="9" hidden="1"/>
    <cellStyle name="Gevolgde hyperlink" xfId="145" builtinId="9" hidden="1"/>
    <cellStyle name="Gevolgde hyperlink" xfId="147" builtinId="9" hidden="1"/>
    <cellStyle name="Gevolgde hyperlink" xfId="149" builtinId="9" hidden="1"/>
    <cellStyle name="Gevolgde hyperlink" xfId="151" builtinId="9" hidden="1"/>
    <cellStyle name="Gevolgde hyperlink" xfId="153" builtinId="9" hidden="1"/>
    <cellStyle name="Gevolgde hyperlink" xfId="155" builtinId="9" hidden="1"/>
    <cellStyle name="Gevolgde hyperlink" xfId="157" builtinId="9" hidden="1"/>
    <cellStyle name="Gevolgde hyperlink" xfId="159" builtinId="9" hidden="1"/>
    <cellStyle name="Gevolgde hyperlink" xfId="161" builtinId="9" hidden="1"/>
    <cellStyle name="Gevolgde hyperlink" xfId="163" builtinId="9" hidden="1"/>
    <cellStyle name="Gevolgde hyperlink" xfId="165" builtinId="9" hidden="1"/>
    <cellStyle name="Gevolgde hyperlink" xfId="167" builtinId="9" hidden="1"/>
    <cellStyle name="Gevolgde hyperlink" xfId="169" builtinId="9" hidden="1"/>
    <cellStyle name="Gevolgde hyperlink" xfId="171" builtinId="9" hidden="1"/>
    <cellStyle name="Gevolgde hyperlink" xfId="173" builtinId="9" hidden="1"/>
    <cellStyle name="Gevolgde hyperlink" xfId="175" builtinId="9" hidden="1"/>
    <cellStyle name="Gevolgde hyperlink" xfId="177" builtinId="9" hidden="1"/>
    <cellStyle name="Gevolgde hyperlink" xfId="179" builtinId="9" hidden="1"/>
    <cellStyle name="Gevolgde hyperlink" xfId="181" builtinId="9" hidden="1"/>
    <cellStyle name="Gevolgde hyperlink" xfId="183" builtinId="9" hidden="1"/>
    <cellStyle name="Gevolgde hyperlink" xfId="185" builtinId="9" hidden="1"/>
    <cellStyle name="Gevolgde hyperlink" xfId="187" builtinId="9" hidden="1"/>
    <cellStyle name="Gevolgde hyperlink" xfId="189" builtinId="9" hidden="1"/>
    <cellStyle name="Gevolgde hyperlink" xfId="191" builtinId="9" hidden="1"/>
    <cellStyle name="Gevolgde hyperlink" xfId="193" builtinId="9" hidden="1"/>
    <cellStyle name="Gevolgde hyperlink" xfId="195" builtinId="9" hidden="1"/>
    <cellStyle name="Gevolgde hyperlink" xfId="197" builtinId="9" hidden="1"/>
    <cellStyle name="Gevolgde hyperlink" xfId="199" builtinId="9" hidden="1"/>
    <cellStyle name="Gevolgde hyperlink" xfId="201" builtinId="9" hidden="1"/>
    <cellStyle name="Gevolgde hyperlink" xfId="203" builtinId="9" hidden="1"/>
    <cellStyle name="Gevolgde hyperlink" xfId="205" builtinId="9" hidden="1"/>
    <cellStyle name="Gevolgde hyperlink" xfId="207" builtinId="9" hidden="1"/>
    <cellStyle name="Gevolgde hyperlink" xfId="209" builtinId="9" hidden="1"/>
    <cellStyle name="Gevolgde hyperlink" xfId="211" builtinId="9" hidden="1"/>
    <cellStyle name="Gevolgde hyperlink" xfId="213" builtinId="9" hidden="1"/>
    <cellStyle name="Gevolgde hyperlink" xfId="215" builtinId="9" hidden="1"/>
    <cellStyle name="Gevolgde hyperlink" xfId="217" builtinId="9" hidden="1"/>
    <cellStyle name="Gevolgde hyperlink" xfId="219" builtinId="9" hidden="1"/>
    <cellStyle name="Gevolgde hyperlink" xfId="221" builtinId="9" hidden="1"/>
    <cellStyle name="Gevolgde hyperlink" xfId="223" builtinId="9" hidden="1"/>
    <cellStyle name="Gevolgde hyperlink" xfId="225" builtinId="9" hidden="1"/>
    <cellStyle name="Gevolgde hyperlink" xfId="227" builtinId="9" hidden="1"/>
    <cellStyle name="Gevolgde hyperlink" xfId="229" builtinId="9" hidden="1"/>
    <cellStyle name="Gevolgde hyperlink" xfId="231" builtinId="9" hidden="1"/>
    <cellStyle name="Gevolgde hyperlink" xfId="233" builtinId="9" hidden="1"/>
    <cellStyle name="Gevolgde hyperlink" xfId="235" builtinId="9" hidden="1"/>
    <cellStyle name="Gevolgde hyperlink" xfId="237" builtinId="9" hidden="1"/>
    <cellStyle name="Gevolgde hyperlink" xfId="239" builtinId="9" hidden="1"/>
    <cellStyle name="Gevolgde hyperlink" xfId="241" builtinId="9" hidden="1"/>
    <cellStyle name="Gevolgde hyperlink" xfId="243" builtinId="9" hidden="1"/>
    <cellStyle name="Gevolgde hyperlink" xfId="245" builtinId="9" hidden="1"/>
    <cellStyle name="Gevolgde hyperlink" xfId="247" builtinId="9" hidden="1"/>
    <cellStyle name="Gevolgde hyperlink" xfId="249" builtinId="9" hidden="1"/>
    <cellStyle name="Gevolgde hyperlink" xfId="251" builtinId="9" hidden="1"/>
    <cellStyle name="Gevolgde hyperlink" xfId="253" builtinId="9" hidden="1"/>
    <cellStyle name="Gevolgde hyperlink" xfId="255" builtinId="9" hidden="1"/>
    <cellStyle name="Gevolgde hyperlink" xfId="257" builtinId="9" hidden="1"/>
    <cellStyle name="Gevolgde hyperlink" xfId="259" builtinId="9" hidden="1"/>
    <cellStyle name="Gevolgde hyperlink" xfId="261" builtinId="9" hidden="1"/>
    <cellStyle name="Gevolgde hyperlink" xfId="263" builtinId="9" hidden="1"/>
    <cellStyle name="Gevolgde hyperlink" xfId="265" builtinId="9" hidden="1"/>
    <cellStyle name="Gevolgde hyperlink" xfId="267" builtinId="9" hidden="1"/>
    <cellStyle name="Gevolgde hyperlink" xfId="269" builtinId="9" hidden="1"/>
    <cellStyle name="Gevolgde hyperlink" xfId="271" builtinId="9" hidden="1"/>
    <cellStyle name="Gevolgde hyperlink" xfId="273" builtinId="9" hidden="1"/>
    <cellStyle name="Gevolgde hyperlink" xfId="275" builtinId="9" hidden="1"/>
    <cellStyle name="Gevolgde hyperlink" xfId="277" builtinId="9" hidden="1"/>
    <cellStyle name="Gevolgde hyperlink" xfId="279" builtinId="9" hidden="1"/>
    <cellStyle name="Gevolgde hyperlink" xfId="281" builtinId="9" hidden="1"/>
    <cellStyle name="Gevolgde hyperlink" xfId="283" builtinId="9" hidden="1"/>
    <cellStyle name="Gevolgde hyperlink" xfId="285" builtinId="9" hidden="1"/>
    <cellStyle name="Gevolgde hyperlink" xfId="287" builtinId="9" hidden="1"/>
    <cellStyle name="Gevolgde hyperlink" xfId="289" builtinId="9" hidden="1"/>
    <cellStyle name="Gevolgde hyperlink" xfId="291" builtinId="9" hidden="1"/>
    <cellStyle name="Gevolgde hyperlink" xfId="293" builtinId="9" hidden="1"/>
    <cellStyle name="Gevolgde hyperlink" xfId="295" builtinId="9" hidden="1"/>
    <cellStyle name="Gevolgde hyperlink" xfId="297" builtinId="9" hidden="1"/>
    <cellStyle name="Gevolgde hyperlink" xfId="299" builtinId="9" hidden="1"/>
    <cellStyle name="Gevolgde hyperlink" xfId="301" builtinId="9" hidden="1"/>
    <cellStyle name="Gevolgde hyperlink" xfId="303" builtinId="9" hidden="1"/>
    <cellStyle name="Gevolgde hyperlink" xfId="305" builtinId="9" hidden="1"/>
    <cellStyle name="Gevolgde hyperlink" xfId="307" builtinId="9" hidden="1"/>
    <cellStyle name="Gevolgde hyperlink" xfId="309" builtinId="9" hidden="1"/>
    <cellStyle name="Gevolgde hyperlink" xfId="311" builtinId="9" hidden="1"/>
    <cellStyle name="Gevolgde hyperlink" xfId="313" builtinId="9" hidden="1"/>
    <cellStyle name="Gevolgde hyperlink" xfId="315" builtinId="9" hidden="1"/>
    <cellStyle name="Gevolgde hyperlink" xfId="317" builtinId="9" hidden="1"/>
    <cellStyle name="Gevolgde hyperlink" xfId="319" builtinId="9" hidden="1"/>
    <cellStyle name="Gevolgde hyperlink" xfId="321" builtinId="9" hidden="1"/>
    <cellStyle name="Gevolgde hyperlink" xfId="323" builtinId="9" hidden="1"/>
    <cellStyle name="Gevolgde hyperlink" xfId="325" builtinId="9" hidden="1"/>
    <cellStyle name="Gevolgde hyperlink" xfId="327" builtinId="9" hidden="1"/>
    <cellStyle name="Gevolgde hyperlink" xfId="329" builtinId="9" hidden="1"/>
    <cellStyle name="Gevolgde hyperlink" xfId="331" builtinId="9" hidden="1"/>
    <cellStyle name="Gevolgde hyperlink" xfId="333" builtinId="9" hidden="1"/>
    <cellStyle name="Gevolgde hyperlink" xfId="335" builtinId="9" hidden="1"/>
    <cellStyle name="Gevolgde hyperlink" xfId="337" builtinId="9" hidden="1"/>
    <cellStyle name="Gevolgde hyperlink" xfId="339" builtinId="9" hidden="1"/>
    <cellStyle name="Gevolgde hyperlink" xfId="341" builtinId="9" hidden="1"/>
    <cellStyle name="Gevolgde hyperlink" xfId="343" builtinId="9" hidden="1"/>
    <cellStyle name="Gevolgde hyperlink" xfId="345" builtinId="9" hidden="1"/>
    <cellStyle name="Gevolgde hyperlink" xfId="347" builtinId="9" hidden="1"/>
    <cellStyle name="Gevolgde hyperlink" xfId="349" builtinId="9" hidden="1"/>
    <cellStyle name="Gevolgde hyperlink" xfId="351" builtinId="9" hidden="1"/>
    <cellStyle name="Gevolgde hyperlink" xfId="353" builtinId="9" hidden="1"/>
    <cellStyle name="Gevolgde hyperlink" xfId="355" builtinId="9" hidden="1"/>
    <cellStyle name="Gevolgde hyperlink" xfId="357" builtinId="9" hidden="1"/>
    <cellStyle name="Gevolgde hyperlink" xfId="359" builtinId="9" hidden="1"/>
    <cellStyle name="Gevolgde hyperlink" xfId="361" builtinId="9" hidden="1"/>
    <cellStyle name="Gevolgde hyperlink" xfId="363" builtinId="9" hidden="1"/>
    <cellStyle name="Gevolgde hyperlink" xfId="365" builtinId="9" hidden="1"/>
    <cellStyle name="Gevolgde hyperlink" xfId="367" builtinId="9" hidden="1"/>
    <cellStyle name="Gevolgde hyperlink" xfId="369" builtinId="9" hidden="1"/>
    <cellStyle name="Gevolgde hyperlink" xfId="371" builtinId="9" hidden="1"/>
    <cellStyle name="Gevolgde hyperlink" xfId="373" builtinId="9" hidden="1"/>
    <cellStyle name="Gevolgde hyperlink" xfId="375" builtinId="9" hidden="1"/>
    <cellStyle name="Gevolgde hyperlink" xfId="377" builtinId="9" hidden="1"/>
    <cellStyle name="Gevolgde hyperlink" xfId="379" builtinId="9" hidden="1"/>
    <cellStyle name="Gevolgde hyperlink" xfId="381" builtinId="9" hidden="1"/>
    <cellStyle name="Gevolgde hyperlink" xfId="383" builtinId="9" hidden="1"/>
    <cellStyle name="Gevolgde hyperlink" xfId="385" builtinId="9" hidden="1"/>
    <cellStyle name="Gevolgde hyperlink" xfId="387" builtinId="9" hidden="1"/>
    <cellStyle name="Gevolgde hyperlink" xfId="389" builtinId="9" hidden="1"/>
    <cellStyle name="Gevolgde hyperlink" xfId="391" builtinId="9" hidden="1"/>
    <cellStyle name="Gevolgde hyperlink" xfId="393" builtinId="9" hidden="1"/>
    <cellStyle name="Gevolgde hyperlink" xfId="395" builtinId="9" hidden="1"/>
    <cellStyle name="Gevolgde hyperlink" xfId="397" builtinId="9" hidden="1"/>
    <cellStyle name="Gevolgde hyperlink" xfId="399" builtinId="9" hidden="1"/>
    <cellStyle name="Gevolgde hyperlink" xfId="401" builtinId="9" hidden="1"/>
    <cellStyle name="Gevolgde hyperlink" xfId="403" builtinId="9" hidden="1"/>
    <cellStyle name="Gevolgde hyperlink" xfId="405" builtinId="9" hidden="1"/>
    <cellStyle name="Gevolgde hyperlink" xfId="407" builtinId="9" hidden="1"/>
    <cellStyle name="Gevolgde hyperlink" xfId="409" builtinId="9" hidden="1"/>
    <cellStyle name="Gevolgde hyperlink" xfId="411" builtinId="9" hidden="1"/>
    <cellStyle name="Gevolgde hyperlink" xfId="413" builtinId="9" hidden="1"/>
    <cellStyle name="Gevolgde hyperlink" xfId="415" builtinId="9" hidden="1"/>
    <cellStyle name="Gevolgde hyperlink" xfId="417" builtinId="9" hidden="1"/>
    <cellStyle name="Gevolgde hyperlink" xfId="419" builtinId="9" hidden="1"/>
    <cellStyle name="Gevolgde hyperlink" xfId="421" builtinId="9" hidden="1"/>
    <cellStyle name="Gevolgde hyperlink" xfId="423" builtinId="9" hidden="1"/>
    <cellStyle name="Gevolgde hyperlink" xfId="425" builtinId="9" hidden="1"/>
    <cellStyle name="Gevolgde hyperlink" xfId="427" builtinId="9" hidden="1"/>
    <cellStyle name="Gevolgde hyperlink" xfId="429" builtinId="9" hidden="1"/>
    <cellStyle name="Gevolgde hyperlink" xfId="431" builtinId="9" hidden="1"/>
    <cellStyle name="Gevolgde hyperlink" xfId="433" builtinId="9" hidden="1"/>
    <cellStyle name="Gevolgde hyperlink" xfId="435" builtinId="9" hidden="1"/>
    <cellStyle name="Gevolgde hyperlink" xfId="437" builtinId="9" hidden="1"/>
    <cellStyle name="Gevolgde hyperlink" xfId="439" builtinId="9" hidden="1"/>
    <cellStyle name="Gevolgde hyperlink" xfId="441" builtinId="9" hidden="1"/>
    <cellStyle name="Gevolgde hyperlink" xfId="443" builtinId="9" hidden="1"/>
    <cellStyle name="Gevolgde hyperlink" xfId="445" builtinId="9" hidden="1"/>
    <cellStyle name="Gevolgde hyperlink" xfId="447" builtinId="9" hidden="1"/>
    <cellStyle name="Gevolgde hyperlink" xfId="449" builtinId="9" hidden="1"/>
    <cellStyle name="Gevolgde hyperlink" xfId="451" builtinId="9" hidden="1"/>
    <cellStyle name="Gevolgde hyperlink" xfId="453" builtinId="9" hidden="1"/>
    <cellStyle name="Gevolgde hyperlink" xfId="455" builtinId="9" hidden="1"/>
    <cellStyle name="Gevolgde hyperlink" xfId="457" builtinId="9" hidden="1"/>
    <cellStyle name="Gevolgde hyperlink" xfId="459" builtinId="9" hidden="1"/>
    <cellStyle name="Gevolgde hyperlink" xfId="461" builtinId="9" hidden="1"/>
    <cellStyle name="Gevolgde hyperlink" xfId="463" builtinId="9" hidden="1"/>
    <cellStyle name="Gevolgde hyperlink" xfId="465" builtinId="9" hidden="1"/>
    <cellStyle name="Gevolgde hyperlink" xfId="467" builtinId="9" hidden="1"/>
    <cellStyle name="Gevolgde hyperlink" xfId="469" builtinId="9" hidden="1"/>
    <cellStyle name="Gevolgde hyperlink" xfId="471" builtinId="9" hidden="1"/>
    <cellStyle name="Gevolgde hyperlink" xfId="473" builtinId="9" hidden="1"/>
    <cellStyle name="Gevolgde hyperlink" xfId="475" builtinId="9" hidden="1"/>
    <cellStyle name="Gevolgde hyperlink" xfId="477" builtinId="9" hidden="1"/>
    <cellStyle name="Gevolgde hyperlink" xfId="479" builtinId="9" hidden="1"/>
    <cellStyle name="Gevolgde hyperlink" xfId="481" builtinId="9" hidden="1"/>
    <cellStyle name="Gevolgde hyperlink" xfId="483" builtinId="9" hidden="1"/>
    <cellStyle name="Gevolgde hyperlink" xfId="485" builtinId="9" hidden="1"/>
    <cellStyle name="Gevolgde hyperlink" xfId="487" builtinId="9" hidden="1"/>
    <cellStyle name="Gevolgde hyperlink" xfId="489" builtinId="9" hidden="1"/>
    <cellStyle name="Gevolgde hyperlink" xfId="491" builtinId="9" hidden="1"/>
    <cellStyle name="Gevolgde hyperlink" xfId="493" builtinId="9" hidden="1"/>
    <cellStyle name="Gevolgde hyperlink" xfId="495" builtinId="9" hidden="1"/>
    <cellStyle name="Gevolgde hyperlink" xfId="497" builtinId="9" hidden="1"/>
    <cellStyle name="Gevolgde hyperlink" xfId="499" builtinId="9" hidden="1"/>
    <cellStyle name="Gevolgde hyperlink" xfId="501" builtinId="9" hidden="1"/>
    <cellStyle name="Gevolgde hyperlink" xfId="503" builtinId="9" hidden="1"/>
    <cellStyle name="Gevolgde hyperlink" xfId="505" builtinId="9" hidden="1"/>
    <cellStyle name="Gevolgde hyperlink" xfId="507" builtinId="9" hidden="1"/>
    <cellStyle name="Gevolgde hyperlink" xfId="509" builtinId="9" hidden="1"/>
    <cellStyle name="Gevolgde hyperlink" xfId="511" builtinId="9" hidden="1"/>
    <cellStyle name="Gevolgde hyperlink" xfId="513" builtinId="9" hidden="1"/>
    <cellStyle name="Gevolgde hyperlink" xfId="515" builtinId="9" hidden="1"/>
    <cellStyle name="Gevolgde hyperlink" xfId="517" builtinId="9" hidden="1"/>
    <cellStyle name="Gevolgde hyperlink" xfId="519" builtinId="9" hidden="1"/>
    <cellStyle name="Gevolgde hyperlink" xfId="521" builtinId="9" hidden="1"/>
    <cellStyle name="Gevolgde hyperlink" xfId="523" builtinId="9" hidden="1"/>
    <cellStyle name="Gevolgde hyperlink" xfId="525" builtinId="9" hidden="1"/>
    <cellStyle name="Gevolgde hyperlink" xfId="527" builtinId="9" hidden="1"/>
    <cellStyle name="Gevolgde hyperlink" xfId="529" builtinId="9" hidden="1"/>
    <cellStyle name="Gevolgde hyperlink" xfId="531" builtinId="9" hidden="1"/>
    <cellStyle name="Gevolgde hyperlink" xfId="533" builtinId="9" hidden="1"/>
    <cellStyle name="Gevolgde hyperlink" xfId="535" builtinId="9" hidden="1"/>
    <cellStyle name="Gevolgde hyperlink" xfId="537" builtinId="9" hidden="1"/>
    <cellStyle name="Gevolgde hyperlink" xfId="539" builtinId="9" hidden="1"/>
    <cellStyle name="Gevolgde hyperlink" xfId="541" builtinId="9" hidden="1"/>
    <cellStyle name="Gevolgde hyperlink" xfId="543" builtinId="9" hidden="1"/>
    <cellStyle name="Gevolgde hyperlink" xfId="545" builtinId="9" hidden="1"/>
    <cellStyle name="Gevolgde hyperlink" xfId="547" builtinId="9" hidden="1"/>
    <cellStyle name="Gevolgde hyperlink" xfId="549" builtinId="9" hidden="1"/>
    <cellStyle name="Gevolgde hyperlink" xfId="551" builtinId="9" hidden="1"/>
    <cellStyle name="Gevolgde hyperlink" xfId="553" builtinId="9" hidden="1"/>
    <cellStyle name="Gevolgde hyperlink" xfId="555" builtinId="9" hidden="1"/>
    <cellStyle name="Gevolgde hyperlink" xfId="557" builtinId="9" hidden="1"/>
    <cellStyle name="Gevolgde hyperlink" xfId="559" builtinId="9" hidden="1"/>
    <cellStyle name="Gevolgde hyperlink" xfId="561" builtinId="9" hidden="1"/>
    <cellStyle name="Gevolgde hyperlink" xfId="563" builtinId="9" hidden="1"/>
    <cellStyle name="Gevolgde hyperlink" xfId="565" builtinId="9" hidden="1"/>
    <cellStyle name="Gevolgde hyperlink" xfId="567" builtinId="9" hidden="1"/>
    <cellStyle name="Gevolgde hyperlink" xfId="569" builtinId="9" hidden="1"/>
    <cellStyle name="Gevolgde hyperlink" xfId="571" builtinId="9" hidden="1"/>
    <cellStyle name="Gevolgde hyperlink" xfId="573" builtinId="9" hidden="1"/>
    <cellStyle name="Gevolgde hyperlink" xfId="575" builtinId="9" hidden="1"/>
    <cellStyle name="Gevolgde hyperlink" xfId="577" builtinId="9" hidden="1"/>
    <cellStyle name="Gevolgde hyperlink" xfId="579" builtinId="9" hidden="1"/>
    <cellStyle name="Gevolgde hyperlink" xfId="581" builtinId="9" hidden="1"/>
    <cellStyle name="Gevolgde hyperlink" xfId="583" builtinId="9" hidden="1"/>
    <cellStyle name="Gevolgde hyperlink" xfId="585" builtinId="9" hidden="1"/>
    <cellStyle name="Gevolgde hyperlink" xfId="587" builtinId="9" hidden="1"/>
    <cellStyle name="Gevolgde hyperlink" xfId="589" builtinId="9" hidden="1"/>
    <cellStyle name="Gevolgde hyperlink" xfId="591" builtinId="9" hidden="1"/>
    <cellStyle name="Gevolgde hyperlink" xfId="593" builtinId="9" hidden="1"/>
    <cellStyle name="Gevolgde hyperlink" xfId="595" builtinId="9" hidden="1"/>
    <cellStyle name="Gevolgde hyperlink" xfId="597" builtinId="9" hidden="1"/>
    <cellStyle name="Gevolgde hyperlink" xfId="599" builtinId="9" hidden="1"/>
    <cellStyle name="Gevolgde hyperlink" xfId="601" builtinId="9" hidden="1"/>
    <cellStyle name="Gevolgde hyperlink" xfId="603" builtinId="9" hidden="1"/>
    <cellStyle name="Gevolgde hyperlink" xfId="605" builtinId="9" hidden="1"/>
    <cellStyle name="Gevolgde hyperlink" xfId="607" builtinId="9" hidden="1"/>
    <cellStyle name="Gevolgde hyperlink" xfId="609" builtinId="9" hidden="1"/>
    <cellStyle name="Gevolgde hyperlink" xfId="611" builtinId="9" hidden="1"/>
    <cellStyle name="Gevolgde hyperlink" xfId="613" builtinId="9" hidden="1"/>
    <cellStyle name="Gevolgde hyperlink" xfId="615" builtinId="9" hidden="1"/>
    <cellStyle name="Gevolgde hyperlink" xfId="617" builtinId="9" hidden="1"/>
    <cellStyle name="Gevolgde hyperlink" xfId="619" builtinId="9" hidden="1"/>
    <cellStyle name="Gevolgde hyperlink" xfId="621" builtinId="9" hidden="1"/>
    <cellStyle name="Gevolgde hyperlink" xfId="623" builtinId="9" hidden="1"/>
    <cellStyle name="Gevolgde hyperlink" xfId="625" builtinId="9" hidden="1"/>
    <cellStyle name="Gevolgde hyperlink" xfId="627" builtinId="9" hidden="1"/>
    <cellStyle name="Gevolgde hyperlink" xfId="629" builtinId="9" hidden="1"/>
    <cellStyle name="Gevolgde hyperlink" xfId="631" builtinId="9" hidden="1"/>
    <cellStyle name="Gevolgde hyperlink" xfId="633" builtinId="9" hidden="1"/>
    <cellStyle name="Gevolgde hyperlink" xfId="635" builtinId="9" hidden="1"/>
    <cellStyle name="Gevolgde hyperlink" xfId="637" builtinId="9" hidden="1"/>
    <cellStyle name="Gevolgde hyperlink" xfId="639" builtinId="9" hidden="1"/>
    <cellStyle name="Gevolgde hyperlink" xfId="641" builtinId="9" hidden="1"/>
    <cellStyle name="Gevolgde hyperlink" xfId="643" builtinId="9" hidden="1"/>
    <cellStyle name="Gevolgde hyperlink" xfId="645" builtinId="9" hidden="1"/>
    <cellStyle name="Gevolgde hyperlink" xfId="647" builtinId="9" hidden="1"/>
    <cellStyle name="Gevolgde hyperlink" xfId="649" builtinId="9" hidden="1"/>
    <cellStyle name="Gevolgde hyperlink" xfId="651" builtinId="9" hidden="1"/>
    <cellStyle name="Gevolgde hyperlink" xfId="653" builtinId="9" hidden="1"/>
    <cellStyle name="Gevolgde hyperlink" xfId="655" builtinId="9" hidden="1"/>
    <cellStyle name="Gevolgde hyperlink" xfId="657" builtinId="9" hidden="1"/>
    <cellStyle name="Gevolgde hyperlink" xfId="659" builtinId="9" hidden="1"/>
    <cellStyle name="Gevolgde hyperlink" xfId="661" builtinId="9" hidden="1"/>
    <cellStyle name="Gevolgde hyperlink" xfId="663" builtinId="9" hidden="1"/>
    <cellStyle name="Gevolgde hyperlink" xfId="665" builtinId="9" hidden="1"/>
    <cellStyle name="Gevolgde hyperlink" xfId="667" builtinId="9" hidden="1"/>
    <cellStyle name="Gevolgde hyperlink" xfId="669" builtinId="9" hidden="1"/>
    <cellStyle name="Gevolgde hyperlink" xfId="671" builtinId="9" hidden="1"/>
    <cellStyle name="Gevolgde hyperlink" xfId="673" builtinId="9" hidden="1"/>
    <cellStyle name="Gevolgde hyperlink" xfId="675" builtinId="9" hidden="1"/>
    <cellStyle name="Gevolgde hyperlink" xfId="677" builtinId="9" hidden="1"/>
    <cellStyle name="Gevolgde hyperlink" xfId="679" builtinId="9" hidden="1"/>
    <cellStyle name="Gevolgde hyperlink" xfId="681" builtinId="9" hidden="1"/>
    <cellStyle name="Gevolgde hyperlink" xfId="683" builtinId="9" hidden="1"/>
    <cellStyle name="Gevolgde hyperlink" xfId="685" builtinId="9" hidden="1"/>
    <cellStyle name="Gevolgde hyperlink" xfId="687" builtinId="9" hidden="1"/>
    <cellStyle name="Gevolgde hyperlink" xfId="689" builtinId="9" hidden="1"/>
    <cellStyle name="Gevolgde hyperlink" xfId="691" builtinId="9" hidden="1"/>
    <cellStyle name="Gevolgde hyperlink" xfId="693" builtinId="9" hidden="1"/>
    <cellStyle name="Gevolgde hyperlink" xfId="695" builtinId="9" hidden="1"/>
    <cellStyle name="Gevolgde hyperlink" xfId="697" builtinId="9" hidden="1"/>
    <cellStyle name="Gevolgde hyperlink" xfId="699" builtinId="9" hidden="1"/>
    <cellStyle name="Gevolgde hyperlink" xfId="701" builtinId="9" hidden="1"/>
    <cellStyle name="Gevolgde hyperlink" xfId="703" builtinId="9" hidden="1"/>
    <cellStyle name="Gevolgde hyperlink" xfId="705" builtinId="9" hidden="1"/>
    <cellStyle name="Gevolgde hyperlink" xfId="707" builtinId="9" hidden="1"/>
    <cellStyle name="Gevolgde hyperlink" xfId="709" builtinId="9" hidden="1"/>
    <cellStyle name="Gevolgde hyperlink" xfId="711" builtinId="9" hidden="1"/>
    <cellStyle name="Gevolgde hyperlink" xfId="713" builtinId="9" hidden="1"/>
    <cellStyle name="Gevolgde hyperlink" xfId="715" builtinId="9" hidden="1"/>
    <cellStyle name="Gevolgde hyperlink" xfId="717" builtinId="9" hidden="1"/>
    <cellStyle name="Gevolgde hyperlink" xfId="719" builtinId="9" hidden="1"/>
    <cellStyle name="Gevolgde hyperlink" xfId="721" builtinId="9" hidden="1"/>
    <cellStyle name="Gevolgde hyperlink" xfId="723" builtinId="9" hidden="1"/>
    <cellStyle name="Gevolgde hyperlink" xfId="725" builtinId="9" hidden="1"/>
    <cellStyle name="Gevolgde hyperlink" xfId="727" builtinId="9" hidden="1"/>
    <cellStyle name="Gevolgde hyperlink" xfId="729" builtinId="9" hidden="1"/>
    <cellStyle name="Gevolgde hyperlink" xfId="731" builtinId="9" hidden="1"/>
    <cellStyle name="Gevolgde hyperlink" xfId="733" builtinId="9" hidden="1"/>
    <cellStyle name="Gevolgde hyperlink" xfId="735" builtinId="9" hidden="1"/>
    <cellStyle name="Gevolgde hyperlink" xfId="737" builtinId="9" hidden="1"/>
    <cellStyle name="Gevolgde hyperlink" xfId="739" builtinId="9" hidden="1"/>
    <cellStyle name="Gevolgde hyperlink" xfId="741" builtinId="9" hidden="1"/>
    <cellStyle name="Gevolgde hyperlink" xfId="743" builtinId="9" hidden="1"/>
    <cellStyle name="Gevolgde hyperlink" xfId="745" builtinId="9" hidden="1"/>
    <cellStyle name="Gevolgde hyperlink" xfId="747" builtinId="9" hidden="1"/>
    <cellStyle name="Gevolgde hyperlink" xfId="749" builtinId="9" hidden="1"/>
    <cellStyle name="Gevolgde hyperlink" xfId="751" builtinId="9" hidden="1"/>
    <cellStyle name="Gevolgde hyperlink" xfId="753" builtinId="9" hidden="1"/>
    <cellStyle name="Gevolgde hyperlink" xfId="755" builtinId="9" hidden="1"/>
    <cellStyle name="Gevolgde hyperlink" xfId="757" builtinId="9" hidden="1"/>
    <cellStyle name="Gevolgde hyperlink" xfId="759" builtinId="9" hidden="1"/>
    <cellStyle name="Gevolgde hyperlink" xfId="761" builtinId="9" hidden="1"/>
    <cellStyle name="Gevolgde hyperlink" xfId="763" builtinId="9" hidden="1"/>
    <cellStyle name="Gevolgde hyperlink" xfId="765" builtinId="9" hidden="1"/>
    <cellStyle name="Gevolgde hyperlink" xfId="767" builtinId="9" hidden="1"/>
    <cellStyle name="Gevolgde hyperlink" xfId="769" builtinId="9" hidden="1"/>
    <cellStyle name="Gevolgde hyperlink" xfId="771" builtinId="9" hidden="1"/>
    <cellStyle name="Gevolgde hyperlink" xfId="773" builtinId="9" hidden="1"/>
    <cellStyle name="Gevolgde hyperlink" xfId="775" builtinId="9" hidden="1"/>
    <cellStyle name="Gevolgde hyperlink" xfId="777" builtinId="9" hidden="1"/>
    <cellStyle name="Gevolgde hyperlink" xfId="779" builtinId="9" hidden="1"/>
    <cellStyle name="Gevolgde hyperlink" xfId="781" builtinId="9" hidden="1"/>
    <cellStyle name="Gevolgde hyperlink" xfId="783" builtinId="9" hidden="1"/>
    <cellStyle name="Gevolgde hyperlink" xfId="785" builtinId="9" hidden="1"/>
    <cellStyle name="Gevolgde hyperlink" xfId="787" builtinId="9" hidden="1"/>
    <cellStyle name="Gevolgde hyperlink" xfId="789" builtinId="9" hidden="1"/>
    <cellStyle name="Gevolgde hyperlink" xfId="791" builtinId="9" hidden="1"/>
    <cellStyle name="Gevolgde hyperlink" xfId="793" builtinId="9" hidden="1"/>
    <cellStyle name="Gevolgde hyperlink" xfId="795" builtinId="9" hidden="1"/>
    <cellStyle name="Gevolgde hyperlink" xfId="797" builtinId="9" hidden="1"/>
    <cellStyle name="Gevolgde hyperlink" xfId="799" builtinId="9" hidden="1"/>
    <cellStyle name="Gevolgde hyperlink" xfId="801" builtinId="9" hidden="1"/>
    <cellStyle name="Gevolgde hyperlink" xfId="803" builtinId="9" hidden="1"/>
    <cellStyle name="Gevolgde hyperlink" xfId="805" builtinId="9" hidden="1"/>
    <cellStyle name="Gevolgde hyperlink" xfId="807" builtinId="9" hidden="1"/>
    <cellStyle name="Gevolgde hyperlink" xfId="809" builtinId="9" hidden="1"/>
    <cellStyle name="Gevolgde hyperlink" xfId="811" builtinId="9" hidden="1"/>
    <cellStyle name="Gevolgde hyperlink" xfId="813" builtinId="9" hidden="1"/>
    <cellStyle name="Gevolgde hyperlink" xfId="815" builtinId="9" hidden="1"/>
    <cellStyle name="Gevolgde hyperlink" xfId="817" builtinId="9" hidden="1"/>
    <cellStyle name="Gevolgde hyperlink" xfId="819" builtinId="9" hidden="1"/>
    <cellStyle name="Gevolgde hyperlink" xfId="821" builtinId="9" hidden="1"/>
    <cellStyle name="Gevolgde hyperlink" xfId="823" builtinId="9" hidden="1"/>
    <cellStyle name="Gevolgde hyperlink" xfId="825" builtinId="9" hidden="1"/>
    <cellStyle name="Gevolgde hyperlink" xfId="827" builtinId="9" hidden="1"/>
    <cellStyle name="Gevolgde hyperlink" xfId="829" builtinId="9" hidden="1"/>
    <cellStyle name="Gevolgde hyperlink" xfId="831" builtinId="9" hidden="1"/>
    <cellStyle name="Gevolgde hyperlink" xfId="833" builtinId="9" hidden="1"/>
    <cellStyle name="Gevolgde hyperlink" xfId="835" builtinId="9" hidden="1"/>
    <cellStyle name="Gevolgde hyperlink" xfId="837" builtinId="9" hidden="1"/>
    <cellStyle name="Gevolgde hyperlink" xfId="839" builtinId="9" hidden="1"/>
    <cellStyle name="Gevolgde hyperlink" xfId="841" builtinId="9" hidden="1"/>
    <cellStyle name="Gevolgde hyperlink" xfId="843" builtinId="9" hidden="1"/>
    <cellStyle name="Gevolgde hyperlink" xfId="845" builtinId="9" hidden="1"/>
    <cellStyle name="Gevolgde hyperlink" xfId="847" builtinId="9" hidden="1"/>
    <cellStyle name="Gevolgde hyperlink" xfId="849" builtinId="9" hidden="1"/>
    <cellStyle name="Gevolgde hyperlink" xfId="851" builtinId="9" hidden="1"/>
    <cellStyle name="Gevolgde hyperlink" xfId="853" builtinId="9" hidden="1"/>
    <cellStyle name="Gevolgde hyperlink" xfId="855" builtinId="9" hidden="1"/>
    <cellStyle name="Gevolgde hyperlink" xfId="857" builtinId="9" hidden="1"/>
    <cellStyle name="Gevolgde hyperlink" xfId="859" builtinId="9" hidden="1"/>
    <cellStyle name="Gevolgde hyperlink" xfId="861" builtinId="9" hidden="1"/>
    <cellStyle name="Gevolgde hyperlink" xfId="863" builtinId="9" hidden="1"/>
    <cellStyle name="Gevolgde hyperlink" xfId="865" builtinId="9" hidden="1"/>
    <cellStyle name="Gevolgde hyperlink" xfId="867" builtinId="9" hidden="1"/>
    <cellStyle name="Gevolgde hyperlink" xfId="869" builtinId="9" hidden="1"/>
    <cellStyle name="Gevolgde hyperlink" xfId="871" builtinId="9" hidden="1"/>
    <cellStyle name="Gevolgde hyperlink" xfId="873" builtinId="9" hidden="1"/>
    <cellStyle name="Gevolgde hyperlink" xfId="875" builtinId="9" hidden="1"/>
    <cellStyle name="Gevolgde hyperlink" xfId="877" builtinId="9" hidden="1"/>
    <cellStyle name="Gevolgde hyperlink" xfId="879" builtinId="9" hidden="1"/>
    <cellStyle name="Gevolgde hyperlink" xfId="881" builtinId="9" hidden="1"/>
    <cellStyle name="Gevolgde hyperlink" xfId="883" builtinId="9" hidden="1"/>
    <cellStyle name="Gevolgde hyperlink" xfId="885" builtinId="9" hidden="1"/>
    <cellStyle name="Gevolgde hyperlink" xfId="887" builtinId="9" hidden="1"/>
    <cellStyle name="Gevolgde hyperlink" xfId="889" builtinId="9" hidden="1"/>
    <cellStyle name="Gevolgde hyperlink" xfId="891" builtinId="9" hidden="1"/>
    <cellStyle name="Gevolgde hyperlink" xfId="893" builtinId="9" hidden="1"/>
    <cellStyle name="Gevolgde hyperlink" xfId="895" builtinId="9" hidden="1"/>
    <cellStyle name="Gevolgde hyperlink" xfId="897" builtinId="9" hidden="1"/>
    <cellStyle name="Gevolgde hyperlink" xfId="899" builtinId="9" hidden="1"/>
    <cellStyle name="Gevolgde hyperlink" xfId="901" builtinId="9" hidden="1"/>
    <cellStyle name="Gevolgde hyperlink" xfId="903" builtinId="9" hidden="1"/>
    <cellStyle name="Gevolgde hyperlink" xfId="905" builtinId="9" hidden="1"/>
    <cellStyle name="Gevolgde hyperlink" xfId="907" builtinId="9" hidden="1"/>
    <cellStyle name="Gevolgde hyperlink" xfId="909" builtinId="9" hidden="1"/>
    <cellStyle name="Gevolgde hyperlink" xfId="911" builtinId="9" hidden="1"/>
    <cellStyle name="Gevolgde hyperlink" xfId="913" builtinId="9" hidden="1"/>
    <cellStyle name="Gevolgde hyperlink" xfId="915" builtinId="9" hidden="1"/>
    <cellStyle name="Gevolgde hyperlink" xfId="917" builtinId="9" hidden="1"/>
    <cellStyle name="Gevolgde hyperlink" xfId="919" builtinId="9" hidden="1"/>
    <cellStyle name="Gevolgde hyperlink" xfId="921" builtinId="9" hidden="1"/>
    <cellStyle name="Gevolgde hyperlink" xfId="923" builtinId="9" hidden="1"/>
    <cellStyle name="Gevolgde hyperlink" xfId="925" builtinId="9" hidden="1"/>
    <cellStyle name="Gevolgde hyperlink" xfId="927" builtinId="9" hidden="1"/>
    <cellStyle name="Gevolgde hyperlink" xfId="929" builtinId="9" hidden="1"/>
    <cellStyle name="Gevolgde hyperlink" xfId="931" builtinId="9" hidden="1"/>
    <cellStyle name="Gevolgde hyperlink" xfId="933" builtinId="9" hidden="1"/>
    <cellStyle name="Gevolgde hyperlink" xfId="935" builtinId="9" hidden="1"/>
    <cellStyle name="Gevolgde hyperlink" xfId="937" builtinId="9" hidden="1"/>
    <cellStyle name="Gevolgde hyperlink" xfId="939" builtinId="9" hidden="1"/>
    <cellStyle name="Gevolgde hyperlink" xfId="941" builtinId="9" hidden="1"/>
    <cellStyle name="Gevolgde hyperlink" xfId="943" builtinId="9" hidden="1"/>
    <cellStyle name="Gevolgde hyperlink" xfId="945" builtinId="9" hidden="1"/>
    <cellStyle name="Gevolgde hyperlink" xfId="947" builtinId="9" hidden="1"/>
    <cellStyle name="Gevolgde hyperlink" xfId="949" builtinId="9" hidden="1"/>
    <cellStyle name="Gevolgde hyperlink" xfId="951" builtinId="9" hidden="1"/>
    <cellStyle name="Gevolgde hyperlink" xfId="953" builtinId="9" hidden="1"/>
    <cellStyle name="Gevolgde hyperlink" xfId="955" builtinId="9" hidden="1"/>
    <cellStyle name="Gevolgde hyperlink" xfId="957" builtinId="9" hidden="1"/>
    <cellStyle name="Gevolgde hyperlink" xfId="959" builtinId="9" hidden="1"/>
    <cellStyle name="Gevolgde hyperlink" xfId="961" builtinId="9" hidden="1"/>
    <cellStyle name="Gevolgde hyperlink" xfId="963" builtinId="9" hidden="1"/>
    <cellStyle name="Gevolgde hyperlink" xfId="965" builtinId="9" hidden="1"/>
    <cellStyle name="Gevolgde hyperlink" xfId="967" builtinId="9" hidden="1"/>
    <cellStyle name="Gevolgde hyperlink" xfId="969" builtinId="9" hidden="1"/>
    <cellStyle name="Gevolgde hyperlink" xfId="971" builtinId="9" hidden="1"/>
    <cellStyle name="Gevolgde hyperlink" xfId="973" builtinId="9" hidden="1"/>
    <cellStyle name="Gevolgde hyperlink" xfId="975" builtinId="9" hidden="1"/>
    <cellStyle name="Gevolgde hyperlink" xfId="977" builtinId="9" hidden="1"/>
    <cellStyle name="Gevolgde hyperlink" xfId="979" builtinId="9" hidden="1"/>
    <cellStyle name="Gevolgde hyperlink" xfId="981" builtinId="9" hidden="1"/>
    <cellStyle name="Gevolgde hyperlink" xfId="983" builtinId="9" hidden="1"/>
    <cellStyle name="Gevolgde hyperlink" xfId="985" builtinId="9" hidden="1"/>
    <cellStyle name="Gevolgde hyperlink" xfId="987" builtinId="9" hidden="1"/>
    <cellStyle name="Gevolgde hyperlink" xfId="989" builtinId="9" hidden="1"/>
    <cellStyle name="Gevolgde hyperlink" xfId="991" builtinId="9" hidden="1"/>
    <cellStyle name="Gevolgde hyperlink" xfId="993" builtinId="9" hidden="1"/>
    <cellStyle name="Gevolgde hyperlink" xfId="995" builtinId="9" hidden="1"/>
    <cellStyle name="Gevolgde hyperlink" xfId="997" builtinId="9" hidden="1"/>
    <cellStyle name="Gevolgde hyperlink" xfId="999" builtinId="9" hidden="1"/>
    <cellStyle name="Gevolgde hyperlink" xfId="1001" builtinId="9" hidden="1"/>
    <cellStyle name="Gevolgde hyperlink" xfId="1003" builtinId="9" hidden="1"/>
    <cellStyle name="Gevolgde hyperlink" xfId="1005" builtinId="9" hidden="1"/>
    <cellStyle name="Gevolgde hyperlink" xfId="1007" builtinId="9" hidden="1"/>
    <cellStyle name="Gevolgde hyperlink" xfId="1009" builtinId="9" hidden="1"/>
    <cellStyle name="Gevolgde hyperlink" xfId="1011" builtinId="9" hidden="1"/>
    <cellStyle name="Gevolgde hyperlink" xfId="1013" builtinId="9" hidden="1"/>
    <cellStyle name="Gevolgde hyperlink" xfId="1015" builtinId="9" hidden="1"/>
    <cellStyle name="Gevolgde hyperlink" xfId="1017" builtinId="9" hidden="1"/>
    <cellStyle name="Gevolgde hyperlink" xfId="1019" builtinId="9" hidden="1"/>
    <cellStyle name="Gevolgde hyperlink" xfId="1021" builtinId="9" hidden="1"/>
    <cellStyle name="Gevolgde hyperlink" xfId="1023" builtinId="9" hidden="1"/>
    <cellStyle name="Gevolgde hyperlink" xfId="1025" builtinId="9" hidden="1"/>
    <cellStyle name="Gevolgde hyperlink" xfId="1027" builtinId="9" hidden="1"/>
    <cellStyle name="Gevolgde hyperlink" xfId="1029" builtinId="9" hidden="1"/>
    <cellStyle name="Gevolgde hyperlink" xfId="1031" builtinId="9" hidden="1"/>
    <cellStyle name="Gevolgde hyperlink" xfId="1033" builtinId="9" hidden="1"/>
    <cellStyle name="Gevolgde hyperlink" xfId="1035" builtinId="9" hidden="1"/>
    <cellStyle name="Gevolgde hyperlink" xfId="1037" builtinId="9" hidden="1"/>
    <cellStyle name="Gevolgde hyperlink" xfId="1039" builtinId="9" hidden="1"/>
    <cellStyle name="Gevolgde hyperlink" xfId="1041" builtinId="9" hidden="1"/>
    <cellStyle name="Gevolgde hyperlink" xfId="1043" builtinId="9" hidden="1"/>
    <cellStyle name="Gevolgde hyperlink" xfId="1045" builtinId="9" hidden="1"/>
    <cellStyle name="Gevolgde hyperlink" xfId="1047" builtinId="9" hidden="1"/>
    <cellStyle name="Gevolgde hyperlink" xfId="1049" builtinId="9" hidden="1"/>
    <cellStyle name="Gevolgde hyperlink" xfId="1051" builtinId="9" hidden="1"/>
    <cellStyle name="Gevolgde hyperlink" xfId="1053" builtinId="9" hidden="1"/>
    <cellStyle name="Gevolgde hyperlink" xfId="1055" builtinId="9" hidden="1"/>
    <cellStyle name="Gevolgde hyperlink" xfId="1057" builtinId="9" hidden="1"/>
    <cellStyle name="Gevolgde hyperlink" xfId="1059" builtinId="9" hidden="1"/>
    <cellStyle name="Gevolgde hyperlink" xfId="1061" builtinId="9" hidden="1"/>
    <cellStyle name="Goed" xfId="9"/>
    <cellStyle name="Hyperlink" xfId="38" builtinId="8" hidden="1"/>
    <cellStyle name="Hyperlink" xfId="40" builtinId="8" hidden="1"/>
    <cellStyle name="Hyperlink" xfId="42" builtinId="8" hidden="1"/>
    <cellStyle name="Hyperlink" xfId="44" builtinId="8" hidden="1"/>
    <cellStyle name="Hyperlink" xfId="46" builtinId="8" hidden="1"/>
    <cellStyle name="Hyperlink" xfId="48" builtinId="8" hidden="1"/>
    <cellStyle name="Hyperlink" xfId="50" builtinId="8" hidden="1"/>
    <cellStyle name="Hyperlink" xfId="52" builtinId="8" hidden="1"/>
    <cellStyle name="Hyperlink" xfId="54" builtinId="8" hidden="1"/>
    <cellStyle name="Hyperlink" xfId="56" builtinId="8" hidden="1"/>
    <cellStyle name="Hyperlink" xfId="58" builtinId="8" hidden="1"/>
    <cellStyle name="Hyperlink" xfId="60" builtinId="8" hidden="1"/>
    <cellStyle name="Hyperlink" xfId="62" builtinId="8" hidden="1"/>
    <cellStyle name="Hyperlink" xfId="64" builtinId="8" hidden="1"/>
    <cellStyle name="Hyperlink" xfId="66" builtinId="8" hidden="1"/>
    <cellStyle name="Hyperlink" xfId="68" builtinId="8" hidden="1"/>
    <cellStyle name="Hyperlink" xfId="70"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82" builtinId="8" hidden="1"/>
    <cellStyle name="Hyperlink" xfId="84" builtinId="8" hidden="1"/>
    <cellStyle name="Hyperlink" xfId="86" builtinId="8" hidden="1"/>
    <cellStyle name="Hyperlink" xfId="88" builtinId="8" hidden="1"/>
    <cellStyle name="Hyperlink" xfId="90" builtinId="8" hidden="1"/>
    <cellStyle name="Hyperlink" xfId="92" builtinId="8" hidden="1"/>
    <cellStyle name="Hyperlink" xfId="94" builtinId="8" hidden="1"/>
    <cellStyle name="Hyperlink" xfId="96" builtinId="8" hidden="1"/>
    <cellStyle name="Hyperlink" xfId="98" builtinId="8" hidden="1"/>
    <cellStyle name="Hyperlink" xfId="100" builtinId="8" hidden="1"/>
    <cellStyle name="Hyperlink" xfId="102" builtinId="8" hidden="1"/>
    <cellStyle name="Hyperlink" xfId="104" builtinId="8" hidden="1"/>
    <cellStyle name="Hyperlink" xfId="106" builtinId="8" hidden="1"/>
    <cellStyle name="Hyperlink" xfId="108" builtinId="8" hidden="1"/>
    <cellStyle name="Hyperlink" xfId="110" builtinId="8" hidden="1"/>
    <cellStyle name="Hyperlink" xfId="112" builtinId="8" hidden="1"/>
    <cellStyle name="Hyperlink" xfId="114" builtinId="8" hidden="1"/>
    <cellStyle name="Hyperlink" xfId="116" builtinId="8" hidden="1"/>
    <cellStyle name="Hyperlink" xfId="118" builtinId="8" hidden="1"/>
    <cellStyle name="Hyperlink" xfId="120" builtinId="8" hidden="1"/>
    <cellStyle name="Hyperlink" xfId="122" builtinId="8" hidden="1"/>
    <cellStyle name="Hyperlink" xfId="124" builtinId="8" hidden="1"/>
    <cellStyle name="Hyperlink" xfId="126" builtinId="8" hidden="1"/>
    <cellStyle name="Hyperlink" xfId="128" builtinId="8" hidden="1"/>
    <cellStyle name="Hyperlink" xfId="130" builtinId="8" hidden="1"/>
    <cellStyle name="Hyperlink" xfId="132" builtinId="8" hidden="1"/>
    <cellStyle name="Hyperlink" xfId="134" builtinId="8" hidden="1"/>
    <cellStyle name="Hyperlink" xfId="136" builtinId="8" hidden="1"/>
    <cellStyle name="Hyperlink" xfId="138" builtinId="8" hidden="1"/>
    <cellStyle name="Hyperlink" xfId="140" builtinId="8" hidden="1"/>
    <cellStyle name="Hyperlink" xfId="142" builtinId="8" hidden="1"/>
    <cellStyle name="Hyperlink" xfId="144" builtinId="8" hidden="1"/>
    <cellStyle name="Hyperlink" xfId="146" builtinId="8" hidden="1"/>
    <cellStyle name="Hyperlink" xfId="148" builtinId="8" hidden="1"/>
    <cellStyle name="Hyperlink" xfId="150" builtinId="8" hidden="1"/>
    <cellStyle name="Hyperlink" xfId="152" builtinId="8" hidden="1"/>
    <cellStyle name="Hyperlink" xfId="154" builtinId="8" hidden="1"/>
    <cellStyle name="Hyperlink" xfId="156" builtinId="8" hidden="1"/>
    <cellStyle name="Hyperlink" xfId="158" builtinId="8" hidden="1"/>
    <cellStyle name="Hyperlink" xfId="160" builtinId="8" hidden="1"/>
    <cellStyle name="Hyperlink" xfId="162" builtinId="8" hidden="1"/>
    <cellStyle name="Hyperlink" xfId="164" builtinId="8" hidden="1"/>
    <cellStyle name="Hyperlink" xfId="166" builtinId="8" hidden="1"/>
    <cellStyle name="Hyperlink" xfId="168" builtinId="8" hidden="1"/>
    <cellStyle name="Hyperlink" xfId="170" builtinId="8" hidden="1"/>
    <cellStyle name="Hyperlink" xfId="172" builtinId="8" hidden="1"/>
    <cellStyle name="Hyperlink" xfId="174" builtinId="8" hidden="1"/>
    <cellStyle name="Hyperlink" xfId="176" builtinId="8" hidden="1"/>
    <cellStyle name="Hyperlink" xfId="178" builtinId="8" hidden="1"/>
    <cellStyle name="Hyperlink" xfId="180" builtinId="8" hidden="1"/>
    <cellStyle name="Hyperlink" xfId="182" builtinId="8" hidden="1"/>
    <cellStyle name="Hyperlink" xfId="184" builtinId="8" hidden="1"/>
    <cellStyle name="Hyperlink" xfId="186" builtinId="8" hidden="1"/>
    <cellStyle name="Hyperlink" xfId="188" builtinId="8" hidden="1"/>
    <cellStyle name="Hyperlink" xfId="190" builtinId="8" hidden="1"/>
    <cellStyle name="Hyperlink" xfId="192" builtinId="8" hidden="1"/>
    <cellStyle name="Hyperlink" xfId="194" builtinId="8" hidden="1"/>
    <cellStyle name="Hyperlink" xfId="196" builtinId="8" hidden="1"/>
    <cellStyle name="Hyperlink" xfId="198" builtinId="8" hidden="1"/>
    <cellStyle name="Hyperlink" xfId="200" builtinId="8" hidden="1"/>
    <cellStyle name="Hyperlink" xfId="202" builtinId="8" hidden="1"/>
    <cellStyle name="Hyperlink" xfId="204" builtinId="8" hidden="1"/>
    <cellStyle name="Hyperlink" xfId="206" builtinId="8" hidden="1"/>
    <cellStyle name="Hyperlink" xfId="208" builtinId="8" hidden="1"/>
    <cellStyle name="Hyperlink" xfId="210" builtinId="8" hidden="1"/>
    <cellStyle name="Hyperlink" xfId="212" builtinId="8" hidden="1"/>
    <cellStyle name="Hyperlink" xfId="214" builtinId="8" hidden="1"/>
    <cellStyle name="Hyperlink" xfId="216" builtinId="8" hidden="1"/>
    <cellStyle name="Hyperlink" xfId="218" builtinId="8" hidden="1"/>
    <cellStyle name="Hyperlink" xfId="220" builtinId="8" hidden="1"/>
    <cellStyle name="Hyperlink" xfId="222" builtinId="8" hidden="1"/>
    <cellStyle name="Hyperlink" xfId="224" builtinId="8" hidden="1"/>
    <cellStyle name="Hyperlink" xfId="226" builtinId="8" hidden="1"/>
    <cellStyle name="Hyperlink" xfId="228" builtinId="8" hidden="1"/>
    <cellStyle name="Hyperlink" xfId="230" builtinId="8" hidden="1"/>
    <cellStyle name="Hyperlink" xfId="232" builtinId="8" hidden="1"/>
    <cellStyle name="Hyperlink" xfId="234" builtinId="8" hidden="1"/>
    <cellStyle name="Hyperlink" xfId="236" builtinId="8" hidden="1"/>
    <cellStyle name="Hyperlink" xfId="238" builtinId="8" hidden="1"/>
    <cellStyle name="Hyperlink" xfId="240" builtinId="8" hidden="1"/>
    <cellStyle name="Hyperlink" xfId="242" builtinId="8" hidden="1"/>
    <cellStyle name="Hyperlink" xfId="244" builtinId="8" hidden="1"/>
    <cellStyle name="Hyperlink" xfId="246" builtinId="8" hidden="1"/>
    <cellStyle name="Hyperlink" xfId="248" builtinId="8" hidden="1"/>
    <cellStyle name="Hyperlink" xfId="250" builtinId="8" hidden="1"/>
    <cellStyle name="Hyperlink" xfId="252" builtinId="8" hidden="1"/>
    <cellStyle name="Hyperlink" xfId="254" builtinId="8" hidden="1"/>
    <cellStyle name="Hyperlink" xfId="256" builtinId="8" hidden="1"/>
    <cellStyle name="Hyperlink" xfId="258" builtinId="8" hidden="1"/>
    <cellStyle name="Hyperlink" xfId="260" builtinId="8" hidden="1"/>
    <cellStyle name="Hyperlink" xfId="262" builtinId="8" hidden="1"/>
    <cellStyle name="Hyperlink" xfId="264" builtinId="8" hidden="1"/>
    <cellStyle name="Hyperlink" xfId="266" builtinId="8" hidden="1"/>
    <cellStyle name="Hyperlink" xfId="268" builtinId="8" hidden="1"/>
    <cellStyle name="Hyperlink" xfId="270" builtinId="8" hidden="1"/>
    <cellStyle name="Hyperlink" xfId="272" builtinId="8" hidden="1"/>
    <cellStyle name="Hyperlink" xfId="274" builtinId="8" hidden="1"/>
    <cellStyle name="Hyperlink" xfId="276" builtinId="8" hidden="1"/>
    <cellStyle name="Hyperlink" xfId="278" builtinId="8" hidden="1"/>
    <cellStyle name="Hyperlink" xfId="280" builtinId="8" hidden="1"/>
    <cellStyle name="Hyperlink" xfId="282" builtinId="8" hidden="1"/>
    <cellStyle name="Hyperlink" xfId="284" builtinId="8" hidden="1"/>
    <cellStyle name="Hyperlink" xfId="286" builtinId="8" hidden="1"/>
    <cellStyle name="Hyperlink" xfId="288" builtinId="8" hidden="1"/>
    <cellStyle name="Hyperlink" xfId="290" builtinId="8" hidden="1"/>
    <cellStyle name="Hyperlink" xfId="292" builtinId="8" hidden="1"/>
    <cellStyle name="Hyperlink" xfId="294" builtinId="8" hidden="1"/>
    <cellStyle name="Hyperlink" xfId="296" builtinId="8" hidden="1"/>
    <cellStyle name="Hyperlink" xfId="298" builtinId="8" hidden="1"/>
    <cellStyle name="Hyperlink" xfId="300" builtinId="8" hidden="1"/>
    <cellStyle name="Hyperlink" xfId="302" builtinId="8" hidden="1"/>
    <cellStyle name="Hyperlink" xfId="304" builtinId="8" hidden="1"/>
    <cellStyle name="Hyperlink" xfId="306" builtinId="8" hidden="1"/>
    <cellStyle name="Hyperlink" xfId="308" builtinId="8" hidden="1"/>
    <cellStyle name="Hyperlink" xfId="310" builtinId="8" hidden="1"/>
    <cellStyle name="Hyperlink" xfId="312" builtinId="8" hidden="1"/>
    <cellStyle name="Hyperlink" xfId="314" builtinId="8" hidden="1"/>
    <cellStyle name="Hyperlink" xfId="316" builtinId="8" hidden="1"/>
    <cellStyle name="Hyperlink" xfId="318" builtinId="8" hidden="1"/>
    <cellStyle name="Hyperlink" xfId="320" builtinId="8" hidden="1"/>
    <cellStyle name="Hyperlink" xfId="322" builtinId="8" hidden="1"/>
    <cellStyle name="Hyperlink" xfId="324" builtinId="8" hidden="1"/>
    <cellStyle name="Hyperlink" xfId="326" builtinId="8" hidden="1"/>
    <cellStyle name="Hyperlink" xfId="328" builtinId="8" hidden="1"/>
    <cellStyle name="Hyperlink" xfId="330" builtinId="8" hidden="1"/>
    <cellStyle name="Hyperlink" xfId="332" builtinId="8" hidden="1"/>
    <cellStyle name="Hyperlink" xfId="334" builtinId="8" hidden="1"/>
    <cellStyle name="Hyperlink" xfId="336" builtinId="8" hidden="1"/>
    <cellStyle name="Hyperlink" xfId="338" builtinId="8" hidden="1"/>
    <cellStyle name="Hyperlink" xfId="340" builtinId="8" hidden="1"/>
    <cellStyle name="Hyperlink" xfId="342" builtinId="8" hidden="1"/>
    <cellStyle name="Hyperlink" xfId="344" builtinId="8" hidden="1"/>
    <cellStyle name="Hyperlink" xfId="346" builtinId="8" hidden="1"/>
    <cellStyle name="Hyperlink" xfId="348" builtinId="8" hidden="1"/>
    <cellStyle name="Hyperlink" xfId="350" builtinId="8" hidden="1"/>
    <cellStyle name="Hyperlink" xfId="352" builtinId="8" hidden="1"/>
    <cellStyle name="Hyperlink" xfId="354" builtinId="8" hidden="1"/>
    <cellStyle name="Hyperlink" xfId="356" builtinId="8" hidden="1"/>
    <cellStyle name="Hyperlink" xfId="358" builtinId="8" hidden="1"/>
    <cellStyle name="Hyperlink" xfId="360" builtinId="8" hidden="1"/>
    <cellStyle name="Hyperlink" xfId="362" builtinId="8" hidden="1"/>
    <cellStyle name="Hyperlink" xfId="364" builtinId="8" hidden="1"/>
    <cellStyle name="Hyperlink" xfId="366" builtinId="8" hidden="1"/>
    <cellStyle name="Hyperlink" xfId="368" builtinId="8" hidden="1"/>
    <cellStyle name="Hyperlink" xfId="370" builtinId="8" hidden="1"/>
    <cellStyle name="Hyperlink" xfId="372" builtinId="8" hidden="1"/>
    <cellStyle name="Hyperlink" xfId="374" builtinId="8" hidden="1"/>
    <cellStyle name="Hyperlink" xfId="376" builtinId="8" hidden="1"/>
    <cellStyle name="Hyperlink" xfId="378" builtinId="8" hidden="1"/>
    <cellStyle name="Hyperlink" xfId="380" builtinId="8" hidden="1"/>
    <cellStyle name="Hyperlink" xfId="382" builtinId="8" hidden="1"/>
    <cellStyle name="Hyperlink" xfId="384" builtinId="8" hidden="1"/>
    <cellStyle name="Hyperlink" xfId="386" builtinId="8" hidden="1"/>
    <cellStyle name="Hyperlink" xfId="388" builtinId="8" hidden="1"/>
    <cellStyle name="Hyperlink" xfId="390" builtinId="8" hidden="1"/>
    <cellStyle name="Hyperlink" xfId="392" builtinId="8" hidden="1"/>
    <cellStyle name="Hyperlink" xfId="394" builtinId="8" hidden="1"/>
    <cellStyle name="Hyperlink" xfId="396" builtinId="8" hidden="1"/>
    <cellStyle name="Hyperlink" xfId="398" builtinId="8" hidden="1"/>
    <cellStyle name="Hyperlink" xfId="400" builtinId="8" hidden="1"/>
    <cellStyle name="Hyperlink" xfId="402" builtinId="8" hidden="1"/>
    <cellStyle name="Hyperlink" xfId="404" builtinId="8" hidden="1"/>
    <cellStyle name="Hyperlink" xfId="406" builtinId="8" hidden="1"/>
    <cellStyle name="Hyperlink" xfId="408" builtinId="8" hidden="1"/>
    <cellStyle name="Hyperlink" xfId="410" builtinId="8" hidden="1"/>
    <cellStyle name="Hyperlink" xfId="412" builtinId="8" hidden="1"/>
    <cellStyle name="Hyperlink" xfId="414" builtinId="8" hidden="1"/>
    <cellStyle name="Hyperlink" xfId="416" builtinId="8" hidden="1"/>
    <cellStyle name="Hyperlink" xfId="418" builtinId="8" hidden="1"/>
    <cellStyle name="Hyperlink" xfId="420" builtinId="8" hidden="1"/>
    <cellStyle name="Hyperlink" xfId="422" builtinId="8" hidden="1"/>
    <cellStyle name="Hyperlink" xfId="424" builtinId="8" hidden="1"/>
    <cellStyle name="Hyperlink" xfId="426" builtinId="8" hidden="1"/>
    <cellStyle name="Hyperlink" xfId="428" builtinId="8" hidden="1"/>
    <cellStyle name="Hyperlink" xfId="430" builtinId="8" hidden="1"/>
    <cellStyle name="Hyperlink" xfId="432" builtinId="8" hidden="1"/>
    <cellStyle name="Hyperlink" xfId="434" builtinId="8" hidden="1"/>
    <cellStyle name="Hyperlink" xfId="436" builtinId="8" hidden="1"/>
    <cellStyle name="Hyperlink" xfId="438" builtinId="8" hidden="1"/>
    <cellStyle name="Hyperlink" xfId="440" builtinId="8" hidden="1"/>
    <cellStyle name="Hyperlink" xfId="442" builtinId="8" hidden="1"/>
    <cellStyle name="Hyperlink" xfId="444" builtinId="8" hidden="1"/>
    <cellStyle name="Hyperlink" xfId="446" builtinId="8" hidden="1"/>
    <cellStyle name="Hyperlink" xfId="448" builtinId="8" hidden="1"/>
    <cellStyle name="Hyperlink" xfId="450" builtinId="8" hidden="1"/>
    <cellStyle name="Hyperlink" xfId="452" builtinId="8" hidden="1"/>
    <cellStyle name="Hyperlink" xfId="454" builtinId="8" hidden="1"/>
    <cellStyle name="Hyperlink" xfId="456" builtinId="8" hidden="1"/>
    <cellStyle name="Hyperlink" xfId="458" builtinId="8" hidden="1"/>
    <cellStyle name="Hyperlink" xfId="460" builtinId="8" hidden="1"/>
    <cellStyle name="Hyperlink" xfId="462" builtinId="8" hidden="1"/>
    <cellStyle name="Hyperlink" xfId="464" builtinId="8" hidden="1"/>
    <cellStyle name="Hyperlink" xfId="466" builtinId="8" hidden="1"/>
    <cellStyle name="Hyperlink" xfId="468" builtinId="8" hidden="1"/>
    <cellStyle name="Hyperlink" xfId="470" builtinId="8" hidden="1"/>
    <cellStyle name="Hyperlink" xfId="472" builtinId="8" hidden="1"/>
    <cellStyle name="Hyperlink" xfId="474" builtinId="8" hidden="1"/>
    <cellStyle name="Hyperlink" xfId="476" builtinId="8" hidden="1"/>
    <cellStyle name="Hyperlink" xfId="478" builtinId="8" hidden="1"/>
    <cellStyle name="Hyperlink" xfId="480" builtinId="8" hidden="1"/>
    <cellStyle name="Hyperlink" xfId="482" builtinId="8" hidden="1"/>
    <cellStyle name="Hyperlink" xfId="484" builtinId="8" hidden="1"/>
    <cellStyle name="Hyperlink" xfId="486" builtinId="8" hidden="1"/>
    <cellStyle name="Hyperlink" xfId="488" builtinId="8" hidden="1"/>
    <cellStyle name="Hyperlink" xfId="490" builtinId="8" hidden="1"/>
    <cellStyle name="Hyperlink" xfId="492" builtinId="8" hidden="1"/>
    <cellStyle name="Hyperlink" xfId="494" builtinId="8" hidden="1"/>
    <cellStyle name="Hyperlink" xfId="496" builtinId="8" hidden="1"/>
    <cellStyle name="Hyperlink" xfId="498" builtinId="8" hidden="1"/>
    <cellStyle name="Hyperlink" xfId="500" builtinId="8" hidden="1"/>
    <cellStyle name="Hyperlink" xfId="502" builtinId="8" hidden="1"/>
    <cellStyle name="Hyperlink" xfId="504" builtinId="8" hidden="1"/>
    <cellStyle name="Hyperlink" xfId="506" builtinId="8" hidden="1"/>
    <cellStyle name="Hyperlink" xfId="508" builtinId="8" hidden="1"/>
    <cellStyle name="Hyperlink" xfId="510" builtinId="8" hidden="1"/>
    <cellStyle name="Hyperlink" xfId="512" builtinId="8" hidden="1"/>
    <cellStyle name="Hyperlink" xfId="514" builtinId="8" hidden="1"/>
    <cellStyle name="Hyperlink" xfId="516" builtinId="8" hidden="1"/>
    <cellStyle name="Hyperlink" xfId="518" builtinId="8" hidden="1"/>
    <cellStyle name="Hyperlink" xfId="520" builtinId="8" hidden="1"/>
    <cellStyle name="Hyperlink" xfId="522" builtinId="8" hidden="1"/>
    <cellStyle name="Hyperlink" xfId="524" builtinId="8" hidden="1"/>
    <cellStyle name="Hyperlink" xfId="526" builtinId="8" hidden="1"/>
    <cellStyle name="Hyperlink" xfId="528" builtinId="8" hidden="1"/>
    <cellStyle name="Hyperlink" xfId="530" builtinId="8" hidden="1"/>
    <cellStyle name="Hyperlink" xfId="532" builtinId="8" hidden="1"/>
    <cellStyle name="Hyperlink" xfId="534" builtinId="8" hidden="1"/>
    <cellStyle name="Hyperlink" xfId="536" builtinId="8" hidden="1"/>
    <cellStyle name="Hyperlink" xfId="538" builtinId="8" hidden="1"/>
    <cellStyle name="Hyperlink" xfId="540" builtinId="8" hidden="1"/>
    <cellStyle name="Hyperlink" xfId="542" builtinId="8" hidden="1"/>
    <cellStyle name="Hyperlink" xfId="544" builtinId="8" hidden="1"/>
    <cellStyle name="Hyperlink" xfId="546" builtinId="8" hidden="1"/>
    <cellStyle name="Hyperlink" xfId="548" builtinId="8" hidden="1"/>
    <cellStyle name="Hyperlink" xfId="550" builtinId="8" hidden="1"/>
    <cellStyle name="Hyperlink" xfId="552" builtinId="8" hidden="1"/>
    <cellStyle name="Hyperlink" xfId="554" builtinId="8" hidden="1"/>
    <cellStyle name="Hyperlink" xfId="556" builtinId="8" hidden="1"/>
    <cellStyle name="Hyperlink" xfId="558" builtinId="8" hidden="1"/>
    <cellStyle name="Hyperlink" xfId="560" builtinId="8" hidden="1"/>
    <cellStyle name="Hyperlink" xfId="562" builtinId="8" hidden="1"/>
    <cellStyle name="Hyperlink" xfId="564" builtinId="8" hidden="1"/>
    <cellStyle name="Hyperlink" xfId="566" builtinId="8" hidden="1"/>
    <cellStyle name="Hyperlink" xfId="568" builtinId="8" hidden="1"/>
    <cellStyle name="Hyperlink" xfId="570" builtinId="8" hidden="1"/>
    <cellStyle name="Hyperlink" xfId="572" builtinId="8" hidden="1"/>
    <cellStyle name="Hyperlink" xfId="574" builtinId="8" hidden="1"/>
    <cellStyle name="Hyperlink" xfId="576" builtinId="8" hidden="1"/>
    <cellStyle name="Hyperlink" xfId="578" builtinId="8" hidden="1"/>
    <cellStyle name="Hyperlink" xfId="580" builtinId="8" hidden="1"/>
    <cellStyle name="Hyperlink" xfId="582" builtinId="8" hidden="1"/>
    <cellStyle name="Hyperlink" xfId="584" builtinId="8" hidden="1"/>
    <cellStyle name="Hyperlink" xfId="586" builtinId="8" hidden="1"/>
    <cellStyle name="Hyperlink" xfId="588" builtinId="8" hidden="1"/>
    <cellStyle name="Hyperlink" xfId="590" builtinId="8" hidden="1"/>
    <cellStyle name="Hyperlink" xfId="592" builtinId="8" hidden="1"/>
    <cellStyle name="Hyperlink" xfId="594" builtinId="8" hidden="1"/>
    <cellStyle name="Hyperlink" xfId="596" builtinId="8" hidden="1"/>
    <cellStyle name="Hyperlink" xfId="598" builtinId="8" hidden="1"/>
    <cellStyle name="Hyperlink" xfId="600" builtinId="8" hidden="1"/>
    <cellStyle name="Hyperlink" xfId="602" builtinId="8" hidden="1"/>
    <cellStyle name="Hyperlink" xfId="604" builtinId="8" hidden="1"/>
    <cellStyle name="Hyperlink" xfId="606" builtinId="8" hidden="1"/>
    <cellStyle name="Hyperlink" xfId="608" builtinId="8" hidden="1"/>
    <cellStyle name="Hyperlink" xfId="610" builtinId="8" hidden="1"/>
    <cellStyle name="Hyperlink" xfId="612" builtinId="8" hidden="1"/>
    <cellStyle name="Hyperlink" xfId="614" builtinId="8" hidden="1"/>
    <cellStyle name="Hyperlink" xfId="616" builtinId="8" hidden="1"/>
    <cellStyle name="Hyperlink" xfId="618" builtinId="8" hidden="1"/>
    <cellStyle name="Hyperlink" xfId="620" builtinId="8" hidden="1"/>
    <cellStyle name="Hyperlink" xfId="622" builtinId="8" hidden="1"/>
    <cellStyle name="Hyperlink" xfId="624" builtinId="8" hidden="1"/>
    <cellStyle name="Hyperlink" xfId="626" builtinId="8" hidden="1"/>
    <cellStyle name="Hyperlink" xfId="628" builtinId="8" hidden="1"/>
    <cellStyle name="Hyperlink" xfId="630" builtinId="8" hidden="1"/>
    <cellStyle name="Hyperlink" xfId="632" builtinId="8" hidden="1"/>
    <cellStyle name="Hyperlink" xfId="634" builtinId="8" hidden="1"/>
    <cellStyle name="Hyperlink" xfId="636" builtinId="8" hidden="1"/>
    <cellStyle name="Hyperlink" xfId="638" builtinId="8" hidden="1"/>
    <cellStyle name="Hyperlink" xfId="640" builtinId="8" hidden="1"/>
    <cellStyle name="Hyperlink" xfId="642" builtinId="8" hidden="1"/>
    <cellStyle name="Hyperlink" xfId="644" builtinId="8" hidden="1"/>
    <cellStyle name="Hyperlink" xfId="646" builtinId="8" hidden="1"/>
    <cellStyle name="Hyperlink" xfId="648" builtinId="8" hidden="1"/>
    <cellStyle name="Hyperlink" xfId="650" builtinId="8" hidden="1"/>
    <cellStyle name="Hyperlink" xfId="652" builtinId="8" hidden="1"/>
    <cellStyle name="Hyperlink" xfId="654" builtinId="8" hidden="1"/>
    <cellStyle name="Hyperlink" xfId="656" builtinId="8" hidden="1"/>
    <cellStyle name="Hyperlink" xfId="658" builtinId="8" hidden="1"/>
    <cellStyle name="Hyperlink" xfId="660" builtinId="8" hidden="1"/>
    <cellStyle name="Hyperlink" xfId="662" builtinId="8" hidden="1"/>
    <cellStyle name="Hyperlink" xfId="664" builtinId="8" hidden="1"/>
    <cellStyle name="Hyperlink" xfId="666" builtinId="8" hidden="1"/>
    <cellStyle name="Hyperlink" xfId="668" builtinId="8" hidden="1"/>
    <cellStyle name="Hyperlink" xfId="670" builtinId="8" hidden="1"/>
    <cellStyle name="Hyperlink" xfId="672" builtinId="8" hidden="1"/>
    <cellStyle name="Hyperlink" xfId="674" builtinId="8" hidden="1"/>
    <cellStyle name="Hyperlink" xfId="676" builtinId="8" hidden="1"/>
    <cellStyle name="Hyperlink" xfId="678" builtinId="8" hidden="1"/>
    <cellStyle name="Hyperlink" xfId="680" builtinId="8" hidden="1"/>
    <cellStyle name="Hyperlink" xfId="682" builtinId="8" hidden="1"/>
    <cellStyle name="Hyperlink" xfId="684" builtinId="8" hidden="1"/>
    <cellStyle name="Hyperlink" xfId="686" builtinId="8" hidden="1"/>
    <cellStyle name="Hyperlink" xfId="688" builtinId="8" hidden="1"/>
    <cellStyle name="Hyperlink" xfId="690" builtinId="8" hidden="1"/>
    <cellStyle name="Hyperlink" xfId="692" builtinId="8" hidden="1"/>
    <cellStyle name="Hyperlink" xfId="694" builtinId="8" hidden="1"/>
    <cellStyle name="Hyperlink" xfId="696" builtinId="8" hidden="1"/>
    <cellStyle name="Hyperlink" xfId="698" builtinId="8" hidden="1"/>
    <cellStyle name="Hyperlink" xfId="700" builtinId="8" hidden="1"/>
    <cellStyle name="Hyperlink" xfId="702" builtinId="8" hidden="1"/>
    <cellStyle name="Hyperlink" xfId="704" builtinId="8" hidden="1"/>
    <cellStyle name="Hyperlink" xfId="706" builtinId="8" hidden="1"/>
    <cellStyle name="Hyperlink" xfId="708" builtinId="8" hidden="1"/>
    <cellStyle name="Hyperlink" xfId="710" builtinId="8" hidden="1"/>
    <cellStyle name="Hyperlink" xfId="712" builtinId="8" hidden="1"/>
    <cellStyle name="Hyperlink" xfId="714" builtinId="8" hidden="1"/>
    <cellStyle name="Hyperlink" xfId="716" builtinId="8" hidden="1"/>
    <cellStyle name="Hyperlink" xfId="718" builtinId="8" hidden="1"/>
    <cellStyle name="Hyperlink" xfId="720" builtinId="8" hidden="1"/>
    <cellStyle name="Hyperlink" xfId="722" builtinId="8" hidden="1"/>
    <cellStyle name="Hyperlink" xfId="724" builtinId="8" hidden="1"/>
    <cellStyle name="Hyperlink" xfId="726" builtinId="8" hidden="1"/>
    <cellStyle name="Hyperlink" xfId="728" builtinId="8" hidden="1"/>
    <cellStyle name="Hyperlink" xfId="730" builtinId="8" hidden="1"/>
    <cellStyle name="Hyperlink" xfId="732" builtinId="8" hidden="1"/>
    <cellStyle name="Hyperlink" xfId="734" builtinId="8" hidden="1"/>
    <cellStyle name="Hyperlink" xfId="736" builtinId="8" hidden="1"/>
    <cellStyle name="Hyperlink" xfId="738" builtinId="8" hidden="1"/>
    <cellStyle name="Hyperlink" xfId="740" builtinId="8" hidden="1"/>
    <cellStyle name="Hyperlink" xfId="742" builtinId="8" hidden="1"/>
    <cellStyle name="Hyperlink" xfId="744" builtinId="8" hidden="1"/>
    <cellStyle name="Hyperlink" xfId="746" builtinId="8" hidden="1"/>
    <cellStyle name="Hyperlink" xfId="748" builtinId="8" hidden="1"/>
    <cellStyle name="Hyperlink" xfId="750" builtinId="8" hidden="1"/>
    <cellStyle name="Hyperlink" xfId="752" builtinId="8" hidden="1"/>
    <cellStyle name="Hyperlink" xfId="754" builtinId="8" hidden="1"/>
    <cellStyle name="Hyperlink" xfId="756" builtinId="8" hidden="1"/>
    <cellStyle name="Hyperlink" xfId="758" builtinId="8" hidden="1"/>
    <cellStyle name="Hyperlink" xfId="760" builtinId="8" hidden="1"/>
    <cellStyle name="Hyperlink" xfId="762" builtinId="8" hidden="1"/>
    <cellStyle name="Hyperlink" xfId="764" builtinId="8" hidden="1"/>
    <cellStyle name="Hyperlink" xfId="766" builtinId="8" hidden="1"/>
    <cellStyle name="Hyperlink" xfId="768" builtinId="8" hidden="1"/>
    <cellStyle name="Hyperlink" xfId="770" builtinId="8" hidden="1"/>
    <cellStyle name="Hyperlink" xfId="772" builtinId="8" hidden="1"/>
    <cellStyle name="Hyperlink" xfId="774" builtinId="8" hidden="1"/>
    <cellStyle name="Hyperlink" xfId="776" builtinId="8" hidden="1"/>
    <cellStyle name="Hyperlink" xfId="778"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8" builtinId="8" hidden="1"/>
    <cellStyle name="Hyperlink" xfId="1040" builtinId="8" hidden="1"/>
    <cellStyle name="Hyperlink" xfId="1042" builtinId="8" hidden="1"/>
    <cellStyle name="Hyperlink" xfId="1044" builtinId="8" hidden="1"/>
    <cellStyle name="Hyperlink" xfId="1046" builtinId="8" hidden="1"/>
    <cellStyle name="Hyperlink" xfId="1048" builtinId="8" hidden="1"/>
    <cellStyle name="Hyperlink" xfId="1050" builtinId="8" hidden="1"/>
    <cellStyle name="Hyperlink" xfId="1052" builtinId="8" hidden="1"/>
    <cellStyle name="Hyperlink" xfId="1054" builtinId="8" hidden="1"/>
    <cellStyle name="Hyperlink" xfId="1056" builtinId="8" hidden="1"/>
    <cellStyle name="Hyperlink" xfId="1058" builtinId="8" hidden="1"/>
    <cellStyle name="Hyperlink" xfId="1060" builtinId="8" hidden="1"/>
    <cellStyle name="Komma" xfId="10" builtinId="3"/>
    <cellStyle name="Komma [0]" xfId="11" builtinId="6"/>
    <cellStyle name="kop" xfId="12"/>
    <cellStyle name="Koppen_rekenblad" xfId="13"/>
    <cellStyle name="koppenrekenblad2" xfId="14"/>
    <cellStyle name="m2" xfId="15"/>
    <cellStyle name="Neutraal" xfId="16"/>
    <cellStyle name="Normaal" xfId="0" builtinId="0"/>
    <cellStyle name="Normal_ KLM-CTR(STA)-Recap.xls" xfId="17"/>
    <cellStyle name="Normal_1.3-Basis ruimtestaat" xfId="18"/>
    <cellStyle name="Normal_AFRPPRIJS.xls" xfId="19"/>
    <cellStyle name="Normal_ATIR-Calc-Uurtarief 2001" xfId="20"/>
    <cellStyle name="Normal_CALCULATIEBLAD.XLS" xfId="21"/>
    <cellStyle name="Normal_GH-Calc_perceel_1_en_2.xls" xfId="22"/>
    <cellStyle name="Normal_glas locaties.xls" xfId="23"/>
    <cellStyle name="Normal_MACHINEKST.xls" xfId="24"/>
    <cellStyle name="Normal_SCH Purmerend-Calc-04.xls" xfId="25"/>
    <cellStyle name="Normal_schoonmaaktot.xls" xfId="26"/>
    <cellStyle name="Normal_Uurloonopbouw 2010.xls" xfId="27"/>
    <cellStyle name="Normal_Uurtarieven 2000 LEVERANCIER" xfId="28"/>
    <cellStyle name="Normal_Workbook1_AFRPPRIJS.xls" xfId="29"/>
    <cellStyle name="Ongedefinieerd" xfId="30"/>
    <cellStyle name="Procent" xfId="31" builtinId="5"/>
    <cellStyle name="Ruimtestaat_Koppen" xfId="32"/>
    <cellStyle name="Standaard_Blad1" xfId="33"/>
    <cellStyle name="Titel" xfId="34"/>
    <cellStyle name="Totaal" xfId="35"/>
    <cellStyle name="Valuta" xfId="36" builtinId="4"/>
    <cellStyle name="Waarschuwingstekst" xfId="37"/>
  </cellStyles>
  <dxfs count="161">
    <dxf>
      <font>
        <b/>
        <i/>
        <condense val="0"/>
        <extend val="0"/>
        <color indexed="9"/>
      </font>
      <fill>
        <patternFill>
          <bgColor indexed="10"/>
        </patternFill>
      </fill>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ont>
        <b/>
        <i val="0"/>
        <strike val="0"/>
        <color theme="0"/>
      </font>
      <fill>
        <patternFill patternType="solid">
          <fgColor indexed="64"/>
          <bgColor rgb="FFFF0000"/>
        </patternFill>
      </fill>
    </dxf>
    <dxf>
      <fill>
        <patternFill patternType="none">
          <fgColor indexed="64"/>
          <bgColor indexed="65"/>
        </patternFill>
      </fill>
      <border>
        <left style="thin">
          <color rgb="FFFF9933"/>
        </left>
        <right style="thin">
          <color rgb="FFFF9933"/>
        </right>
        <top style="thin">
          <color rgb="FFFF9933"/>
        </top>
        <bottom style="thin">
          <color rgb="FFFF9933"/>
        </bottom>
      </border>
    </dxf>
    <dxf>
      <fill>
        <patternFill patternType="none">
          <fgColor indexed="64"/>
          <bgColor indexed="65"/>
        </patternFill>
      </fill>
      <border>
        <left style="thin">
          <color rgb="FFFF9933"/>
        </left>
        <right style="thin">
          <color rgb="FFFF9933"/>
        </right>
        <top style="thin">
          <color rgb="FFFF9933"/>
        </top>
        <bottom style="thin">
          <color rgb="FFFF9933"/>
        </bottom>
      </border>
    </dxf>
    <dxf>
      <fill>
        <patternFill patternType="none">
          <fgColor indexed="64"/>
          <bgColor indexed="65"/>
        </patternFill>
      </fill>
      <border>
        <left style="thin">
          <color rgb="FFFF9933"/>
        </left>
        <right style="thin">
          <color rgb="FFFF9933"/>
        </right>
        <top style="thin">
          <color rgb="FFFF9933"/>
        </top>
        <bottom style="thin">
          <color rgb="FFFF9933"/>
        </bottom>
      </border>
    </dxf>
    <dxf>
      <fill>
        <patternFill patternType="none">
          <fgColor indexed="64"/>
          <bgColor indexed="65"/>
        </patternFill>
      </fill>
      <border>
        <left style="thin">
          <color rgb="FFFF9933"/>
        </left>
        <right style="thin">
          <color rgb="FFFF9933"/>
        </right>
        <top style="thin">
          <color rgb="FFFF9933"/>
        </top>
        <bottom style="thin">
          <color rgb="FFFF9933"/>
        </bottom>
      </border>
    </dxf>
    <dxf>
      <fill>
        <patternFill patternType="none">
          <fgColor indexed="64"/>
          <bgColor indexed="65"/>
        </patternFill>
      </fill>
      <border>
        <left style="thin">
          <color rgb="FFFF9933"/>
        </left>
        <right style="thin">
          <color rgb="FFFF9933"/>
        </right>
        <top style="thin">
          <color rgb="FFFF9933"/>
        </top>
        <bottom style="thin">
          <color rgb="FFFF9933"/>
        </bottom>
      </border>
    </dxf>
    <dxf>
      <fill>
        <patternFill patternType="none">
          <fgColor indexed="64"/>
          <bgColor indexed="65"/>
        </patternFill>
      </fill>
      <border>
        <left style="thin">
          <color rgb="FFFF9933"/>
        </left>
        <right style="thin">
          <color rgb="FFFF9933"/>
        </right>
        <top style="thin">
          <color rgb="FFFF9933"/>
        </top>
        <bottom style="thin">
          <color rgb="FFFF9933"/>
        </bottom>
      </border>
    </dxf>
    <dxf>
      <fill>
        <patternFill patternType="none">
          <fgColor indexed="64"/>
          <bgColor indexed="65"/>
        </patternFill>
      </fill>
      <border>
        <left style="thin">
          <color rgb="FFFF9933"/>
        </left>
        <right style="thin">
          <color rgb="FFFF9933"/>
        </right>
        <top style="thin">
          <color rgb="FFFF9933"/>
        </top>
        <bottom style="thin">
          <color rgb="FFFF9933"/>
        </bottom>
      </border>
    </dxf>
    <dxf>
      <fill>
        <patternFill patternType="none">
          <fgColor indexed="64"/>
          <bgColor indexed="65"/>
        </patternFill>
      </fill>
      <border>
        <left style="thin">
          <color rgb="FFFF9933"/>
        </left>
        <right style="thin">
          <color rgb="FFFF9933"/>
        </right>
        <top style="thin">
          <color rgb="FFFF9933"/>
        </top>
        <bottom style="thin">
          <color rgb="FFFF9933"/>
        </bottom>
      </border>
    </dxf>
    <dxf>
      <fill>
        <patternFill patternType="none">
          <fgColor indexed="64"/>
          <bgColor indexed="65"/>
        </patternFill>
      </fill>
      <border>
        <left style="thin">
          <color rgb="FFFF9933"/>
        </left>
        <right style="thin">
          <color rgb="FFFF9933"/>
        </right>
        <top style="thin">
          <color rgb="FFFF9933"/>
        </top>
        <bottom style="thin">
          <color rgb="FFFF9933"/>
        </bottom>
      </border>
    </dxf>
    <dxf>
      <fill>
        <patternFill patternType="none">
          <fgColor indexed="64"/>
          <bgColor indexed="65"/>
        </patternFill>
      </fill>
      <border>
        <left style="thin">
          <color rgb="FFFF9933"/>
        </left>
        <right style="thin">
          <color rgb="FFFF9933"/>
        </right>
        <top style="thin">
          <color rgb="FFFF9933"/>
        </top>
        <bottom style="thin">
          <color rgb="FFFF9933"/>
        </bottom>
      </border>
    </dxf>
    <dxf>
      <fill>
        <patternFill patternType="none">
          <fgColor indexed="64"/>
          <bgColor indexed="65"/>
        </patternFill>
      </fill>
      <border>
        <left style="thin">
          <color rgb="FFFF9933"/>
        </left>
        <right style="thin">
          <color rgb="FFFF9933"/>
        </right>
        <top style="thin">
          <color rgb="FFFF9933"/>
        </top>
        <bottom style="thin">
          <color rgb="FFFF9933"/>
        </bottom>
      </border>
    </dxf>
    <dxf>
      <fill>
        <patternFill patternType="none">
          <fgColor indexed="64"/>
          <bgColor indexed="65"/>
        </patternFill>
      </fill>
      <border>
        <left style="thin">
          <color rgb="FFFF9933"/>
        </left>
        <right style="thin">
          <color rgb="FFFF9933"/>
        </right>
        <top style="thin">
          <color rgb="FFFF9933"/>
        </top>
        <bottom style="thin">
          <color rgb="FFFF9933"/>
        </bottom>
      </border>
    </dxf>
    <dxf>
      <font>
        <b/>
        <i/>
        <condense val="0"/>
        <extend val="0"/>
        <color indexed="9"/>
      </font>
      <fill>
        <patternFill>
          <bgColor indexed="10"/>
        </patternFill>
      </fill>
    </dxf>
    <dxf>
      <font>
        <condense val="0"/>
        <extend val="0"/>
        <color indexed="9"/>
      </font>
      <fill>
        <patternFill>
          <bgColor indexed="10"/>
        </patternFill>
      </fill>
    </dxf>
    <dxf>
      <fill>
        <patternFill patternType="none">
          <fgColor indexed="64"/>
          <bgColor indexed="65"/>
        </patternFill>
      </fill>
      <border>
        <left style="thin">
          <color rgb="FFFF9933"/>
        </left>
        <right style="thin">
          <color rgb="FFFF9933"/>
        </right>
        <top style="thin">
          <color rgb="FFFF9933"/>
        </top>
        <bottom style="thin">
          <color rgb="FFFF9933"/>
        </bottom>
      </border>
    </dxf>
    <dxf>
      <fill>
        <patternFill patternType="none">
          <fgColor indexed="64"/>
          <bgColor indexed="65"/>
        </patternFill>
      </fill>
      <border>
        <left style="thin">
          <color rgb="FFFF9933"/>
        </left>
        <right style="thin">
          <color rgb="FFFF9933"/>
        </right>
        <top style="thin">
          <color rgb="FFFF9933"/>
        </top>
        <bottom style="thin">
          <color rgb="FFFF9933"/>
        </bottom>
      </border>
    </dxf>
    <dxf>
      <fill>
        <patternFill patternType="none">
          <fgColor indexed="64"/>
          <bgColor indexed="65"/>
        </patternFill>
      </fill>
      <border>
        <left style="thin">
          <color rgb="FFFF9933"/>
        </left>
        <right style="thin">
          <color rgb="FFFF9933"/>
        </right>
        <top style="thin">
          <color rgb="FFFF9933"/>
        </top>
        <bottom style="thin">
          <color rgb="FFFF9933"/>
        </bottom>
      </border>
    </dxf>
    <dxf>
      <fill>
        <patternFill patternType="none">
          <fgColor indexed="64"/>
          <bgColor indexed="65"/>
        </patternFill>
      </fill>
      <border>
        <left style="thin">
          <color rgb="FFFF9933"/>
        </left>
        <right style="thin">
          <color rgb="FFFF9933"/>
        </right>
        <top style="thin">
          <color rgb="FFFF9933"/>
        </top>
        <bottom style="thin">
          <color rgb="FFFF9933"/>
        </bottom>
      </border>
    </dxf>
    <dxf>
      <fill>
        <patternFill patternType="none">
          <fgColor indexed="64"/>
          <bgColor indexed="65"/>
        </patternFill>
      </fill>
      <border>
        <left style="thin">
          <color rgb="FFFF9933"/>
        </left>
        <right style="thin">
          <color rgb="FFFF9933"/>
        </right>
        <top style="thin">
          <color rgb="FFFF9933"/>
        </top>
        <bottom style="thin">
          <color rgb="FFFF9933"/>
        </bottom>
      </border>
    </dxf>
    <dxf>
      <fill>
        <patternFill patternType="none">
          <fgColor indexed="64"/>
          <bgColor indexed="65"/>
        </patternFill>
      </fill>
      <border>
        <left style="thin">
          <color rgb="FFFF9933"/>
        </left>
        <right style="thin">
          <color rgb="FFFF9933"/>
        </right>
        <top style="thin">
          <color rgb="FFFF9933"/>
        </top>
        <bottom style="thin">
          <color rgb="FFFF9933"/>
        </bottom>
      </border>
    </dxf>
    <dxf>
      <font>
        <b/>
        <i/>
        <condense val="0"/>
        <extend val="0"/>
        <color indexed="9"/>
      </font>
      <fill>
        <patternFill>
          <bgColor indexed="10"/>
        </patternFill>
      </fill>
    </dxf>
    <dxf>
      <font>
        <condense val="0"/>
        <extend val="0"/>
        <color indexed="9"/>
      </font>
      <fill>
        <patternFill>
          <bgColor indexed="10"/>
        </patternFill>
      </fill>
    </dxf>
    <dxf>
      <font>
        <b/>
        <i/>
        <condense val="0"/>
        <extend val="0"/>
        <color indexed="9"/>
      </font>
      <fill>
        <patternFill>
          <bgColor indexed="10"/>
        </patternFill>
      </fill>
    </dxf>
    <dxf>
      <fill>
        <patternFill patternType="none">
          <fgColor indexed="64"/>
          <bgColor indexed="65"/>
        </patternFill>
      </fill>
      <border>
        <left style="thin">
          <color rgb="FFFF9933"/>
        </left>
        <right style="thin">
          <color rgb="FFFF9933"/>
        </right>
        <top style="thin">
          <color rgb="FFFF9933"/>
        </top>
        <bottom style="thin">
          <color rgb="FFFF9933"/>
        </bottom>
      </border>
    </dxf>
    <dxf>
      <font>
        <b/>
        <i/>
        <condense val="0"/>
        <extend val="0"/>
        <color indexed="9"/>
      </font>
      <fill>
        <patternFill>
          <bgColor indexed="10"/>
        </patternFill>
      </fill>
    </dxf>
    <dxf>
      <fill>
        <patternFill patternType="none">
          <fgColor indexed="64"/>
          <bgColor indexed="65"/>
        </patternFill>
      </fill>
      <border>
        <left style="thin">
          <color rgb="FFFF9933"/>
        </left>
        <right style="thin">
          <color rgb="FFFF9933"/>
        </right>
        <top style="thin">
          <color rgb="FFFF9933"/>
        </top>
        <bottom style="thin">
          <color rgb="FFFF9933"/>
        </bottom>
      </border>
    </dxf>
    <dxf>
      <fill>
        <patternFill patternType="none">
          <fgColor indexed="64"/>
          <bgColor indexed="65"/>
        </patternFill>
      </fill>
      <border>
        <left style="thin">
          <color rgb="FFFF9933"/>
        </left>
        <right style="thin">
          <color rgb="FFFF9933"/>
        </right>
        <top style="thin">
          <color rgb="FFFF9933"/>
        </top>
        <bottom style="thin">
          <color rgb="FFFF9933"/>
        </bottom>
      </border>
    </dxf>
    <dxf>
      <fill>
        <patternFill patternType="none">
          <fgColor indexed="64"/>
          <bgColor indexed="65"/>
        </patternFill>
      </fill>
      <border>
        <left style="thin">
          <color rgb="FFFF9933"/>
        </left>
        <right style="thin">
          <color rgb="FFFF9933"/>
        </right>
        <top style="thin">
          <color rgb="FFFF9933"/>
        </top>
        <bottom style="thin">
          <color rgb="FFFF9933"/>
        </bottom>
      </border>
    </dxf>
    <dxf>
      <fill>
        <patternFill patternType="none">
          <fgColor indexed="64"/>
          <bgColor indexed="65"/>
        </patternFill>
      </fill>
      <border>
        <left style="thin">
          <color rgb="FFFF9933"/>
        </left>
        <right style="thin">
          <color rgb="FFFF9933"/>
        </right>
        <top style="thin">
          <color rgb="FFFF9933"/>
        </top>
        <bottom style="thin">
          <color rgb="FFFF9933"/>
        </bottom>
      </border>
    </dxf>
    <dxf>
      <fill>
        <patternFill patternType="none">
          <fgColor indexed="64"/>
          <bgColor indexed="65"/>
        </patternFill>
      </fill>
      <border>
        <left style="thin">
          <color rgb="FFFF9933"/>
        </left>
        <right style="thin">
          <color rgb="FFFF9933"/>
        </right>
        <top style="thin">
          <color rgb="FFFF9933"/>
        </top>
        <bottom style="thin">
          <color rgb="FFFF9933"/>
        </bottom>
      </border>
    </dxf>
    <dxf>
      <fill>
        <patternFill patternType="none">
          <fgColor indexed="64"/>
          <bgColor indexed="65"/>
        </patternFill>
      </fill>
      <border>
        <left style="thin">
          <color rgb="FFFF9933"/>
        </left>
        <right style="thin">
          <color rgb="FFFF9933"/>
        </right>
        <top style="thin">
          <color rgb="FFFF9933"/>
        </top>
        <bottom style="thin">
          <color rgb="FFFF9933"/>
        </bottom>
      </border>
    </dxf>
    <dxf>
      <font>
        <condense val="0"/>
        <extend val="0"/>
        <color indexed="9"/>
      </font>
      <fill>
        <patternFill>
          <bgColor indexed="10"/>
        </patternFill>
      </fill>
    </dxf>
    <dxf>
      <fill>
        <patternFill patternType="none">
          <fgColor indexed="64"/>
          <bgColor indexed="65"/>
        </patternFill>
      </fill>
      <border>
        <left style="thin">
          <color rgb="FFFF9933"/>
        </left>
        <right style="thin">
          <color rgb="FFFF9933"/>
        </right>
        <top style="thin">
          <color rgb="FFFF9933"/>
        </top>
        <bottom style="thin">
          <color rgb="FFFF9933"/>
        </bottom>
      </border>
    </dxf>
    <dxf>
      <fill>
        <patternFill patternType="none">
          <fgColor indexed="64"/>
          <bgColor indexed="65"/>
        </patternFill>
      </fill>
      <border>
        <left style="thin">
          <color rgb="FFFF9933"/>
        </left>
        <right style="thin">
          <color rgb="FFFF9933"/>
        </right>
        <top style="thin">
          <color rgb="FFFF9933"/>
        </top>
        <bottom style="thin">
          <color rgb="FFFF9933"/>
        </bottom>
      </border>
    </dxf>
    <dxf>
      <fill>
        <patternFill patternType="none">
          <fgColor indexed="64"/>
          <bgColor indexed="65"/>
        </patternFill>
      </fill>
      <border>
        <left style="thin">
          <color rgb="FFFF9933"/>
        </left>
        <right style="thin">
          <color rgb="FFFF9933"/>
        </right>
        <top style="thin">
          <color rgb="FFFF9933"/>
        </top>
        <bottom style="thin">
          <color rgb="FFFF9933"/>
        </bottom>
      </border>
    </dxf>
    <dxf>
      <fill>
        <patternFill patternType="none">
          <fgColor indexed="64"/>
          <bgColor indexed="65"/>
        </patternFill>
      </fill>
      <border>
        <left style="thin">
          <color rgb="FFFF9933"/>
        </left>
        <right style="thin">
          <color rgb="FFFF9933"/>
        </right>
        <top style="thin">
          <color rgb="FFFF9933"/>
        </top>
        <bottom style="thin">
          <color rgb="FFFF9933"/>
        </bottom>
      </border>
    </dxf>
    <dxf>
      <fill>
        <patternFill patternType="none">
          <fgColor indexed="64"/>
          <bgColor indexed="65"/>
        </patternFill>
      </fill>
      <border>
        <left style="thin">
          <color rgb="FFFF9933"/>
        </left>
        <right style="thin">
          <color rgb="FFFF9933"/>
        </right>
        <top style="thin">
          <color rgb="FFFF9933"/>
        </top>
        <bottom style="thin">
          <color rgb="FFFF9933"/>
        </bottom>
      </border>
    </dxf>
    <dxf>
      <fill>
        <patternFill patternType="none">
          <fgColor indexed="64"/>
          <bgColor indexed="65"/>
        </patternFill>
      </fill>
      <border>
        <left style="thin">
          <color rgb="FFFF9933"/>
        </left>
        <right style="thin">
          <color rgb="FFFF9933"/>
        </right>
        <top style="thin">
          <color rgb="FFFF9933"/>
        </top>
        <bottom style="thin">
          <color rgb="FFFF9933"/>
        </bottom>
      </border>
    </dxf>
    <dxf>
      <font>
        <b/>
        <i/>
        <condense val="0"/>
        <extend val="0"/>
        <color indexed="9"/>
      </font>
      <fill>
        <patternFill>
          <bgColor indexed="10"/>
        </patternFill>
      </fill>
    </dxf>
    <dxf>
      <font>
        <condense val="0"/>
        <extend val="0"/>
        <color indexed="9"/>
      </font>
      <fill>
        <patternFill>
          <bgColor indexed="10"/>
        </patternFill>
      </fill>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s>
  <tableStyles count="0" defaultTableStyle="TableStyleMedium9" defaultPivotStyle="PivotStyleMedium4"/>
  <colors>
    <indexedColors>
      <rgbColor rgb="00000000"/>
      <rgbColor rgb="00FFFFFF"/>
      <rgbColor rgb="00DD0806"/>
      <rgbColor rgb="001FB714"/>
      <rgbColor rgb="000000D4"/>
      <rgbColor rgb="00FCF305"/>
      <rgbColor rgb="00F20884"/>
      <rgbColor rgb="0000ABEA"/>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B7B085"/>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20" Type="http://schemas.openxmlformats.org/officeDocument/2006/relationships/sharedStrings" Target="sharedStrings.xml"/><Relationship Id="rId21" Type="http://schemas.openxmlformats.org/officeDocument/2006/relationships/calcChain" Target="calcChain.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externalLink" Target="externalLinks/externalLink1.xml"/><Relationship Id="rId16" Type="http://schemas.openxmlformats.org/officeDocument/2006/relationships/externalLink" Target="externalLinks/externalLink2.xml"/><Relationship Id="rId17" Type="http://schemas.openxmlformats.org/officeDocument/2006/relationships/externalLink" Target="externalLinks/externalLink3.xml"/><Relationship Id="rId18" Type="http://schemas.openxmlformats.org/officeDocument/2006/relationships/theme" Target="theme/theme1.xml"/><Relationship Id="rId19" Type="http://schemas.openxmlformats.org/officeDocument/2006/relationships/styles" Target="styles.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png"/><Relationship Id="rId6" Type="http://schemas.openxmlformats.org/officeDocument/2006/relationships/image" Target="../media/image6.png"/><Relationship Id="rId7" Type="http://schemas.openxmlformats.org/officeDocument/2006/relationships/image" Target="../media/image7.png"/><Relationship Id="rId8" Type="http://schemas.openxmlformats.org/officeDocument/2006/relationships/image" Target="../media/image8.png"/><Relationship Id="rId9" Type="http://schemas.openxmlformats.org/officeDocument/2006/relationships/image" Target="../media/image9.png"/><Relationship Id="rId1" Type="http://schemas.openxmlformats.org/officeDocument/2006/relationships/image" Target="../media/image1.png"/><Relationship Id="rId2"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0</xdr:col>
      <xdr:colOff>330200</xdr:colOff>
      <xdr:row>3</xdr:row>
      <xdr:rowOff>101600</xdr:rowOff>
    </xdr:from>
    <xdr:to>
      <xdr:col>0</xdr:col>
      <xdr:colOff>3200400</xdr:colOff>
      <xdr:row>14</xdr:row>
      <xdr:rowOff>87719</xdr:rowOff>
    </xdr:to>
    <xdr:pic>
      <xdr:nvPicPr>
        <xdr:cNvPr id="2" name="Afbeelding 1"/>
        <xdr:cNvPicPr>
          <a:picLocks noChangeAspect="1"/>
        </xdr:cNvPicPr>
      </xdr:nvPicPr>
      <xdr:blipFill>
        <a:blip xmlns:r="http://schemas.openxmlformats.org/officeDocument/2006/relationships" r:embed="rId1"/>
        <a:stretch>
          <a:fillRect/>
        </a:stretch>
      </xdr:blipFill>
      <xdr:spPr>
        <a:xfrm>
          <a:off x="330200" y="596900"/>
          <a:ext cx="2870200" cy="1802219"/>
        </a:xfrm>
        <a:prstGeom prst="rect">
          <a:avLst/>
        </a:prstGeom>
        <a:ln>
          <a:solidFill>
            <a:schemeClr val="bg1">
              <a:lumMod val="50000"/>
            </a:schemeClr>
          </a:solidFill>
        </a:ln>
      </xdr:spPr>
    </xdr:pic>
    <xdr:clientData/>
  </xdr:twoCellAnchor>
  <xdr:twoCellAnchor editAs="oneCell">
    <xdr:from>
      <xdr:col>0</xdr:col>
      <xdr:colOff>647700</xdr:colOff>
      <xdr:row>77</xdr:row>
      <xdr:rowOff>12700</xdr:rowOff>
    </xdr:from>
    <xdr:to>
      <xdr:col>0</xdr:col>
      <xdr:colOff>2930266</xdr:colOff>
      <xdr:row>92</xdr:row>
      <xdr:rowOff>63500</xdr:rowOff>
    </xdr:to>
    <xdr:pic>
      <xdr:nvPicPr>
        <xdr:cNvPr id="11" name="Afbeelding 10"/>
        <xdr:cNvPicPr>
          <a:picLocks noChangeAspect="1"/>
        </xdr:cNvPicPr>
      </xdr:nvPicPr>
      <xdr:blipFill>
        <a:blip xmlns:r="http://schemas.openxmlformats.org/officeDocument/2006/relationships" r:embed="rId2"/>
        <a:stretch>
          <a:fillRect/>
        </a:stretch>
      </xdr:blipFill>
      <xdr:spPr>
        <a:xfrm>
          <a:off x="647700" y="12725400"/>
          <a:ext cx="2282566" cy="2527300"/>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xdr:spPr>
    </xdr:pic>
    <xdr:clientData/>
  </xdr:twoCellAnchor>
  <xdr:twoCellAnchor editAs="oneCell">
    <xdr:from>
      <xdr:col>0</xdr:col>
      <xdr:colOff>406400</xdr:colOff>
      <xdr:row>97</xdr:row>
      <xdr:rowOff>38100</xdr:rowOff>
    </xdr:from>
    <xdr:to>
      <xdr:col>0</xdr:col>
      <xdr:colOff>2819400</xdr:colOff>
      <xdr:row>108</xdr:row>
      <xdr:rowOff>141899</xdr:rowOff>
    </xdr:to>
    <xdr:pic>
      <xdr:nvPicPr>
        <xdr:cNvPr id="12" name="Afbeelding 11"/>
        <xdr:cNvPicPr>
          <a:picLocks noChangeAspect="1"/>
        </xdr:cNvPicPr>
      </xdr:nvPicPr>
      <xdr:blipFill>
        <a:blip xmlns:r="http://schemas.openxmlformats.org/officeDocument/2006/relationships" r:embed="rId3"/>
        <a:stretch>
          <a:fillRect/>
        </a:stretch>
      </xdr:blipFill>
      <xdr:spPr>
        <a:xfrm>
          <a:off x="406400" y="16052800"/>
          <a:ext cx="2413000" cy="1919899"/>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xdr:spPr>
    </xdr:pic>
    <xdr:clientData/>
  </xdr:twoCellAnchor>
  <xdr:twoCellAnchor editAs="oneCell">
    <xdr:from>
      <xdr:col>0</xdr:col>
      <xdr:colOff>190500</xdr:colOff>
      <xdr:row>112</xdr:row>
      <xdr:rowOff>76200</xdr:rowOff>
    </xdr:from>
    <xdr:to>
      <xdr:col>0</xdr:col>
      <xdr:colOff>3263900</xdr:colOff>
      <xdr:row>120</xdr:row>
      <xdr:rowOff>47362</xdr:rowOff>
    </xdr:to>
    <xdr:pic>
      <xdr:nvPicPr>
        <xdr:cNvPr id="14" name="Afbeelding 13"/>
        <xdr:cNvPicPr>
          <a:picLocks noChangeAspect="1"/>
        </xdr:cNvPicPr>
      </xdr:nvPicPr>
      <xdr:blipFill>
        <a:blip xmlns:r="http://schemas.openxmlformats.org/officeDocument/2006/relationships" r:embed="rId4"/>
        <a:stretch>
          <a:fillRect/>
        </a:stretch>
      </xdr:blipFill>
      <xdr:spPr>
        <a:xfrm>
          <a:off x="190500" y="18567400"/>
          <a:ext cx="3073400" cy="1291962"/>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xdr:spPr>
    </xdr:pic>
    <xdr:clientData/>
  </xdr:twoCellAnchor>
  <xdr:twoCellAnchor editAs="oneCell">
    <xdr:from>
      <xdr:col>0</xdr:col>
      <xdr:colOff>139700</xdr:colOff>
      <xdr:row>19</xdr:row>
      <xdr:rowOff>63501</xdr:rowOff>
    </xdr:from>
    <xdr:to>
      <xdr:col>0</xdr:col>
      <xdr:colOff>3568700</xdr:colOff>
      <xdr:row>29</xdr:row>
      <xdr:rowOff>35279</xdr:rowOff>
    </xdr:to>
    <xdr:pic>
      <xdr:nvPicPr>
        <xdr:cNvPr id="15" name="Afbeelding 14"/>
        <xdr:cNvPicPr>
          <a:picLocks noChangeAspect="1"/>
        </xdr:cNvPicPr>
      </xdr:nvPicPr>
      <xdr:blipFill>
        <a:blip xmlns:r="http://schemas.openxmlformats.org/officeDocument/2006/relationships" r:embed="rId5"/>
        <a:stretch>
          <a:fillRect/>
        </a:stretch>
      </xdr:blipFill>
      <xdr:spPr>
        <a:xfrm>
          <a:off x="139700" y="3200401"/>
          <a:ext cx="3429000" cy="1622778"/>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xdr:spPr>
    </xdr:pic>
    <xdr:clientData/>
  </xdr:twoCellAnchor>
  <xdr:twoCellAnchor editAs="oneCell">
    <xdr:from>
      <xdr:col>0</xdr:col>
      <xdr:colOff>241300</xdr:colOff>
      <xdr:row>33</xdr:row>
      <xdr:rowOff>114300</xdr:rowOff>
    </xdr:from>
    <xdr:to>
      <xdr:col>0</xdr:col>
      <xdr:colOff>3251200</xdr:colOff>
      <xdr:row>41</xdr:row>
      <xdr:rowOff>130849</xdr:rowOff>
    </xdr:to>
    <xdr:pic>
      <xdr:nvPicPr>
        <xdr:cNvPr id="16" name="Afbeelding 15"/>
        <xdr:cNvPicPr>
          <a:picLocks noChangeAspect="1"/>
        </xdr:cNvPicPr>
      </xdr:nvPicPr>
      <xdr:blipFill>
        <a:blip xmlns:r="http://schemas.openxmlformats.org/officeDocument/2006/relationships" r:embed="rId6"/>
        <a:stretch>
          <a:fillRect/>
        </a:stretch>
      </xdr:blipFill>
      <xdr:spPr>
        <a:xfrm>
          <a:off x="241300" y="5562600"/>
          <a:ext cx="3009900" cy="1337349"/>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xdr:spPr>
    </xdr:pic>
    <xdr:clientData/>
  </xdr:twoCellAnchor>
  <xdr:twoCellAnchor editAs="oneCell">
    <xdr:from>
      <xdr:col>0</xdr:col>
      <xdr:colOff>965200</xdr:colOff>
      <xdr:row>48</xdr:row>
      <xdr:rowOff>12700</xdr:rowOff>
    </xdr:from>
    <xdr:to>
      <xdr:col>0</xdr:col>
      <xdr:colOff>2501900</xdr:colOff>
      <xdr:row>58</xdr:row>
      <xdr:rowOff>57425</xdr:rowOff>
    </xdr:to>
    <xdr:pic>
      <xdr:nvPicPr>
        <xdr:cNvPr id="17" name="Afbeelding 16"/>
        <xdr:cNvPicPr>
          <a:picLocks noChangeAspect="1"/>
        </xdr:cNvPicPr>
      </xdr:nvPicPr>
      <xdr:blipFill>
        <a:blip xmlns:r="http://schemas.openxmlformats.org/officeDocument/2006/relationships" r:embed="rId7"/>
        <a:stretch>
          <a:fillRect/>
        </a:stretch>
      </xdr:blipFill>
      <xdr:spPr>
        <a:xfrm>
          <a:off x="965200" y="7937500"/>
          <a:ext cx="1536700" cy="1695725"/>
        </a:xfrm>
        <a:prstGeom prst="round2DiagRect">
          <a:avLst>
            <a:gd name="adj1" fmla="val 16667"/>
            <a:gd name="adj2" fmla="val 8645"/>
          </a:avLst>
        </a:prstGeom>
        <a:ln w="88900" cap="sq">
          <a:solidFill>
            <a:srgbClr val="FFFFFF"/>
          </a:solidFill>
          <a:miter lim="800000"/>
        </a:ln>
        <a:effectLst>
          <a:outerShdw blurRad="254000" algn="tl" rotWithShape="0">
            <a:srgbClr val="000000">
              <a:alpha val="43000"/>
            </a:srgbClr>
          </a:outerShdw>
        </a:effectLst>
      </xdr:spPr>
    </xdr:pic>
    <xdr:clientData/>
  </xdr:twoCellAnchor>
  <xdr:twoCellAnchor editAs="oneCell">
    <xdr:from>
      <xdr:col>0</xdr:col>
      <xdr:colOff>457200</xdr:colOff>
      <xdr:row>63</xdr:row>
      <xdr:rowOff>39809</xdr:rowOff>
    </xdr:from>
    <xdr:to>
      <xdr:col>0</xdr:col>
      <xdr:colOff>3314700</xdr:colOff>
      <xdr:row>71</xdr:row>
      <xdr:rowOff>42375</xdr:rowOff>
    </xdr:to>
    <xdr:pic>
      <xdr:nvPicPr>
        <xdr:cNvPr id="18" name="Afbeelding 17"/>
        <xdr:cNvPicPr>
          <a:picLocks noChangeAspect="1"/>
        </xdr:cNvPicPr>
      </xdr:nvPicPr>
      <xdr:blipFill>
        <a:blip xmlns:r="http://schemas.openxmlformats.org/officeDocument/2006/relationships" r:embed="rId8"/>
        <a:stretch>
          <a:fillRect/>
        </a:stretch>
      </xdr:blipFill>
      <xdr:spPr>
        <a:xfrm>
          <a:off x="457200" y="10441109"/>
          <a:ext cx="2857500" cy="1323366"/>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xdr:spPr>
    </xdr:pic>
    <xdr:clientData/>
  </xdr:twoCellAnchor>
  <xdr:twoCellAnchor editAs="oneCell">
    <xdr:from>
      <xdr:col>0</xdr:col>
      <xdr:colOff>431801</xdr:colOff>
      <xdr:row>127</xdr:row>
      <xdr:rowOff>63500</xdr:rowOff>
    </xdr:from>
    <xdr:to>
      <xdr:col>0</xdr:col>
      <xdr:colOff>2476500</xdr:colOff>
      <xdr:row>138</xdr:row>
      <xdr:rowOff>38682</xdr:rowOff>
    </xdr:to>
    <xdr:pic>
      <xdr:nvPicPr>
        <xdr:cNvPr id="19" name="Afbeelding 18"/>
        <xdr:cNvPicPr>
          <a:picLocks noChangeAspect="1"/>
        </xdr:cNvPicPr>
      </xdr:nvPicPr>
      <xdr:blipFill>
        <a:blip xmlns:r="http://schemas.openxmlformats.org/officeDocument/2006/relationships" r:embed="rId9"/>
        <a:stretch>
          <a:fillRect/>
        </a:stretch>
      </xdr:blipFill>
      <xdr:spPr>
        <a:xfrm>
          <a:off x="431801" y="21031200"/>
          <a:ext cx="2044699" cy="1791282"/>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0</xdr:colOff>
      <xdr:row>10</xdr:row>
      <xdr:rowOff>0</xdr:rowOff>
    </xdr:from>
    <xdr:to>
      <xdr:col>47</xdr:col>
      <xdr:colOff>12700</xdr:colOff>
      <xdr:row>11</xdr:row>
      <xdr:rowOff>0</xdr:rowOff>
    </xdr:to>
    <xdr:sp macro="" textlink="">
      <xdr:nvSpPr>
        <xdr:cNvPr id="16329" name="Rectangle 2"/>
        <xdr:cNvSpPr>
          <a:spLocks noChangeArrowheads="1"/>
        </xdr:cNvSpPr>
      </xdr:nvSpPr>
      <xdr:spPr bwMode="auto">
        <a:xfrm>
          <a:off x="8991600" y="1841500"/>
          <a:ext cx="19469100" cy="3238500"/>
        </a:xfrm>
        <a:prstGeom prst="rect">
          <a:avLst/>
        </a:prstGeom>
        <a:noFill/>
        <a:ln w="9525">
          <a:solidFill>
            <a:srgbClr val="FF9933"/>
          </a:solidFill>
          <a:round/>
          <a:headEnd/>
          <a:tailEnd/>
        </a:ln>
        <a:extLst>
          <a:ext uri="{909E8E84-426E-40dd-AFC4-6F175D3DCCD1}">
            <a14:hiddenFill xmlns:a14="http://schemas.microsoft.com/office/drawing/2010/main">
              <a:solidFill>
                <a:srgbClr val="FFFFFF"/>
              </a:solidFill>
            </a14:hiddenFill>
          </a:ext>
        </a:extLst>
      </xdr:spPr>
      <xdr:txBody>
        <a:bodyPr rtlCol="0"/>
        <a:lstStyle/>
        <a:p>
          <a:pPr algn="ctr"/>
          <a:endParaRPr lang="nl-NL"/>
        </a:p>
      </xdr:txBody>
    </xdr:sp>
    <xdr:clientData/>
  </xdr:twoCellAnchor>
  <xdr:twoCellAnchor>
    <xdr:from>
      <xdr:col>2</xdr:col>
      <xdr:colOff>0</xdr:colOff>
      <xdr:row>10</xdr:row>
      <xdr:rowOff>2857500</xdr:rowOff>
    </xdr:from>
    <xdr:to>
      <xdr:col>4</xdr:col>
      <xdr:colOff>635000</xdr:colOff>
      <xdr:row>11</xdr:row>
      <xdr:rowOff>88900</xdr:rowOff>
    </xdr:to>
    <xdr:sp macro="" textlink="">
      <xdr:nvSpPr>
        <xdr:cNvPr id="16330" name="Rounded Rectangle 3"/>
        <xdr:cNvSpPr>
          <a:spLocks noChangeArrowheads="1"/>
        </xdr:cNvSpPr>
      </xdr:nvSpPr>
      <xdr:spPr bwMode="auto">
        <a:xfrm flipV="1">
          <a:off x="203200" y="4699000"/>
          <a:ext cx="8724900" cy="469900"/>
        </a:xfrm>
        <a:prstGeom prst="roundRect">
          <a:avLst>
            <a:gd name="adj" fmla="val 16667"/>
          </a:avLst>
        </a:prstGeom>
        <a:solidFill>
          <a:srgbClr val="DDD9C3">
            <a:alpha val="45097"/>
          </a:srgbClr>
        </a:solidFill>
        <a:ln w="9525">
          <a:solidFill>
            <a:srgbClr val="FF9933"/>
          </a:solidFill>
          <a:round/>
          <a:headEnd/>
          <a:tailEnd/>
        </a:ln>
      </xdr:spPr>
      <xdr:txBody>
        <a:bodyPr rtlCol="0"/>
        <a:lstStyle/>
        <a:p>
          <a:pPr algn="ctr"/>
          <a:endParaRPr lang="nl-NL"/>
        </a:p>
      </xdr:txBody>
    </xdr:sp>
    <xdr:clientData/>
  </xdr:twoCellAnchor>
  <xdr:twoCellAnchor>
    <xdr:from>
      <xdr:col>2</xdr:col>
      <xdr:colOff>0</xdr:colOff>
      <xdr:row>0</xdr:row>
      <xdr:rowOff>114300</xdr:rowOff>
    </xdr:from>
    <xdr:to>
      <xdr:col>14</xdr:col>
      <xdr:colOff>0</xdr:colOff>
      <xdr:row>6</xdr:row>
      <xdr:rowOff>101600</xdr:rowOff>
    </xdr:to>
    <xdr:sp macro="" textlink="">
      <xdr:nvSpPr>
        <xdr:cNvPr id="16331" name="Rounded Rectangle 3"/>
        <xdr:cNvSpPr>
          <a:spLocks noChangeArrowheads="1"/>
        </xdr:cNvSpPr>
      </xdr:nvSpPr>
      <xdr:spPr bwMode="auto">
        <a:xfrm>
          <a:off x="203200" y="114300"/>
          <a:ext cx="13068300" cy="1168400"/>
        </a:xfrm>
        <a:prstGeom prst="roundRect">
          <a:avLst>
            <a:gd name="adj" fmla="val 16667"/>
          </a:avLst>
        </a:prstGeom>
        <a:noFill/>
        <a:ln w="9525">
          <a:solidFill>
            <a:srgbClr val="FF9933"/>
          </a:solidFill>
          <a:round/>
          <a:headEnd/>
          <a:tailEnd/>
        </a:ln>
        <a:extLst>
          <a:ext uri="{909E8E84-426E-40dd-AFC4-6F175D3DCCD1}">
            <a14:hiddenFill xmlns:a14="http://schemas.microsoft.com/office/drawing/2010/main">
              <a:solidFill>
                <a:srgbClr val="FFFFFF"/>
              </a:solidFill>
            </a14:hiddenFill>
          </a:ext>
        </a:extLst>
      </xdr:spPr>
      <xdr:txBody>
        <a:bodyPr rtlCol="0"/>
        <a:lstStyle/>
        <a:p>
          <a:pPr algn="ctr"/>
          <a:endParaRPr lang="nl-NL"/>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8</xdr:row>
      <xdr:rowOff>152400</xdr:rowOff>
    </xdr:from>
    <xdr:to>
      <xdr:col>4</xdr:col>
      <xdr:colOff>1473200</xdr:colOff>
      <xdr:row>10</xdr:row>
      <xdr:rowOff>50800</xdr:rowOff>
    </xdr:to>
    <xdr:sp macro="" textlink="">
      <xdr:nvSpPr>
        <xdr:cNvPr id="10076" name="Rounded Rectangle 3"/>
        <xdr:cNvSpPr>
          <a:spLocks noChangeArrowheads="1"/>
        </xdr:cNvSpPr>
      </xdr:nvSpPr>
      <xdr:spPr bwMode="auto">
        <a:xfrm flipV="1">
          <a:off x="546100" y="1765300"/>
          <a:ext cx="9423400" cy="304800"/>
        </a:xfrm>
        <a:prstGeom prst="roundRect">
          <a:avLst>
            <a:gd name="adj" fmla="val 16667"/>
          </a:avLst>
        </a:prstGeom>
        <a:solidFill>
          <a:srgbClr val="DDD9C3">
            <a:alpha val="45097"/>
          </a:srgbClr>
        </a:solidFill>
        <a:ln w="9525">
          <a:solidFill>
            <a:srgbClr val="FF9933"/>
          </a:solidFill>
          <a:round/>
          <a:headEnd/>
          <a:tailEnd/>
        </a:ln>
      </xdr:spPr>
      <xdr:txBody>
        <a:bodyPr rtlCol="0"/>
        <a:lstStyle/>
        <a:p>
          <a:pPr algn="ctr"/>
          <a:endParaRPr lang="nl-NL"/>
        </a:p>
      </xdr:txBody>
    </xdr:sp>
    <xdr:clientData/>
  </xdr:twoCellAnchor>
  <xdr:twoCellAnchor>
    <xdr:from>
      <xdr:col>0</xdr:col>
      <xdr:colOff>939800</xdr:colOff>
      <xdr:row>1</xdr:row>
      <xdr:rowOff>101600</xdr:rowOff>
    </xdr:from>
    <xdr:to>
      <xdr:col>5</xdr:col>
      <xdr:colOff>0</xdr:colOff>
      <xdr:row>7</xdr:row>
      <xdr:rowOff>88900</xdr:rowOff>
    </xdr:to>
    <xdr:sp macro="" textlink="">
      <xdr:nvSpPr>
        <xdr:cNvPr id="10077" name="Rounded Rectangle 3"/>
        <xdr:cNvSpPr>
          <a:spLocks noChangeArrowheads="1"/>
        </xdr:cNvSpPr>
      </xdr:nvSpPr>
      <xdr:spPr bwMode="auto">
        <a:xfrm>
          <a:off x="546100" y="330200"/>
          <a:ext cx="9436100" cy="1168400"/>
        </a:xfrm>
        <a:prstGeom prst="roundRect">
          <a:avLst>
            <a:gd name="adj" fmla="val 16667"/>
          </a:avLst>
        </a:prstGeom>
        <a:noFill/>
        <a:ln w="9525">
          <a:solidFill>
            <a:srgbClr val="FF9933"/>
          </a:solidFill>
          <a:round/>
          <a:headEnd/>
          <a:tailEnd/>
        </a:ln>
        <a:extLst>
          <a:ext uri="{909E8E84-426E-40dd-AFC4-6F175D3DCCD1}">
            <a14:hiddenFill xmlns:a14="http://schemas.microsoft.com/office/drawing/2010/main">
              <a:solidFill>
                <a:srgbClr val="FFFFFF"/>
              </a:solidFill>
            </a14:hiddenFill>
          </a:ext>
        </a:extLst>
      </xdr:spPr>
      <xdr:txBody>
        <a:bodyPr rtlCol="0"/>
        <a:lstStyle/>
        <a:p>
          <a:pPr algn="ctr"/>
          <a:endParaRPr lang="nl-NL"/>
        </a:p>
      </xdr:txBody>
    </xdr:sp>
    <xdr:clientData/>
  </xdr:twoCellAnchor>
  <xdr:twoCellAnchor>
    <xdr:from>
      <xdr:col>1</xdr:col>
      <xdr:colOff>0</xdr:colOff>
      <xdr:row>91</xdr:row>
      <xdr:rowOff>152400</xdr:rowOff>
    </xdr:from>
    <xdr:to>
      <xdr:col>1</xdr:col>
      <xdr:colOff>3596640</xdr:colOff>
      <xdr:row>93</xdr:row>
      <xdr:rowOff>50800</xdr:rowOff>
    </xdr:to>
    <xdr:sp macro="" textlink="">
      <xdr:nvSpPr>
        <xdr:cNvPr id="10078" name="Rounded Rectangle 3"/>
        <xdr:cNvSpPr>
          <a:spLocks noChangeArrowheads="1"/>
        </xdr:cNvSpPr>
      </xdr:nvSpPr>
      <xdr:spPr bwMode="auto">
        <a:xfrm flipV="1">
          <a:off x="548640" y="15697200"/>
          <a:ext cx="3596640" cy="223520"/>
        </a:xfrm>
        <a:prstGeom prst="roundRect">
          <a:avLst>
            <a:gd name="adj" fmla="val 16667"/>
          </a:avLst>
        </a:prstGeom>
        <a:solidFill>
          <a:srgbClr val="DDD9C3">
            <a:alpha val="45097"/>
          </a:srgbClr>
        </a:solidFill>
        <a:ln w="9525">
          <a:solidFill>
            <a:srgbClr val="FF9933"/>
          </a:solidFill>
          <a:round/>
          <a:headEnd/>
          <a:tailEnd/>
        </a:ln>
      </xdr:spPr>
      <xdr:txBody>
        <a:bodyPr rtlCol="0"/>
        <a:lstStyle/>
        <a:p>
          <a:pPr algn="ctr"/>
          <a:endParaRPr lang="nl-NL"/>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939800</xdr:colOff>
      <xdr:row>2</xdr:row>
      <xdr:rowOff>127000</xdr:rowOff>
    </xdr:from>
    <xdr:to>
      <xdr:col>5</xdr:col>
      <xdr:colOff>1308100</xdr:colOff>
      <xdr:row>8</xdr:row>
      <xdr:rowOff>127000</xdr:rowOff>
    </xdr:to>
    <xdr:sp macro="" textlink="">
      <xdr:nvSpPr>
        <xdr:cNvPr id="25917" name="Rounded Rectangle 3"/>
        <xdr:cNvSpPr>
          <a:spLocks noChangeArrowheads="1"/>
        </xdr:cNvSpPr>
      </xdr:nvSpPr>
      <xdr:spPr bwMode="auto">
        <a:xfrm>
          <a:off x="444500" y="812800"/>
          <a:ext cx="9436100" cy="1168400"/>
        </a:xfrm>
        <a:prstGeom prst="roundRect">
          <a:avLst>
            <a:gd name="adj" fmla="val 16667"/>
          </a:avLst>
        </a:prstGeom>
        <a:noFill/>
        <a:ln w="9525">
          <a:solidFill>
            <a:srgbClr val="FF9933"/>
          </a:solidFill>
          <a:round/>
          <a:headEnd/>
          <a:tailEnd/>
        </a:ln>
        <a:extLst>
          <a:ext uri="{909E8E84-426E-40dd-AFC4-6F175D3DCCD1}">
            <a14:hiddenFill xmlns:a14="http://schemas.microsoft.com/office/drawing/2010/main">
              <a:solidFill>
                <a:srgbClr val="FFFFFF"/>
              </a:solidFill>
            </a14:hiddenFill>
          </a:ext>
        </a:extLst>
      </xdr:spPr>
      <xdr:txBody>
        <a:bodyPr rtlCol="0"/>
        <a:lstStyle/>
        <a:p>
          <a:pPr algn="ctr"/>
          <a:endParaRPr lang="nl-NL"/>
        </a:p>
      </xdr:txBody>
    </xdr:sp>
    <xdr:clientData/>
  </xdr:twoCellAnchor>
  <xdr:twoCellAnchor>
    <xdr:from>
      <xdr:col>1</xdr:col>
      <xdr:colOff>0</xdr:colOff>
      <xdr:row>12</xdr:row>
      <xdr:rowOff>0</xdr:rowOff>
    </xdr:from>
    <xdr:to>
      <xdr:col>8</xdr:col>
      <xdr:colOff>0</xdr:colOff>
      <xdr:row>13</xdr:row>
      <xdr:rowOff>25400</xdr:rowOff>
    </xdr:to>
    <xdr:sp macro="" textlink="">
      <xdr:nvSpPr>
        <xdr:cNvPr id="25918" name="Rounded Rectangle 3"/>
        <xdr:cNvSpPr>
          <a:spLocks noChangeArrowheads="1"/>
        </xdr:cNvSpPr>
      </xdr:nvSpPr>
      <xdr:spPr bwMode="auto">
        <a:xfrm flipV="1">
          <a:off x="444500" y="2628900"/>
          <a:ext cx="12433300" cy="254000"/>
        </a:xfrm>
        <a:prstGeom prst="roundRect">
          <a:avLst>
            <a:gd name="adj" fmla="val 16667"/>
          </a:avLst>
        </a:prstGeom>
        <a:solidFill>
          <a:srgbClr val="DDD9C3">
            <a:alpha val="45097"/>
          </a:srgbClr>
        </a:solidFill>
        <a:ln w="9525">
          <a:solidFill>
            <a:srgbClr val="FF9933"/>
          </a:solidFill>
          <a:round/>
          <a:headEnd/>
          <a:tailEnd/>
        </a:ln>
      </xdr:spPr>
      <xdr:txBody>
        <a:bodyPr rtlCol="0"/>
        <a:lstStyle/>
        <a:p>
          <a:pPr algn="ctr"/>
          <a:endParaRPr lang="nl-NL"/>
        </a:p>
      </xdr:txBody>
    </xdr:sp>
    <xdr:clientData/>
  </xdr:twoCellAnchor>
  <xdr:twoCellAnchor>
    <xdr:from>
      <xdr:col>0</xdr:col>
      <xdr:colOff>419100</xdr:colOff>
      <xdr:row>44</xdr:row>
      <xdr:rowOff>88900</xdr:rowOff>
    </xdr:from>
    <xdr:to>
      <xdr:col>8</xdr:col>
      <xdr:colOff>0</xdr:colOff>
      <xdr:row>44</xdr:row>
      <xdr:rowOff>342900</xdr:rowOff>
    </xdr:to>
    <xdr:sp macro="" textlink="">
      <xdr:nvSpPr>
        <xdr:cNvPr id="25919" name="Rounded Rectangle 3"/>
        <xdr:cNvSpPr>
          <a:spLocks noChangeArrowheads="1"/>
        </xdr:cNvSpPr>
      </xdr:nvSpPr>
      <xdr:spPr bwMode="auto">
        <a:xfrm flipV="1">
          <a:off x="419100" y="8064500"/>
          <a:ext cx="12458700" cy="254000"/>
        </a:xfrm>
        <a:prstGeom prst="roundRect">
          <a:avLst>
            <a:gd name="adj" fmla="val 16667"/>
          </a:avLst>
        </a:prstGeom>
        <a:solidFill>
          <a:srgbClr val="DDD9C3">
            <a:alpha val="45097"/>
          </a:srgbClr>
        </a:solidFill>
        <a:ln w="9525">
          <a:solidFill>
            <a:srgbClr val="FF9933"/>
          </a:solidFill>
          <a:round/>
          <a:headEnd/>
          <a:tailEnd/>
        </a:ln>
      </xdr:spPr>
      <xdr:txBody>
        <a:bodyPr rtlCol="0"/>
        <a:lstStyle/>
        <a:p>
          <a:pPr algn="ctr"/>
          <a:endParaRPr lang="nl-NL"/>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939800</xdr:colOff>
      <xdr:row>2</xdr:row>
      <xdr:rowOff>127000</xdr:rowOff>
    </xdr:from>
    <xdr:to>
      <xdr:col>6</xdr:col>
      <xdr:colOff>1308100</xdr:colOff>
      <xdr:row>8</xdr:row>
      <xdr:rowOff>127000</xdr:rowOff>
    </xdr:to>
    <xdr:sp macro="" textlink="">
      <xdr:nvSpPr>
        <xdr:cNvPr id="21350" name="Rounded Rectangle 3"/>
        <xdr:cNvSpPr>
          <a:spLocks noChangeArrowheads="1"/>
        </xdr:cNvSpPr>
      </xdr:nvSpPr>
      <xdr:spPr bwMode="auto">
        <a:xfrm>
          <a:off x="444500" y="812800"/>
          <a:ext cx="10439400" cy="1168400"/>
        </a:xfrm>
        <a:prstGeom prst="roundRect">
          <a:avLst>
            <a:gd name="adj" fmla="val 16667"/>
          </a:avLst>
        </a:prstGeom>
        <a:noFill/>
        <a:ln w="9525">
          <a:solidFill>
            <a:srgbClr val="FF9933"/>
          </a:solidFill>
          <a:round/>
          <a:headEnd/>
          <a:tailEnd/>
        </a:ln>
        <a:extLst>
          <a:ext uri="{909E8E84-426E-40dd-AFC4-6F175D3DCCD1}">
            <a14:hiddenFill xmlns:a14="http://schemas.microsoft.com/office/drawing/2010/main">
              <a:solidFill>
                <a:srgbClr val="FFFFFF"/>
              </a:solidFill>
            </a14:hiddenFill>
          </a:ext>
        </a:extLst>
      </xdr:spPr>
      <xdr:txBody>
        <a:bodyPr rtlCol="0"/>
        <a:lstStyle/>
        <a:p>
          <a:pPr algn="ctr"/>
          <a:endParaRPr lang="nl-NL"/>
        </a:p>
      </xdr:txBody>
    </xdr:sp>
    <xdr:clientData/>
  </xdr:twoCellAnchor>
  <xdr:twoCellAnchor>
    <xdr:from>
      <xdr:col>0</xdr:col>
      <xdr:colOff>355600</xdr:colOff>
      <xdr:row>12</xdr:row>
      <xdr:rowOff>203200</xdr:rowOff>
    </xdr:from>
    <xdr:to>
      <xdr:col>26</xdr:col>
      <xdr:colOff>0</xdr:colOff>
      <xdr:row>14</xdr:row>
      <xdr:rowOff>622300</xdr:rowOff>
    </xdr:to>
    <xdr:sp macro="" textlink="">
      <xdr:nvSpPr>
        <xdr:cNvPr id="21351" name="Rounded Rectangle 3"/>
        <xdr:cNvSpPr>
          <a:spLocks noChangeArrowheads="1"/>
        </xdr:cNvSpPr>
      </xdr:nvSpPr>
      <xdr:spPr bwMode="auto">
        <a:xfrm flipV="1">
          <a:off x="355600" y="2832100"/>
          <a:ext cx="25717500" cy="812800"/>
        </a:xfrm>
        <a:prstGeom prst="roundRect">
          <a:avLst>
            <a:gd name="adj" fmla="val 16667"/>
          </a:avLst>
        </a:prstGeom>
        <a:solidFill>
          <a:srgbClr val="DDD9C3">
            <a:alpha val="45097"/>
          </a:srgbClr>
        </a:solidFill>
        <a:ln w="9525">
          <a:solidFill>
            <a:srgbClr val="FF9933"/>
          </a:solidFill>
          <a:round/>
          <a:headEnd/>
          <a:tailEnd/>
        </a:ln>
      </xdr:spPr>
      <xdr:txBody>
        <a:bodyPr rtlCol="0"/>
        <a:lstStyle/>
        <a:p>
          <a:pPr algn="ctr"/>
          <a:endParaRPr lang="nl-NL"/>
        </a:p>
      </xdr:txBody>
    </xdr:sp>
    <xdr:clientData/>
  </xdr:twoCellAnchor>
  <xdr:twoCellAnchor>
    <xdr:from>
      <xdr:col>23</xdr:col>
      <xdr:colOff>711200</xdr:colOff>
      <xdr:row>35</xdr:row>
      <xdr:rowOff>25400</xdr:rowOff>
    </xdr:from>
    <xdr:to>
      <xdr:col>26</xdr:col>
      <xdr:colOff>126555</xdr:colOff>
      <xdr:row>39</xdr:row>
      <xdr:rowOff>25400</xdr:rowOff>
    </xdr:to>
    <xdr:sp macro="" textlink="">
      <xdr:nvSpPr>
        <xdr:cNvPr id="4" name="Rounded Rectangle 3"/>
        <xdr:cNvSpPr>
          <a:spLocks noChangeArrowheads="1"/>
        </xdr:cNvSpPr>
      </xdr:nvSpPr>
      <xdr:spPr bwMode="auto">
        <a:xfrm>
          <a:off x="27355800" y="6972300"/>
          <a:ext cx="2387155" cy="609600"/>
        </a:xfrm>
        <a:prstGeom prst="roundRect">
          <a:avLst>
            <a:gd name="adj" fmla="val 16667"/>
          </a:avLst>
        </a:prstGeom>
        <a:noFill/>
        <a:ln w="9525">
          <a:solidFill>
            <a:srgbClr val="FF9933"/>
          </a:solidFill>
          <a:round/>
          <a:headEnd/>
          <a:tailEnd/>
        </a:ln>
        <a:extLst>
          <a:ext uri="{909E8E84-426E-40dd-AFC4-6F175D3DCCD1}">
            <a14:hiddenFill xmlns:a14="http://schemas.microsoft.com/office/drawing/2010/main">
              <a:solidFill>
                <a:srgbClr val="FFFFFF"/>
              </a:solidFill>
            </a14:hiddenFill>
          </a:ext>
        </a:extLst>
      </xdr:spPr>
      <xdr:txBody>
        <a:bodyPr rtlCol="0"/>
        <a:lstStyle/>
        <a:p>
          <a:pPr algn="ctr">
            <a:lnSpc>
              <a:spcPts val="1000"/>
            </a:lnSpc>
          </a:pPr>
          <a:r>
            <a:rPr lang="en-US" sz="1000">
              <a:latin typeface="Verdana"/>
              <a:cs typeface="Verdana"/>
            </a:rPr>
            <a:t>Automatische koppeling naar tab 1.1a-Jaarprijzen</a:t>
          </a:r>
        </a:p>
      </xdr:txBody>
    </xdr:sp>
    <xdr:clientData/>
  </xdr:twoCellAnchor>
  <xdr:twoCellAnchor>
    <xdr:from>
      <xdr:col>25</xdr:col>
      <xdr:colOff>50800</xdr:colOff>
      <xdr:row>32</xdr:row>
      <xdr:rowOff>12700</xdr:rowOff>
    </xdr:from>
    <xdr:to>
      <xdr:col>25</xdr:col>
      <xdr:colOff>75978</xdr:colOff>
      <xdr:row>35</xdr:row>
      <xdr:rowOff>25400</xdr:rowOff>
    </xdr:to>
    <xdr:cxnSp macro="">
      <xdr:nvCxnSpPr>
        <xdr:cNvPr id="21198" name="Straight Arrow Connector 4"/>
        <xdr:cNvCxnSpPr>
          <a:cxnSpLocks noChangeShapeType="1"/>
          <a:stCxn id="4" idx="0"/>
        </xdr:cNvCxnSpPr>
      </xdr:nvCxnSpPr>
      <xdr:spPr bwMode="auto">
        <a:xfrm flipH="1" flipV="1">
          <a:off x="28524200" y="6489700"/>
          <a:ext cx="25178" cy="482600"/>
        </a:xfrm>
        <a:prstGeom prst="straightConnector1">
          <a:avLst/>
        </a:prstGeom>
        <a:noFill/>
        <a:ln w="9525">
          <a:solidFill>
            <a:srgbClr val="FF9933"/>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blurRad="63500" dist="38099" dir="2700000" algn="ctr" rotWithShape="0">
                  <a:srgbClr val="000000">
                    <a:alpha val="74997"/>
                  </a:srgbClr>
                </a:outerShdw>
              </a:effectLst>
            </a14:hiddenEffects>
          </a:ext>
        </a:extLst>
      </xdr:spPr>
    </xdr:cxnSp>
    <xdr:clientData/>
  </xdr:twoCellAnchor>
  <xdr:twoCellAnchor>
    <xdr:from>
      <xdr:col>0</xdr:col>
      <xdr:colOff>279400</xdr:colOff>
      <xdr:row>43</xdr:row>
      <xdr:rowOff>50800</xdr:rowOff>
    </xdr:from>
    <xdr:to>
      <xdr:col>10</xdr:col>
      <xdr:colOff>0</xdr:colOff>
      <xdr:row>45</xdr:row>
      <xdr:rowOff>0</xdr:rowOff>
    </xdr:to>
    <xdr:sp macro="" textlink="">
      <xdr:nvSpPr>
        <xdr:cNvPr id="21354" name="Rounded Rectangle 3"/>
        <xdr:cNvSpPr>
          <a:spLocks noChangeArrowheads="1"/>
        </xdr:cNvSpPr>
      </xdr:nvSpPr>
      <xdr:spPr bwMode="auto">
        <a:xfrm flipV="1">
          <a:off x="279400" y="6616700"/>
          <a:ext cx="13220700" cy="444500"/>
        </a:xfrm>
        <a:prstGeom prst="roundRect">
          <a:avLst>
            <a:gd name="adj" fmla="val 16667"/>
          </a:avLst>
        </a:prstGeom>
        <a:solidFill>
          <a:srgbClr val="DDD9C3">
            <a:alpha val="45097"/>
          </a:srgbClr>
        </a:solidFill>
        <a:ln w="9525">
          <a:solidFill>
            <a:srgbClr val="FF9933"/>
          </a:solidFill>
          <a:round/>
          <a:headEnd/>
          <a:tailEnd/>
        </a:ln>
      </xdr:spPr>
      <xdr:txBody>
        <a:bodyPr rtlCol="0"/>
        <a:lstStyle/>
        <a:p>
          <a:pPr algn="ctr"/>
          <a:endParaRPr lang="nl-NL"/>
        </a:p>
      </xdr:txBody>
    </xdr:sp>
    <xdr:clientData/>
  </xdr:twoCellAnchor>
  <xdr:twoCellAnchor>
    <xdr:from>
      <xdr:col>10</xdr:col>
      <xdr:colOff>25400</xdr:colOff>
      <xdr:row>49</xdr:row>
      <xdr:rowOff>254000</xdr:rowOff>
    </xdr:from>
    <xdr:to>
      <xdr:col>12</xdr:col>
      <xdr:colOff>431800</xdr:colOff>
      <xdr:row>51</xdr:row>
      <xdr:rowOff>114300</xdr:rowOff>
    </xdr:to>
    <xdr:cxnSp macro="">
      <xdr:nvCxnSpPr>
        <xdr:cNvPr id="5" name="Rechte verbindingslijn met pijl 4"/>
        <xdr:cNvCxnSpPr/>
      </xdr:nvCxnSpPr>
      <xdr:spPr bwMode="auto">
        <a:xfrm>
          <a:off x="14465300" y="9626600"/>
          <a:ext cx="2387600" cy="673100"/>
        </a:xfrm>
        <a:prstGeom prst="straightConnector1">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arrow"/>
        </a:ln>
        <a:effectLst/>
        <a:extLst>
          <a:ext uri="{AF507438-7753-43e0-B8FC-AC1667EBCBE1}">
            <a14:hiddenEffects xmlns:a14="http://schemas.microsoft.com/office/drawing/2010/main">
              <a:effectLst>
                <a:outerShdw blurRad="63500" dist="38099" dir="2700000" algn="ctr" rotWithShape="0">
                  <a:srgbClr val="000000">
                    <a:alpha val="74998"/>
                  </a:srgbClr>
                </a:outerShdw>
              </a:effectLst>
            </a14:hiddenEffects>
          </a:ext>
        </a:extLst>
      </xdr:spPr>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406400</xdr:colOff>
      <xdr:row>16</xdr:row>
      <xdr:rowOff>50800</xdr:rowOff>
    </xdr:from>
    <xdr:to>
      <xdr:col>8</xdr:col>
      <xdr:colOff>393700</xdr:colOff>
      <xdr:row>27</xdr:row>
      <xdr:rowOff>136525</xdr:rowOff>
    </xdr:to>
    <xdr:pic>
      <xdr:nvPicPr>
        <xdr:cNvPr id="18880" name="Picture 269" descr="ttp://www.scpow.nl/templates/cpow1/images/header-object.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6400" y="3378200"/>
          <a:ext cx="7607300" cy="1901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12700</xdr:rowOff>
    </xdr:from>
    <xdr:to>
      <xdr:col>12</xdr:col>
      <xdr:colOff>901700</xdr:colOff>
      <xdr:row>5</xdr:row>
      <xdr:rowOff>0</xdr:rowOff>
    </xdr:to>
    <xdr:sp macro="" textlink="">
      <xdr:nvSpPr>
        <xdr:cNvPr id="20148" name="Rounded Rectangle 2"/>
        <xdr:cNvSpPr>
          <a:spLocks noChangeArrowheads="1"/>
        </xdr:cNvSpPr>
      </xdr:nvSpPr>
      <xdr:spPr bwMode="auto">
        <a:xfrm>
          <a:off x="215900" y="12700"/>
          <a:ext cx="11506200" cy="927100"/>
        </a:xfrm>
        <a:prstGeom prst="roundRect">
          <a:avLst>
            <a:gd name="adj" fmla="val 16667"/>
          </a:avLst>
        </a:prstGeom>
        <a:solidFill>
          <a:srgbClr val="DDD9C3">
            <a:alpha val="45097"/>
          </a:srgbClr>
        </a:solidFill>
        <a:ln w="9525">
          <a:solidFill>
            <a:srgbClr val="FF9933"/>
          </a:solidFill>
          <a:round/>
          <a:headEnd/>
          <a:tailEnd/>
        </a:ln>
      </xdr:spPr>
      <xdr:txBody>
        <a:bodyPr rtlCol="0"/>
        <a:lstStyle/>
        <a:p>
          <a:pPr algn="ctr"/>
          <a:endParaRPr lang="nl-NL"/>
        </a:p>
      </xdr:txBody>
    </xdr:sp>
    <xdr:clientData/>
  </xdr:twoCellAnchor>
  <xdr:twoCellAnchor>
    <xdr:from>
      <xdr:col>3</xdr:col>
      <xdr:colOff>0</xdr:colOff>
      <xdr:row>5</xdr:row>
      <xdr:rowOff>127000</xdr:rowOff>
    </xdr:from>
    <xdr:to>
      <xdr:col>12</xdr:col>
      <xdr:colOff>939800</xdr:colOff>
      <xdr:row>8</xdr:row>
      <xdr:rowOff>152400</xdr:rowOff>
    </xdr:to>
    <xdr:sp macro="" textlink="">
      <xdr:nvSpPr>
        <xdr:cNvPr id="20149" name="Rounded Rectangle 1"/>
        <xdr:cNvSpPr>
          <a:spLocks noChangeArrowheads="1"/>
        </xdr:cNvSpPr>
      </xdr:nvSpPr>
      <xdr:spPr bwMode="auto">
        <a:xfrm>
          <a:off x="215900" y="1066800"/>
          <a:ext cx="11544300" cy="647700"/>
        </a:xfrm>
        <a:prstGeom prst="roundRect">
          <a:avLst>
            <a:gd name="adj" fmla="val 16667"/>
          </a:avLst>
        </a:prstGeom>
        <a:noFill/>
        <a:ln w="9525">
          <a:solidFill>
            <a:srgbClr val="FF9933"/>
          </a:solidFill>
          <a:round/>
          <a:headEnd/>
          <a:tailEnd/>
        </a:ln>
        <a:extLst>
          <a:ext uri="{909E8E84-426E-40dd-AFC4-6F175D3DCCD1}">
            <a14:hiddenFill xmlns:a14="http://schemas.microsoft.com/office/drawing/2010/main">
              <a:solidFill>
                <a:srgbClr val="FFFFFF"/>
              </a:solidFill>
            </a14:hiddenFill>
          </a:ext>
        </a:extLst>
      </xdr:spPr>
      <xdr:txBody>
        <a:bodyPr rtlCol="0"/>
        <a:lstStyle/>
        <a:p>
          <a:pPr algn="ctr"/>
          <a:endParaRPr lang="nl-NL"/>
        </a:p>
      </xdr:txBody>
    </xdr:sp>
    <xdr:clientData/>
  </xdr:twoCellAnchor>
  <xdr:twoCellAnchor editAs="oneCell">
    <xdr:from>
      <xdr:col>8</xdr:col>
      <xdr:colOff>698500</xdr:colOff>
      <xdr:row>29</xdr:row>
      <xdr:rowOff>76200</xdr:rowOff>
    </xdr:from>
    <xdr:to>
      <xdr:col>8</xdr:col>
      <xdr:colOff>939800</xdr:colOff>
      <xdr:row>30</xdr:row>
      <xdr:rowOff>63500</xdr:rowOff>
    </xdr:to>
    <xdr:pic>
      <xdr:nvPicPr>
        <xdr:cNvPr id="20150" name="Picture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76900" y="5676900"/>
          <a:ext cx="241300" cy="17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25400</xdr:colOff>
      <xdr:row>1</xdr:row>
      <xdr:rowOff>0</xdr:rowOff>
    </xdr:from>
    <xdr:to>
      <xdr:col>10</xdr:col>
      <xdr:colOff>12700</xdr:colOff>
      <xdr:row>8</xdr:row>
      <xdr:rowOff>127000</xdr:rowOff>
    </xdr:to>
    <xdr:sp macro="" textlink="">
      <xdr:nvSpPr>
        <xdr:cNvPr id="30530" name="Rounded Rectangle 1"/>
        <xdr:cNvSpPr>
          <a:spLocks noChangeArrowheads="1"/>
        </xdr:cNvSpPr>
      </xdr:nvSpPr>
      <xdr:spPr bwMode="auto">
        <a:xfrm>
          <a:off x="1676400" y="76200"/>
          <a:ext cx="10502900" cy="1549400"/>
        </a:xfrm>
        <a:prstGeom prst="roundRect">
          <a:avLst>
            <a:gd name="adj" fmla="val 16667"/>
          </a:avLst>
        </a:prstGeom>
        <a:noFill/>
        <a:ln w="9525">
          <a:solidFill>
            <a:srgbClr val="FF9933"/>
          </a:solidFill>
          <a:round/>
          <a:headEnd/>
          <a:tailEnd/>
        </a:ln>
        <a:extLst>
          <a:ext uri="{909E8E84-426E-40dd-AFC4-6F175D3DCCD1}">
            <a14:hiddenFill xmlns:a14="http://schemas.microsoft.com/office/drawing/2010/main">
              <a:solidFill>
                <a:srgbClr val="FFFFFF"/>
              </a:solidFill>
            </a14:hiddenFill>
          </a:ext>
        </a:extLst>
      </xdr:spPr>
      <xdr:txBody>
        <a:bodyPr rtlCol="0"/>
        <a:lstStyle/>
        <a:p>
          <a:pPr algn="ctr"/>
          <a:endParaRPr lang="nl-NL"/>
        </a:p>
      </xdr:txBody>
    </xdr:sp>
    <xdr:clientData/>
  </xdr:twoCellAnchor>
  <xdr:twoCellAnchor>
    <xdr:from>
      <xdr:col>2</xdr:col>
      <xdr:colOff>12700</xdr:colOff>
      <xdr:row>9</xdr:row>
      <xdr:rowOff>152400</xdr:rowOff>
    </xdr:from>
    <xdr:to>
      <xdr:col>10</xdr:col>
      <xdr:colOff>0</xdr:colOff>
      <xdr:row>11</xdr:row>
      <xdr:rowOff>76200</xdr:rowOff>
    </xdr:to>
    <xdr:sp macro="" textlink="">
      <xdr:nvSpPr>
        <xdr:cNvPr id="30531" name="Rounded Rectangle 2"/>
        <xdr:cNvSpPr>
          <a:spLocks noChangeArrowheads="1"/>
        </xdr:cNvSpPr>
      </xdr:nvSpPr>
      <xdr:spPr bwMode="auto">
        <a:xfrm>
          <a:off x="1663700" y="1955800"/>
          <a:ext cx="10502900" cy="330200"/>
        </a:xfrm>
        <a:prstGeom prst="roundRect">
          <a:avLst>
            <a:gd name="adj" fmla="val 16667"/>
          </a:avLst>
        </a:prstGeom>
        <a:solidFill>
          <a:srgbClr val="DDD9C3">
            <a:alpha val="45097"/>
          </a:srgbClr>
        </a:solidFill>
        <a:ln w="9525">
          <a:solidFill>
            <a:srgbClr val="FF9933"/>
          </a:solidFill>
          <a:round/>
          <a:headEnd/>
          <a:tailEnd/>
        </a:ln>
      </xdr:spPr>
      <xdr:txBody>
        <a:bodyPr rtlCol="0"/>
        <a:lstStyle/>
        <a:p>
          <a:pPr algn="ctr"/>
          <a:endParaRPr lang="nl-NL"/>
        </a:p>
      </xdr:txBody>
    </xdr:sp>
    <xdr:clientData/>
  </xdr:twoCellAnchor>
  <xdr:twoCellAnchor>
    <xdr:from>
      <xdr:col>2</xdr:col>
      <xdr:colOff>25400</xdr:colOff>
      <xdr:row>13</xdr:row>
      <xdr:rowOff>25400</xdr:rowOff>
    </xdr:from>
    <xdr:to>
      <xdr:col>3</xdr:col>
      <xdr:colOff>3492500</xdr:colOff>
      <xdr:row>13</xdr:row>
      <xdr:rowOff>241300</xdr:rowOff>
    </xdr:to>
    <xdr:sp macro="" textlink="">
      <xdr:nvSpPr>
        <xdr:cNvPr id="30532" name="Rounded Rectangle 3"/>
        <xdr:cNvSpPr>
          <a:spLocks noChangeArrowheads="1"/>
        </xdr:cNvSpPr>
      </xdr:nvSpPr>
      <xdr:spPr bwMode="auto">
        <a:xfrm>
          <a:off x="1676400" y="2730500"/>
          <a:ext cx="3022600" cy="215900"/>
        </a:xfrm>
        <a:prstGeom prst="roundRect">
          <a:avLst>
            <a:gd name="adj" fmla="val 16667"/>
          </a:avLst>
        </a:prstGeom>
        <a:solidFill>
          <a:srgbClr val="DDD9C3">
            <a:alpha val="45097"/>
          </a:srgbClr>
        </a:solidFill>
        <a:ln w="9525">
          <a:solidFill>
            <a:srgbClr val="FF9933"/>
          </a:solidFill>
          <a:round/>
          <a:headEnd/>
          <a:tailEnd/>
        </a:ln>
      </xdr:spPr>
      <xdr:txBody>
        <a:bodyPr rtlCol="0"/>
        <a:lstStyle/>
        <a:p>
          <a:pPr algn="ctr"/>
          <a:endParaRPr lang="nl-NL"/>
        </a:p>
      </xdr:txBody>
    </xdr:sp>
    <xdr:clientData/>
  </xdr:twoCellAnchor>
  <xdr:twoCellAnchor>
    <xdr:from>
      <xdr:col>2</xdr:col>
      <xdr:colOff>25400</xdr:colOff>
      <xdr:row>29</xdr:row>
      <xdr:rowOff>25400</xdr:rowOff>
    </xdr:from>
    <xdr:to>
      <xdr:col>4</xdr:col>
      <xdr:colOff>25400</xdr:colOff>
      <xdr:row>29</xdr:row>
      <xdr:rowOff>241300</xdr:rowOff>
    </xdr:to>
    <xdr:sp macro="" textlink="">
      <xdr:nvSpPr>
        <xdr:cNvPr id="30533" name="Rounded Rectangle 5"/>
        <xdr:cNvSpPr>
          <a:spLocks noChangeArrowheads="1"/>
        </xdr:cNvSpPr>
      </xdr:nvSpPr>
      <xdr:spPr bwMode="auto">
        <a:xfrm>
          <a:off x="1676400" y="7188200"/>
          <a:ext cx="3048000" cy="215900"/>
        </a:xfrm>
        <a:prstGeom prst="roundRect">
          <a:avLst>
            <a:gd name="adj" fmla="val 16667"/>
          </a:avLst>
        </a:prstGeom>
        <a:solidFill>
          <a:srgbClr val="DDD9C3">
            <a:alpha val="45097"/>
          </a:srgbClr>
        </a:solidFill>
        <a:ln w="9525">
          <a:solidFill>
            <a:srgbClr val="FF9933"/>
          </a:solidFill>
          <a:round/>
          <a:headEnd/>
          <a:tailEnd/>
        </a:ln>
      </xdr:spPr>
      <xdr:txBody>
        <a:bodyPr rtlCol="0"/>
        <a:lstStyle/>
        <a:p>
          <a:pPr algn="ctr"/>
          <a:endParaRPr lang="nl-NL"/>
        </a:p>
      </xdr:txBody>
    </xdr:sp>
    <xdr:clientData/>
  </xdr:twoCellAnchor>
  <xdr:twoCellAnchor>
    <xdr:from>
      <xdr:col>2</xdr:col>
      <xdr:colOff>25400</xdr:colOff>
      <xdr:row>39</xdr:row>
      <xdr:rowOff>25400</xdr:rowOff>
    </xdr:from>
    <xdr:to>
      <xdr:col>4</xdr:col>
      <xdr:colOff>25400</xdr:colOff>
      <xdr:row>39</xdr:row>
      <xdr:rowOff>241300</xdr:rowOff>
    </xdr:to>
    <xdr:sp macro="" textlink="">
      <xdr:nvSpPr>
        <xdr:cNvPr id="30534" name="Rounded Rectangle 6"/>
        <xdr:cNvSpPr>
          <a:spLocks noChangeArrowheads="1"/>
        </xdr:cNvSpPr>
      </xdr:nvSpPr>
      <xdr:spPr bwMode="auto">
        <a:xfrm>
          <a:off x="1676400" y="9906000"/>
          <a:ext cx="3048000" cy="0"/>
        </a:xfrm>
        <a:prstGeom prst="roundRect">
          <a:avLst>
            <a:gd name="adj" fmla="val 16667"/>
          </a:avLst>
        </a:prstGeom>
        <a:solidFill>
          <a:srgbClr val="DDD9C3">
            <a:alpha val="45097"/>
          </a:srgbClr>
        </a:solidFill>
        <a:ln w="9525">
          <a:solidFill>
            <a:srgbClr val="FF9933"/>
          </a:solidFill>
          <a:round/>
          <a:headEnd/>
          <a:tailEnd/>
        </a:ln>
      </xdr:spPr>
      <xdr:txBody>
        <a:bodyPr rtlCol="0"/>
        <a:lstStyle/>
        <a:p>
          <a:pPr algn="ctr"/>
          <a:endParaRPr lang="nl-NL"/>
        </a:p>
      </xdr:txBody>
    </xdr:sp>
    <xdr:clientData/>
  </xdr:twoCellAnchor>
  <xdr:twoCellAnchor>
    <xdr:from>
      <xdr:col>2</xdr:col>
      <xdr:colOff>25400</xdr:colOff>
      <xdr:row>49</xdr:row>
      <xdr:rowOff>25400</xdr:rowOff>
    </xdr:from>
    <xdr:to>
      <xdr:col>4</xdr:col>
      <xdr:colOff>25400</xdr:colOff>
      <xdr:row>49</xdr:row>
      <xdr:rowOff>241300</xdr:rowOff>
    </xdr:to>
    <xdr:sp macro="" textlink="">
      <xdr:nvSpPr>
        <xdr:cNvPr id="30535" name="Rounded Rectangle 7"/>
        <xdr:cNvSpPr>
          <a:spLocks noChangeArrowheads="1"/>
        </xdr:cNvSpPr>
      </xdr:nvSpPr>
      <xdr:spPr bwMode="auto">
        <a:xfrm>
          <a:off x="1676400" y="9906000"/>
          <a:ext cx="3048000" cy="0"/>
        </a:xfrm>
        <a:prstGeom prst="roundRect">
          <a:avLst>
            <a:gd name="adj" fmla="val 16667"/>
          </a:avLst>
        </a:prstGeom>
        <a:solidFill>
          <a:srgbClr val="DDD9C3">
            <a:alpha val="45097"/>
          </a:srgbClr>
        </a:solidFill>
        <a:ln w="9525">
          <a:solidFill>
            <a:srgbClr val="FF9933"/>
          </a:solidFill>
          <a:round/>
          <a:headEnd/>
          <a:tailEnd/>
        </a:ln>
      </xdr:spPr>
      <xdr:txBody>
        <a:bodyPr rtlCol="0"/>
        <a:lstStyle/>
        <a:p>
          <a:pPr algn="ctr"/>
          <a:endParaRPr lang="nl-NL"/>
        </a:p>
      </xdr:txBody>
    </xdr:sp>
    <xdr:clientData/>
  </xdr:twoCellAnchor>
  <xdr:twoCellAnchor>
    <xdr:from>
      <xdr:col>2</xdr:col>
      <xdr:colOff>25400</xdr:colOff>
      <xdr:row>65</xdr:row>
      <xdr:rowOff>25400</xdr:rowOff>
    </xdr:from>
    <xdr:to>
      <xdr:col>4</xdr:col>
      <xdr:colOff>25400</xdr:colOff>
      <xdr:row>65</xdr:row>
      <xdr:rowOff>241300</xdr:rowOff>
    </xdr:to>
    <xdr:sp macro="" textlink="">
      <xdr:nvSpPr>
        <xdr:cNvPr id="30536" name="Rounded Rectangle 8"/>
        <xdr:cNvSpPr>
          <a:spLocks noChangeArrowheads="1"/>
        </xdr:cNvSpPr>
      </xdr:nvSpPr>
      <xdr:spPr bwMode="auto">
        <a:xfrm>
          <a:off x="1676400" y="10401300"/>
          <a:ext cx="3048000" cy="0"/>
        </a:xfrm>
        <a:prstGeom prst="roundRect">
          <a:avLst>
            <a:gd name="adj" fmla="val 16667"/>
          </a:avLst>
        </a:prstGeom>
        <a:solidFill>
          <a:srgbClr val="DDD9C3">
            <a:alpha val="45097"/>
          </a:srgbClr>
        </a:solidFill>
        <a:ln w="9525">
          <a:solidFill>
            <a:srgbClr val="FF9933"/>
          </a:solidFill>
          <a:round/>
          <a:headEnd/>
          <a:tailEnd/>
        </a:ln>
      </xdr:spPr>
      <xdr:txBody>
        <a:bodyPr rtlCol="0"/>
        <a:lstStyle/>
        <a:p>
          <a:pPr algn="ctr"/>
          <a:endParaRPr lang="nl-NL"/>
        </a:p>
      </xdr:txBody>
    </xdr:sp>
    <xdr:clientData/>
  </xdr:twoCellAnchor>
  <xdr:twoCellAnchor>
    <xdr:from>
      <xdr:col>2</xdr:col>
      <xdr:colOff>25400</xdr:colOff>
      <xdr:row>75</xdr:row>
      <xdr:rowOff>25400</xdr:rowOff>
    </xdr:from>
    <xdr:to>
      <xdr:col>4</xdr:col>
      <xdr:colOff>25400</xdr:colOff>
      <xdr:row>75</xdr:row>
      <xdr:rowOff>241300</xdr:rowOff>
    </xdr:to>
    <xdr:sp macro="" textlink="">
      <xdr:nvSpPr>
        <xdr:cNvPr id="30537" name="Rounded Rectangle 9"/>
        <xdr:cNvSpPr>
          <a:spLocks noChangeArrowheads="1"/>
        </xdr:cNvSpPr>
      </xdr:nvSpPr>
      <xdr:spPr bwMode="auto">
        <a:xfrm>
          <a:off x="1676400" y="10401300"/>
          <a:ext cx="3048000" cy="0"/>
        </a:xfrm>
        <a:prstGeom prst="roundRect">
          <a:avLst>
            <a:gd name="adj" fmla="val 16667"/>
          </a:avLst>
        </a:prstGeom>
        <a:solidFill>
          <a:srgbClr val="DDD9C3">
            <a:alpha val="45097"/>
          </a:srgbClr>
        </a:solidFill>
        <a:ln w="9525">
          <a:solidFill>
            <a:srgbClr val="FF9933"/>
          </a:solidFill>
          <a:round/>
          <a:headEnd/>
          <a:tailEnd/>
        </a:ln>
      </xdr:spPr>
      <xdr:txBody>
        <a:bodyPr rtlCol="0"/>
        <a:lstStyle/>
        <a:p>
          <a:pPr algn="ctr"/>
          <a:endParaRPr lang="nl-NL"/>
        </a:p>
      </xdr:txBody>
    </xdr:sp>
    <xdr:clientData/>
  </xdr:twoCellAnchor>
  <xdr:twoCellAnchor>
    <xdr:from>
      <xdr:col>2</xdr:col>
      <xdr:colOff>25400</xdr:colOff>
      <xdr:row>86</xdr:row>
      <xdr:rowOff>0</xdr:rowOff>
    </xdr:from>
    <xdr:to>
      <xdr:col>4</xdr:col>
      <xdr:colOff>0</xdr:colOff>
      <xdr:row>87</xdr:row>
      <xdr:rowOff>50800</xdr:rowOff>
    </xdr:to>
    <xdr:sp macro="" textlink="">
      <xdr:nvSpPr>
        <xdr:cNvPr id="30538" name="Rounded Rectangle 3"/>
        <xdr:cNvSpPr>
          <a:spLocks noChangeArrowheads="1"/>
        </xdr:cNvSpPr>
      </xdr:nvSpPr>
      <xdr:spPr bwMode="auto">
        <a:xfrm>
          <a:off x="1676400" y="10566400"/>
          <a:ext cx="3022600" cy="215900"/>
        </a:xfrm>
        <a:prstGeom prst="roundRect">
          <a:avLst>
            <a:gd name="adj" fmla="val 16667"/>
          </a:avLst>
        </a:prstGeom>
        <a:solidFill>
          <a:srgbClr val="DDD9C3">
            <a:alpha val="45097"/>
          </a:srgbClr>
        </a:solidFill>
        <a:ln w="9525">
          <a:solidFill>
            <a:srgbClr val="FF9933"/>
          </a:solidFill>
          <a:round/>
          <a:headEnd/>
          <a:tailEnd/>
        </a:ln>
      </xdr:spPr>
      <xdr:txBody>
        <a:bodyPr rtlCol="0"/>
        <a:lstStyle/>
        <a:p>
          <a:pPr algn="ctr"/>
          <a:endParaRPr lang="nl-NL"/>
        </a:p>
      </xdr:txBody>
    </xdr:sp>
    <xdr:clientData/>
  </xdr:twoCellAnchor>
  <xdr:twoCellAnchor>
    <xdr:from>
      <xdr:col>2</xdr:col>
      <xdr:colOff>12700</xdr:colOff>
      <xdr:row>91</xdr:row>
      <xdr:rowOff>139700</xdr:rowOff>
    </xdr:from>
    <xdr:to>
      <xdr:col>9</xdr:col>
      <xdr:colOff>114300</xdr:colOff>
      <xdr:row>93</xdr:row>
      <xdr:rowOff>50800</xdr:rowOff>
    </xdr:to>
    <xdr:sp macro="" textlink="">
      <xdr:nvSpPr>
        <xdr:cNvPr id="30539" name="Rounded Rectangle 2"/>
        <xdr:cNvSpPr>
          <a:spLocks noChangeArrowheads="1"/>
        </xdr:cNvSpPr>
      </xdr:nvSpPr>
      <xdr:spPr bwMode="auto">
        <a:xfrm>
          <a:off x="1663700" y="11531600"/>
          <a:ext cx="9093200" cy="279400"/>
        </a:xfrm>
        <a:prstGeom prst="roundRect">
          <a:avLst>
            <a:gd name="adj" fmla="val 16667"/>
          </a:avLst>
        </a:prstGeom>
        <a:solidFill>
          <a:srgbClr val="DDD9C3">
            <a:alpha val="45097"/>
          </a:srgbClr>
        </a:solidFill>
        <a:ln w="9525">
          <a:solidFill>
            <a:srgbClr val="FF9933"/>
          </a:solidFill>
          <a:round/>
          <a:headEnd/>
          <a:tailEnd/>
        </a:ln>
      </xdr:spPr>
      <xdr:txBody>
        <a:bodyPr rtlCol="0"/>
        <a:lstStyle/>
        <a:p>
          <a:pPr algn="ctr"/>
          <a:endParaRPr lang="nl-NL"/>
        </a:p>
      </xdr:txBody>
    </xdr:sp>
    <xdr:clientData/>
  </xdr:twoCellAnchor>
  <xdr:twoCellAnchor>
    <xdr:from>
      <xdr:col>2</xdr:col>
      <xdr:colOff>12700</xdr:colOff>
      <xdr:row>106</xdr:row>
      <xdr:rowOff>127000</xdr:rowOff>
    </xdr:from>
    <xdr:to>
      <xdr:col>10</xdr:col>
      <xdr:colOff>0</xdr:colOff>
      <xdr:row>108</xdr:row>
      <xdr:rowOff>50800</xdr:rowOff>
    </xdr:to>
    <xdr:sp macro="" textlink="">
      <xdr:nvSpPr>
        <xdr:cNvPr id="30540" name="Rounded Rectangle 2"/>
        <xdr:cNvSpPr>
          <a:spLocks noChangeArrowheads="1"/>
        </xdr:cNvSpPr>
      </xdr:nvSpPr>
      <xdr:spPr bwMode="auto">
        <a:xfrm>
          <a:off x="1663700" y="14033500"/>
          <a:ext cx="10502900" cy="292100"/>
        </a:xfrm>
        <a:prstGeom prst="roundRect">
          <a:avLst>
            <a:gd name="adj" fmla="val 16667"/>
          </a:avLst>
        </a:prstGeom>
        <a:solidFill>
          <a:srgbClr val="DDD9C3">
            <a:alpha val="45097"/>
          </a:srgbClr>
        </a:solidFill>
        <a:ln w="9525">
          <a:solidFill>
            <a:srgbClr val="FF9933"/>
          </a:solidFill>
          <a:round/>
          <a:headEnd/>
          <a:tailEnd/>
        </a:ln>
      </xdr:spPr>
      <xdr:txBody>
        <a:bodyPr rtlCol="0"/>
        <a:lstStyle/>
        <a:p>
          <a:pPr algn="ctr"/>
          <a:endParaRPr lang="nl-NL"/>
        </a:p>
      </xdr:txBody>
    </xdr:sp>
    <xdr:clientData/>
  </xdr:twoCellAnchor>
  <xdr:twoCellAnchor>
    <xdr:from>
      <xdr:col>2</xdr:col>
      <xdr:colOff>25400</xdr:colOff>
      <xdr:row>111</xdr:row>
      <xdr:rowOff>25400</xdr:rowOff>
    </xdr:from>
    <xdr:to>
      <xdr:col>3</xdr:col>
      <xdr:colOff>3492500</xdr:colOff>
      <xdr:row>111</xdr:row>
      <xdr:rowOff>241300</xdr:rowOff>
    </xdr:to>
    <xdr:sp macro="" textlink="">
      <xdr:nvSpPr>
        <xdr:cNvPr id="30541" name="Rounded Rectangle 3"/>
        <xdr:cNvSpPr>
          <a:spLocks noChangeArrowheads="1"/>
        </xdr:cNvSpPr>
      </xdr:nvSpPr>
      <xdr:spPr bwMode="auto">
        <a:xfrm>
          <a:off x="1676400" y="15125700"/>
          <a:ext cx="3022600" cy="215900"/>
        </a:xfrm>
        <a:prstGeom prst="roundRect">
          <a:avLst>
            <a:gd name="adj" fmla="val 16667"/>
          </a:avLst>
        </a:prstGeom>
        <a:solidFill>
          <a:srgbClr val="DDD9C3">
            <a:alpha val="45097"/>
          </a:srgbClr>
        </a:solidFill>
        <a:ln w="9525">
          <a:solidFill>
            <a:srgbClr val="FF9933"/>
          </a:solidFill>
          <a:round/>
          <a:headEnd/>
          <a:tailEnd/>
        </a:ln>
      </xdr:spPr>
      <xdr:txBody>
        <a:bodyPr rtlCol="0"/>
        <a:lstStyle/>
        <a:p>
          <a:pPr algn="ctr"/>
          <a:endParaRPr lang="nl-NL"/>
        </a:p>
      </xdr:txBody>
    </xdr:sp>
    <xdr:clientData/>
  </xdr:twoCellAnchor>
  <xdr:twoCellAnchor>
    <xdr:from>
      <xdr:col>2</xdr:col>
      <xdr:colOff>25400</xdr:colOff>
      <xdr:row>127</xdr:row>
      <xdr:rowOff>25400</xdr:rowOff>
    </xdr:from>
    <xdr:to>
      <xdr:col>4</xdr:col>
      <xdr:colOff>25400</xdr:colOff>
      <xdr:row>127</xdr:row>
      <xdr:rowOff>241300</xdr:rowOff>
    </xdr:to>
    <xdr:sp macro="" textlink="">
      <xdr:nvSpPr>
        <xdr:cNvPr id="30542" name="Rounded Rectangle 5"/>
        <xdr:cNvSpPr>
          <a:spLocks noChangeArrowheads="1"/>
        </xdr:cNvSpPr>
      </xdr:nvSpPr>
      <xdr:spPr bwMode="auto">
        <a:xfrm>
          <a:off x="1676400" y="19583400"/>
          <a:ext cx="3048000" cy="215900"/>
        </a:xfrm>
        <a:prstGeom prst="roundRect">
          <a:avLst>
            <a:gd name="adj" fmla="val 16667"/>
          </a:avLst>
        </a:prstGeom>
        <a:solidFill>
          <a:srgbClr val="DDD9C3">
            <a:alpha val="45097"/>
          </a:srgbClr>
        </a:solidFill>
        <a:ln w="9525">
          <a:solidFill>
            <a:srgbClr val="FF9933"/>
          </a:solidFill>
          <a:round/>
          <a:headEnd/>
          <a:tailEnd/>
        </a:ln>
      </xdr:spPr>
      <xdr:txBody>
        <a:bodyPr rtlCol="0"/>
        <a:lstStyle/>
        <a:p>
          <a:pPr algn="ctr"/>
          <a:endParaRPr lang="nl-NL"/>
        </a:p>
      </xdr:txBody>
    </xdr:sp>
    <xdr:clientData/>
  </xdr:twoCellAnchor>
  <xdr:twoCellAnchor>
    <xdr:from>
      <xdr:col>2</xdr:col>
      <xdr:colOff>25400</xdr:colOff>
      <xdr:row>140</xdr:row>
      <xdr:rowOff>0</xdr:rowOff>
    </xdr:from>
    <xdr:to>
      <xdr:col>4</xdr:col>
      <xdr:colOff>0</xdr:colOff>
      <xdr:row>141</xdr:row>
      <xdr:rowOff>50800</xdr:rowOff>
    </xdr:to>
    <xdr:sp macro="" textlink="">
      <xdr:nvSpPr>
        <xdr:cNvPr id="30543" name="Rounded Rectangle 3"/>
        <xdr:cNvSpPr>
          <a:spLocks noChangeArrowheads="1"/>
        </xdr:cNvSpPr>
      </xdr:nvSpPr>
      <xdr:spPr bwMode="auto">
        <a:xfrm>
          <a:off x="1676400" y="22796500"/>
          <a:ext cx="3022600" cy="215900"/>
        </a:xfrm>
        <a:prstGeom prst="roundRect">
          <a:avLst>
            <a:gd name="adj" fmla="val 16667"/>
          </a:avLst>
        </a:prstGeom>
        <a:solidFill>
          <a:srgbClr val="DDD9C3">
            <a:alpha val="45097"/>
          </a:srgbClr>
        </a:solidFill>
        <a:ln w="9525">
          <a:solidFill>
            <a:srgbClr val="FF9933"/>
          </a:solidFill>
          <a:round/>
          <a:headEnd/>
          <a:tailEnd/>
        </a:ln>
      </xdr:spPr>
      <xdr:txBody>
        <a:bodyPr rtlCol="0"/>
        <a:lstStyle/>
        <a:p>
          <a:pPr algn="ctr"/>
          <a:endParaRPr lang="nl-NL"/>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88900</xdr:rowOff>
    </xdr:from>
    <xdr:to>
      <xdr:col>13</xdr:col>
      <xdr:colOff>0</xdr:colOff>
      <xdr:row>6</xdr:row>
      <xdr:rowOff>139700</xdr:rowOff>
    </xdr:to>
    <xdr:sp macro="" textlink="">
      <xdr:nvSpPr>
        <xdr:cNvPr id="31036" name="Rounded Rectangle 1"/>
        <xdr:cNvSpPr>
          <a:spLocks noChangeArrowheads="1"/>
        </xdr:cNvSpPr>
      </xdr:nvSpPr>
      <xdr:spPr bwMode="auto">
        <a:xfrm>
          <a:off x="304800" y="88900"/>
          <a:ext cx="18084800" cy="1231900"/>
        </a:xfrm>
        <a:prstGeom prst="roundRect">
          <a:avLst>
            <a:gd name="adj" fmla="val 16667"/>
          </a:avLst>
        </a:prstGeom>
        <a:noFill/>
        <a:ln w="9525">
          <a:solidFill>
            <a:srgbClr val="FF9933"/>
          </a:solidFill>
          <a:round/>
          <a:headEnd/>
          <a:tailEnd/>
        </a:ln>
        <a:extLst>
          <a:ext uri="{909E8E84-426E-40dd-AFC4-6F175D3DCCD1}">
            <a14:hiddenFill xmlns:a14="http://schemas.microsoft.com/office/drawing/2010/main">
              <a:solidFill>
                <a:srgbClr val="FFFFFF"/>
              </a:solidFill>
            </a14:hiddenFill>
          </a:ext>
        </a:extLst>
      </xdr:spPr>
      <xdr:txBody>
        <a:bodyPr rtlCol="0"/>
        <a:lstStyle/>
        <a:p>
          <a:pPr algn="ctr"/>
          <a:endParaRPr lang="nl-NL"/>
        </a:p>
      </xdr:txBody>
    </xdr:sp>
    <xdr:clientData/>
  </xdr:twoCellAnchor>
  <xdr:twoCellAnchor>
    <xdr:from>
      <xdr:col>1</xdr:col>
      <xdr:colOff>0</xdr:colOff>
      <xdr:row>8</xdr:row>
      <xdr:rowOff>110074</xdr:rowOff>
    </xdr:from>
    <xdr:to>
      <xdr:col>13</xdr:col>
      <xdr:colOff>0</xdr:colOff>
      <xdr:row>10</xdr:row>
      <xdr:rowOff>8474</xdr:rowOff>
    </xdr:to>
    <xdr:sp macro="" textlink="">
      <xdr:nvSpPr>
        <xdr:cNvPr id="31037" name="Rounded Rectangle 2"/>
        <xdr:cNvSpPr>
          <a:spLocks noChangeArrowheads="1"/>
        </xdr:cNvSpPr>
      </xdr:nvSpPr>
      <xdr:spPr bwMode="auto">
        <a:xfrm>
          <a:off x="304800" y="1634074"/>
          <a:ext cx="18618200" cy="397933"/>
        </a:xfrm>
        <a:prstGeom prst="roundRect">
          <a:avLst>
            <a:gd name="adj" fmla="val 16667"/>
          </a:avLst>
        </a:prstGeom>
        <a:solidFill>
          <a:srgbClr val="DDD9C3">
            <a:alpha val="45097"/>
          </a:srgbClr>
        </a:solidFill>
        <a:ln w="9525">
          <a:solidFill>
            <a:srgbClr val="FF9933"/>
          </a:solidFill>
          <a:round/>
          <a:headEnd/>
          <a:tailEnd/>
        </a:ln>
      </xdr:spPr>
      <xdr:txBody>
        <a:bodyPr rtlCol="0"/>
        <a:lstStyle/>
        <a:p>
          <a:pPr algn="ctr"/>
          <a:endParaRPr lang="nl-NL"/>
        </a:p>
      </xdr:txBody>
    </xdr:sp>
    <xdr:clientData/>
  </xdr:twoCellAnchor>
  <xdr:twoCellAnchor>
    <xdr:from>
      <xdr:col>0</xdr:col>
      <xdr:colOff>266700</xdr:colOff>
      <xdr:row>30</xdr:row>
      <xdr:rowOff>101600</xdr:rowOff>
    </xdr:from>
    <xdr:to>
      <xdr:col>13</xdr:col>
      <xdr:colOff>25400</xdr:colOff>
      <xdr:row>32</xdr:row>
      <xdr:rowOff>0</xdr:rowOff>
    </xdr:to>
    <xdr:sp macro="" textlink="">
      <xdr:nvSpPr>
        <xdr:cNvPr id="31038" name="Rounded Rectangle 3"/>
        <xdr:cNvSpPr>
          <a:spLocks noChangeArrowheads="1"/>
        </xdr:cNvSpPr>
      </xdr:nvSpPr>
      <xdr:spPr bwMode="auto">
        <a:xfrm>
          <a:off x="266700" y="5528733"/>
          <a:ext cx="18774833" cy="567267"/>
        </a:xfrm>
        <a:prstGeom prst="roundRect">
          <a:avLst>
            <a:gd name="adj" fmla="val 16667"/>
          </a:avLst>
        </a:prstGeom>
        <a:solidFill>
          <a:srgbClr val="DDD9C3">
            <a:alpha val="45097"/>
          </a:srgbClr>
        </a:solidFill>
        <a:ln w="9525">
          <a:solidFill>
            <a:srgbClr val="FF9933"/>
          </a:solidFill>
          <a:round/>
          <a:headEnd/>
          <a:tailEnd/>
        </a:ln>
      </xdr:spPr>
      <xdr:txBody>
        <a:bodyPr rtlCol="0"/>
        <a:lstStyle/>
        <a:p>
          <a:pPr algn="ctr"/>
          <a:endParaRPr lang="nl-NL"/>
        </a:p>
      </xdr:txBody>
    </xdr:sp>
    <xdr:clientData/>
  </xdr:twoCellAnchor>
  <xdr:twoCellAnchor>
    <xdr:from>
      <xdr:col>8</xdr:col>
      <xdr:colOff>12700</xdr:colOff>
      <xdr:row>49</xdr:row>
      <xdr:rowOff>0</xdr:rowOff>
    </xdr:from>
    <xdr:to>
      <xdr:col>10</xdr:col>
      <xdr:colOff>0</xdr:colOff>
      <xdr:row>50</xdr:row>
      <xdr:rowOff>63500</xdr:rowOff>
    </xdr:to>
    <xdr:sp macro="" textlink="">
      <xdr:nvSpPr>
        <xdr:cNvPr id="31039" name="Rounded Rectangle 4"/>
        <xdr:cNvSpPr>
          <a:spLocks noChangeArrowheads="1"/>
        </xdr:cNvSpPr>
      </xdr:nvSpPr>
      <xdr:spPr bwMode="auto">
        <a:xfrm>
          <a:off x="10833100" y="5803900"/>
          <a:ext cx="3200400" cy="355600"/>
        </a:xfrm>
        <a:prstGeom prst="roundRect">
          <a:avLst>
            <a:gd name="adj" fmla="val 16667"/>
          </a:avLst>
        </a:prstGeom>
        <a:noFill/>
        <a:ln w="9525">
          <a:solidFill>
            <a:srgbClr val="FF9933"/>
          </a:solidFill>
          <a:round/>
          <a:headEnd/>
          <a:tailEnd/>
        </a:ln>
        <a:extLst>
          <a:ext uri="{909E8E84-426E-40dd-AFC4-6F175D3DCCD1}">
            <a14:hiddenFill xmlns:a14="http://schemas.microsoft.com/office/drawing/2010/main">
              <a:solidFill>
                <a:srgbClr val="FFFFFF"/>
              </a:solidFill>
            </a14:hiddenFill>
          </a:ext>
        </a:extLst>
      </xdr:spPr>
      <xdr:txBody>
        <a:bodyPr rtlCol="0"/>
        <a:lstStyle/>
        <a:p>
          <a:pPr algn="ctr"/>
          <a:endParaRPr lang="nl-NL"/>
        </a:p>
      </xdr:txBody>
    </xdr:sp>
    <xdr:clientData/>
  </xdr:twoCellAnchor>
  <xdr:twoCellAnchor>
    <xdr:from>
      <xdr:col>11</xdr:col>
      <xdr:colOff>0</xdr:colOff>
      <xdr:row>49</xdr:row>
      <xdr:rowOff>0</xdr:rowOff>
    </xdr:from>
    <xdr:to>
      <xdr:col>13</xdr:col>
      <xdr:colOff>25400</xdr:colOff>
      <xdr:row>50</xdr:row>
      <xdr:rowOff>76200</xdr:rowOff>
    </xdr:to>
    <xdr:sp macro="" textlink="">
      <xdr:nvSpPr>
        <xdr:cNvPr id="31040" name="Rounded Rectangle 5"/>
        <xdr:cNvSpPr>
          <a:spLocks noChangeArrowheads="1"/>
        </xdr:cNvSpPr>
      </xdr:nvSpPr>
      <xdr:spPr bwMode="auto">
        <a:xfrm>
          <a:off x="15443200" y="9144000"/>
          <a:ext cx="3598333" cy="372533"/>
        </a:xfrm>
        <a:prstGeom prst="roundRect">
          <a:avLst>
            <a:gd name="adj" fmla="val 16667"/>
          </a:avLst>
        </a:prstGeom>
        <a:noFill/>
        <a:ln w="9525">
          <a:solidFill>
            <a:srgbClr val="FF9933"/>
          </a:solidFill>
          <a:round/>
          <a:headEnd/>
          <a:tailEnd/>
        </a:ln>
        <a:extLst>
          <a:ext uri="{909E8E84-426E-40dd-AFC4-6F175D3DCCD1}">
            <a14:hiddenFill xmlns:a14="http://schemas.microsoft.com/office/drawing/2010/main">
              <a:solidFill>
                <a:srgbClr val="FFFFFF"/>
              </a:solidFill>
            </a14:hiddenFill>
          </a:ext>
        </a:extLst>
      </xdr:spPr>
      <xdr:txBody>
        <a:bodyPr rtlCol="0"/>
        <a:lstStyle/>
        <a:p>
          <a:pPr algn="ctr"/>
          <a:endParaRPr lang="nl-NL"/>
        </a:p>
      </xdr:txBody>
    </xdr:sp>
    <xdr:clientData/>
  </xdr:twoCellAnchor>
  <xdr:twoCellAnchor>
    <xdr:from>
      <xdr:col>1</xdr:col>
      <xdr:colOff>0</xdr:colOff>
      <xdr:row>51</xdr:row>
      <xdr:rowOff>127000</xdr:rowOff>
    </xdr:from>
    <xdr:to>
      <xdr:col>13</xdr:col>
      <xdr:colOff>0</xdr:colOff>
      <xdr:row>53</xdr:row>
      <xdr:rowOff>38100</xdr:rowOff>
    </xdr:to>
    <xdr:sp macro="" textlink="">
      <xdr:nvSpPr>
        <xdr:cNvPr id="31041" name="Rounded Rectangle 3"/>
        <xdr:cNvSpPr>
          <a:spLocks noChangeArrowheads="1"/>
        </xdr:cNvSpPr>
      </xdr:nvSpPr>
      <xdr:spPr bwMode="auto">
        <a:xfrm>
          <a:off x="304800" y="6832600"/>
          <a:ext cx="18084800" cy="571500"/>
        </a:xfrm>
        <a:prstGeom prst="roundRect">
          <a:avLst>
            <a:gd name="adj" fmla="val 16667"/>
          </a:avLst>
        </a:prstGeom>
        <a:solidFill>
          <a:srgbClr val="DDD9C3">
            <a:alpha val="45097"/>
          </a:srgbClr>
        </a:solidFill>
        <a:ln w="9525">
          <a:solidFill>
            <a:srgbClr val="FF9933"/>
          </a:solidFill>
          <a:round/>
          <a:headEnd/>
          <a:tailEnd/>
        </a:ln>
      </xdr:spPr>
      <xdr:txBody>
        <a:bodyPr rtlCol="0"/>
        <a:lstStyle/>
        <a:p>
          <a:pPr algn="ctr"/>
          <a:endParaRPr lang="nl-NL"/>
        </a:p>
      </xdr:txBody>
    </xdr:sp>
    <xdr:clientData/>
  </xdr:twoCellAnchor>
  <xdr:twoCellAnchor>
    <xdr:from>
      <xdr:col>8</xdr:col>
      <xdr:colOff>12700</xdr:colOff>
      <xdr:row>58</xdr:row>
      <xdr:rowOff>0</xdr:rowOff>
    </xdr:from>
    <xdr:to>
      <xdr:col>10</xdr:col>
      <xdr:colOff>0</xdr:colOff>
      <xdr:row>59</xdr:row>
      <xdr:rowOff>0</xdr:rowOff>
    </xdr:to>
    <xdr:sp macro="" textlink="">
      <xdr:nvSpPr>
        <xdr:cNvPr id="31042" name="Rounded Rectangle 4"/>
        <xdr:cNvSpPr>
          <a:spLocks noChangeArrowheads="1"/>
        </xdr:cNvSpPr>
      </xdr:nvSpPr>
      <xdr:spPr bwMode="auto">
        <a:xfrm>
          <a:off x="10833100" y="8191500"/>
          <a:ext cx="3200400" cy="292100"/>
        </a:xfrm>
        <a:prstGeom prst="roundRect">
          <a:avLst>
            <a:gd name="adj" fmla="val 16667"/>
          </a:avLst>
        </a:prstGeom>
        <a:noFill/>
        <a:ln w="9525">
          <a:solidFill>
            <a:srgbClr val="FF9933"/>
          </a:solidFill>
          <a:round/>
          <a:headEnd/>
          <a:tailEnd/>
        </a:ln>
        <a:extLst>
          <a:ext uri="{909E8E84-426E-40dd-AFC4-6F175D3DCCD1}">
            <a14:hiddenFill xmlns:a14="http://schemas.microsoft.com/office/drawing/2010/main">
              <a:solidFill>
                <a:srgbClr val="FFFFFF"/>
              </a:solidFill>
            </a14:hiddenFill>
          </a:ext>
        </a:extLst>
      </xdr:spPr>
      <xdr:txBody>
        <a:bodyPr rtlCol="0"/>
        <a:lstStyle/>
        <a:p>
          <a:pPr algn="ctr"/>
          <a:endParaRPr lang="nl-NL"/>
        </a:p>
      </xdr:txBody>
    </xdr:sp>
    <xdr:clientData/>
  </xdr:twoCellAnchor>
  <xdr:twoCellAnchor>
    <xdr:from>
      <xdr:col>11</xdr:col>
      <xdr:colOff>0</xdr:colOff>
      <xdr:row>58</xdr:row>
      <xdr:rowOff>0</xdr:rowOff>
    </xdr:from>
    <xdr:to>
      <xdr:col>12</xdr:col>
      <xdr:colOff>1871134</xdr:colOff>
      <xdr:row>59</xdr:row>
      <xdr:rowOff>25400</xdr:rowOff>
    </xdr:to>
    <xdr:sp macro="" textlink="">
      <xdr:nvSpPr>
        <xdr:cNvPr id="31043" name="Rounded Rectangle 5"/>
        <xdr:cNvSpPr>
          <a:spLocks noChangeArrowheads="1"/>
        </xdr:cNvSpPr>
      </xdr:nvSpPr>
      <xdr:spPr bwMode="auto">
        <a:xfrm>
          <a:off x="15443200" y="11565467"/>
          <a:ext cx="3513667" cy="321733"/>
        </a:xfrm>
        <a:prstGeom prst="roundRect">
          <a:avLst>
            <a:gd name="adj" fmla="val 16667"/>
          </a:avLst>
        </a:prstGeom>
        <a:noFill/>
        <a:ln w="9525">
          <a:solidFill>
            <a:srgbClr val="FF9933"/>
          </a:solidFill>
          <a:round/>
          <a:headEnd/>
          <a:tailEnd/>
        </a:ln>
        <a:extLst>
          <a:ext uri="{909E8E84-426E-40dd-AFC4-6F175D3DCCD1}">
            <a14:hiddenFill xmlns:a14="http://schemas.microsoft.com/office/drawing/2010/main">
              <a:solidFill>
                <a:srgbClr val="FFFFFF"/>
              </a:solidFill>
            </a14:hiddenFill>
          </a:ext>
        </a:extLst>
      </xdr:spPr>
      <xdr:txBody>
        <a:bodyPr rtlCol="0"/>
        <a:lstStyle/>
        <a:p>
          <a:pPr algn="ctr"/>
          <a:endParaRPr lang="nl-NL"/>
        </a:p>
      </xdr:txBody>
    </xdr:sp>
    <xdr:clientData/>
  </xdr:twoCellAnchor>
  <xdr:twoCellAnchor>
    <xdr:from>
      <xdr:col>1</xdr:col>
      <xdr:colOff>0</xdr:colOff>
      <xdr:row>58</xdr:row>
      <xdr:rowOff>127000</xdr:rowOff>
    </xdr:from>
    <xdr:to>
      <xdr:col>7</xdr:col>
      <xdr:colOff>165100</xdr:colOff>
      <xdr:row>60</xdr:row>
      <xdr:rowOff>38100</xdr:rowOff>
    </xdr:to>
    <xdr:sp macro="" textlink="">
      <xdr:nvSpPr>
        <xdr:cNvPr id="31044" name="Rounded Rectangle 3"/>
        <xdr:cNvSpPr>
          <a:spLocks noChangeArrowheads="1"/>
        </xdr:cNvSpPr>
      </xdr:nvSpPr>
      <xdr:spPr bwMode="auto">
        <a:xfrm>
          <a:off x="304800" y="8318500"/>
          <a:ext cx="9436100" cy="698500"/>
        </a:xfrm>
        <a:prstGeom prst="roundRect">
          <a:avLst>
            <a:gd name="adj" fmla="val 16667"/>
          </a:avLst>
        </a:prstGeom>
        <a:solidFill>
          <a:srgbClr val="DDD9C3">
            <a:alpha val="45097"/>
          </a:srgbClr>
        </a:solidFill>
        <a:ln w="9525">
          <a:solidFill>
            <a:srgbClr val="FF9933"/>
          </a:solidFill>
          <a:round/>
          <a:headEnd/>
          <a:tailEnd/>
        </a:ln>
      </xdr:spPr>
      <xdr:txBody>
        <a:bodyPr rtlCol="0"/>
        <a:lstStyle/>
        <a:p>
          <a:pPr algn="ctr"/>
          <a:endParaRPr lang="nl-NL"/>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1041400</xdr:colOff>
      <xdr:row>34</xdr:row>
      <xdr:rowOff>0</xdr:rowOff>
    </xdr:from>
    <xdr:to>
      <xdr:col>14</xdr:col>
      <xdr:colOff>76200</xdr:colOff>
      <xdr:row>35</xdr:row>
      <xdr:rowOff>0</xdr:rowOff>
    </xdr:to>
    <xdr:sp macro="" textlink="">
      <xdr:nvSpPr>
        <xdr:cNvPr id="6794" name="Rounded Rectangle 5"/>
        <xdr:cNvSpPr>
          <a:spLocks noChangeArrowheads="1"/>
        </xdr:cNvSpPr>
      </xdr:nvSpPr>
      <xdr:spPr bwMode="auto">
        <a:xfrm>
          <a:off x="12331700" y="6426200"/>
          <a:ext cx="2984500" cy="165100"/>
        </a:xfrm>
        <a:prstGeom prst="roundRect">
          <a:avLst>
            <a:gd name="adj" fmla="val 16667"/>
          </a:avLst>
        </a:prstGeom>
        <a:solidFill>
          <a:srgbClr val="DDD9C3">
            <a:alpha val="45097"/>
          </a:srgbClr>
        </a:solidFill>
        <a:ln w="9525">
          <a:solidFill>
            <a:srgbClr val="FF9933"/>
          </a:solidFill>
          <a:round/>
          <a:headEnd/>
          <a:tailEnd/>
        </a:ln>
      </xdr:spPr>
      <xdr:txBody>
        <a:bodyPr rtlCol="0"/>
        <a:lstStyle/>
        <a:p>
          <a:pPr algn="ctr"/>
          <a:endParaRPr lang="nl-NL"/>
        </a:p>
      </xdr:txBody>
    </xdr:sp>
    <xdr:clientData/>
  </xdr:twoCellAnchor>
  <xdr:twoCellAnchor>
    <xdr:from>
      <xdr:col>1</xdr:col>
      <xdr:colOff>139700</xdr:colOff>
      <xdr:row>7</xdr:row>
      <xdr:rowOff>152400</xdr:rowOff>
    </xdr:from>
    <xdr:to>
      <xdr:col>16</xdr:col>
      <xdr:colOff>0</xdr:colOff>
      <xdr:row>9</xdr:row>
      <xdr:rowOff>0</xdr:rowOff>
    </xdr:to>
    <xdr:sp macro="" textlink="">
      <xdr:nvSpPr>
        <xdr:cNvPr id="6795" name="Rounded Rectangle 1"/>
        <xdr:cNvSpPr>
          <a:spLocks noChangeArrowheads="1"/>
        </xdr:cNvSpPr>
      </xdr:nvSpPr>
      <xdr:spPr bwMode="auto">
        <a:xfrm>
          <a:off x="139700" y="1498600"/>
          <a:ext cx="16992600" cy="508000"/>
        </a:xfrm>
        <a:prstGeom prst="roundRect">
          <a:avLst>
            <a:gd name="adj" fmla="val 16667"/>
          </a:avLst>
        </a:prstGeom>
        <a:noFill/>
        <a:ln w="6350">
          <a:solidFill>
            <a:srgbClr val="FF9933"/>
          </a:solidFill>
          <a:round/>
          <a:headEnd/>
          <a:tailEnd/>
        </a:ln>
        <a:extLst>
          <a:ext uri="{909E8E84-426E-40dd-AFC4-6F175D3DCCD1}">
            <a14:hiddenFill xmlns:a14="http://schemas.microsoft.com/office/drawing/2010/main">
              <a:solidFill>
                <a:srgbClr val="FFFFFF"/>
              </a:solidFill>
            </a14:hiddenFill>
          </a:ext>
        </a:extLst>
      </xdr:spPr>
      <xdr:txBody>
        <a:bodyPr rtlCol="0"/>
        <a:lstStyle/>
        <a:p>
          <a:pPr algn="ctr"/>
          <a:endParaRPr lang="nl-NL"/>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508000</xdr:colOff>
      <xdr:row>3</xdr:row>
      <xdr:rowOff>0</xdr:rowOff>
    </xdr:from>
    <xdr:to>
      <xdr:col>10</xdr:col>
      <xdr:colOff>698500</xdr:colOff>
      <xdr:row>8</xdr:row>
      <xdr:rowOff>25400</xdr:rowOff>
    </xdr:to>
    <xdr:sp macro="" textlink="">
      <xdr:nvSpPr>
        <xdr:cNvPr id="1730" name="Rounded Rectangle 1"/>
        <xdr:cNvSpPr>
          <a:spLocks noChangeArrowheads="1"/>
        </xdr:cNvSpPr>
      </xdr:nvSpPr>
      <xdr:spPr bwMode="auto">
        <a:xfrm>
          <a:off x="2616200" y="558800"/>
          <a:ext cx="12966700" cy="1168400"/>
        </a:xfrm>
        <a:prstGeom prst="roundRect">
          <a:avLst>
            <a:gd name="adj" fmla="val 16667"/>
          </a:avLst>
        </a:prstGeom>
        <a:noFill/>
        <a:ln w="9525">
          <a:solidFill>
            <a:srgbClr val="FF9933"/>
          </a:solidFill>
          <a:round/>
          <a:headEnd/>
          <a:tailEnd/>
        </a:ln>
        <a:extLst>
          <a:ext uri="{909E8E84-426E-40dd-AFC4-6F175D3DCCD1}">
            <a14:hiddenFill xmlns:a14="http://schemas.microsoft.com/office/drawing/2010/main">
              <a:solidFill>
                <a:srgbClr val="FFFFFF"/>
              </a:solidFill>
            </a14:hiddenFill>
          </a:ext>
        </a:extLst>
      </xdr:spPr>
      <xdr:txBody>
        <a:bodyPr rtlCol="0"/>
        <a:lstStyle/>
        <a:p>
          <a:pPr algn="ctr"/>
          <a:endParaRPr lang="nl-NL"/>
        </a:p>
      </xdr:txBody>
    </xdr:sp>
    <xdr:clientData/>
  </xdr:twoCellAnchor>
  <xdr:twoCellAnchor>
    <xdr:from>
      <xdr:col>1</xdr:col>
      <xdr:colOff>0</xdr:colOff>
      <xdr:row>9</xdr:row>
      <xdr:rowOff>0</xdr:rowOff>
    </xdr:from>
    <xdr:to>
      <xdr:col>26</xdr:col>
      <xdr:colOff>863600</xdr:colOff>
      <xdr:row>10</xdr:row>
      <xdr:rowOff>0</xdr:rowOff>
    </xdr:to>
    <xdr:sp macro="" textlink="">
      <xdr:nvSpPr>
        <xdr:cNvPr id="1731" name="Rounded Rectangle 2"/>
        <xdr:cNvSpPr>
          <a:spLocks noChangeArrowheads="1"/>
        </xdr:cNvSpPr>
      </xdr:nvSpPr>
      <xdr:spPr bwMode="auto">
        <a:xfrm>
          <a:off x="12700" y="1866900"/>
          <a:ext cx="22910800" cy="609600"/>
        </a:xfrm>
        <a:prstGeom prst="roundRect">
          <a:avLst>
            <a:gd name="adj" fmla="val 16667"/>
          </a:avLst>
        </a:prstGeom>
        <a:solidFill>
          <a:srgbClr val="DDD9C3">
            <a:alpha val="45097"/>
          </a:srgbClr>
        </a:solidFill>
        <a:ln w="9525">
          <a:solidFill>
            <a:srgbClr val="FF9933"/>
          </a:solidFill>
          <a:round/>
          <a:headEnd/>
          <a:tailEnd/>
        </a:ln>
      </xdr:spPr>
      <xdr:txBody>
        <a:bodyPr rtlCol="0"/>
        <a:lstStyle/>
        <a:p>
          <a:pPr algn="ctr"/>
          <a:endParaRPr lang="nl-NL"/>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508000</xdr:colOff>
      <xdr:row>3</xdr:row>
      <xdr:rowOff>0</xdr:rowOff>
    </xdr:from>
    <xdr:to>
      <xdr:col>10</xdr:col>
      <xdr:colOff>698500</xdr:colOff>
      <xdr:row>8</xdr:row>
      <xdr:rowOff>25400</xdr:rowOff>
    </xdr:to>
    <xdr:sp macro="" textlink="">
      <xdr:nvSpPr>
        <xdr:cNvPr id="27839" name="Rounded Rectangle 1"/>
        <xdr:cNvSpPr>
          <a:spLocks noChangeArrowheads="1"/>
        </xdr:cNvSpPr>
      </xdr:nvSpPr>
      <xdr:spPr bwMode="auto">
        <a:xfrm>
          <a:off x="2616200" y="558800"/>
          <a:ext cx="12966700" cy="1168400"/>
        </a:xfrm>
        <a:prstGeom prst="roundRect">
          <a:avLst>
            <a:gd name="adj" fmla="val 16667"/>
          </a:avLst>
        </a:prstGeom>
        <a:noFill/>
        <a:ln w="9525">
          <a:solidFill>
            <a:srgbClr val="FF9933"/>
          </a:solidFill>
          <a:round/>
          <a:headEnd/>
          <a:tailEnd/>
        </a:ln>
        <a:extLst>
          <a:ext uri="{909E8E84-426E-40dd-AFC4-6F175D3DCCD1}">
            <a14:hiddenFill xmlns:a14="http://schemas.microsoft.com/office/drawing/2010/main">
              <a:solidFill>
                <a:srgbClr val="FFFFFF"/>
              </a:solidFill>
            </a14:hiddenFill>
          </a:ext>
        </a:extLst>
      </xdr:spPr>
      <xdr:txBody>
        <a:bodyPr rtlCol="0"/>
        <a:lstStyle/>
        <a:p>
          <a:pPr algn="ctr"/>
          <a:endParaRPr lang="nl-NL"/>
        </a:p>
      </xdr:txBody>
    </xdr:sp>
    <xdr:clientData/>
  </xdr:twoCellAnchor>
  <xdr:twoCellAnchor>
    <xdr:from>
      <xdr:col>0</xdr:col>
      <xdr:colOff>0</xdr:colOff>
      <xdr:row>9</xdr:row>
      <xdr:rowOff>12700</xdr:rowOff>
    </xdr:from>
    <xdr:to>
      <xdr:col>25</xdr:col>
      <xdr:colOff>1143000</xdr:colOff>
      <xdr:row>10</xdr:row>
      <xdr:rowOff>0</xdr:rowOff>
    </xdr:to>
    <xdr:sp macro="" textlink="">
      <xdr:nvSpPr>
        <xdr:cNvPr id="27840" name="Rounded Rectangle 2"/>
        <xdr:cNvSpPr>
          <a:spLocks noChangeArrowheads="1"/>
        </xdr:cNvSpPr>
      </xdr:nvSpPr>
      <xdr:spPr bwMode="auto">
        <a:xfrm>
          <a:off x="0" y="1879600"/>
          <a:ext cx="25831800" cy="520700"/>
        </a:xfrm>
        <a:prstGeom prst="roundRect">
          <a:avLst>
            <a:gd name="adj" fmla="val 16667"/>
          </a:avLst>
        </a:prstGeom>
        <a:solidFill>
          <a:srgbClr val="DDD9C3">
            <a:alpha val="45097"/>
          </a:srgbClr>
        </a:solidFill>
        <a:ln w="9525">
          <a:solidFill>
            <a:srgbClr val="FF9933"/>
          </a:solidFill>
          <a:round/>
          <a:headEnd/>
          <a:tailEnd/>
        </a:ln>
      </xdr:spPr>
      <xdr:txBody>
        <a:bodyPr rtlCol="0"/>
        <a:lstStyle/>
        <a:p>
          <a:pPr algn="ctr"/>
          <a:endParaRPr lang="nl-NL"/>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7</xdr:row>
      <xdr:rowOff>177800</xdr:rowOff>
    </xdr:from>
    <xdr:to>
      <xdr:col>4</xdr:col>
      <xdr:colOff>12700</xdr:colOff>
      <xdr:row>9</xdr:row>
      <xdr:rowOff>76200</xdr:rowOff>
    </xdr:to>
    <xdr:sp macro="" textlink="">
      <xdr:nvSpPr>
        <xdr:cNvPr id="29069" name="Rounded Rectangle 2"/>
        <xdr:cNvSpPr>
          <a:spLocks noChangeArrowheads="1"/>
        </xdr:cNvSpPr>
      </xdr:nvSpPr>
      <xdr:spPr bwMode="auto">
        <a:xfrm>
          <a:off x="1282700" y="1562100"/>
          <a:ext cx="7696200" cy="330200"/>
        </a:xfrm>
        <a:prstGeom prst="roundRect">
          <a:avLst>
            <a:gd name="adj" fmla="val 16667"/>
          </a:avLst>
        </a:prstGeom>
        <a:solidFill>
          <a:srgbClr val="DDD9C3">
            <a:alpha val="45097"/>
          </a:srgbClr>
        </a:solidFill>
        <a:ln w="9525">
          <a:solidFill>
            <a:srgbClr val="FF9933"/>
          </a:solidFill>
          <a:round/>
          <a:headEnd/>
          <a:tailEnd/>
        </a:ln>
      </xdr:spPr>
      <xdr:txBody>
        <a:bodyPr rtlCol="0"/>
        <a:lstStyle/>
        <a:p>
          <a:pPr algn="ctr"/>
          <a:endParaRPr lang="nl-NL"/>
        </a:p>
      </xdr:txBody>
    </xdr:sp>
    <xdr:clientData/>
  </xdr:twoCellAnchor>
  <xdr:twoCellAnchor>
    <xdr:from>
      <xdr:col>0</xdr:col>
      <xdr:colOff>1231900</xdr:colOff>
      <xdr:row>0</xdr:row>
      <xdr:rowOff>114300</xdr:rowOff>
    </xdr:from>
    <xdr:to>
      <xdr:col>3</xdr:col>
      <xdr:colOff>1701800</xdr:colOff>
      <xdr:row>7</xdr:row>
      <xdr:rowOff>50800</xdr:rowOff>
    </xdr:to>
    <xdr:sp macro="" textlink="">
      <xdr:nvSpPr>
        <xdr:cNvPr id="29070" name="Rounded Rectangle 1"/>
        <xdr:cNvSpPr>
          <a:spLocks noChangeArrowheads="1"/>
        </xdr:cNvSpPr>
      </xdr:nvSpPr>
      <xdr:spPr bwMode="auto">
        <a:xfrm>
          <a:off x="1231900" y="114300"/>
          <a:ext cx="7721600" cy="1320800"/>
        </a:xfrm>
        <a:prstGeom prst="roundRect">
          <a:avLst>
            <a:gd name="adj" fmla="val 16667"/>
          </a:avLst>
        </a:prstGeom>
        <a:noFill/>
        <a:ln w="9525">
          <a:solidFill>
            <a:srgbClr val="FF9933"/>
          </a:solidFill>
          <a:round/>
          <a:headEnd/>
          <a:tailEnd/>
        </a:ln>
        <a:extLst>
          <a:ext uri="{909E8E84-426E-40dd-AFC4-6F175D3DCCD1}">
            <a14:hiddenFill xmlns:a14="http://schemas.microsoft.com/office/drawing/2010/main">
              <a:solidFill>
                <a:srgbClr val="FFFFFF"/>
              </a:solidFill>
            </a14:hiddenFill>
          </a:ext>
        </a:extLst>
      </xdr:spPr>
      <xdr:txBody>
        <a:bodyPr rtlCol="0"/>
        <a:lstStyle/>
        <a:p>
          <a:pPr algn="ctr"/>
          <a:endParaRPr lang="nl-NL"/>
        </a:p>
      </xdr:txBody>
    </xdr:sp>
    <xdr:clientData/>
  </xdr:twoCellAnchor>
  <xdr:twoCellAnchor>
    <xdr:from>
      <xdr:col>1</xdr:col>
      <xdr:colOff>0</xdr:colOff>
      <xdr:row>35</xdr:row>
      <xdr:rowOff>127000</xdr:rowOff>
    </xdr:from>
    <xdr:to>
      <xdr:col>4</xdr:col>
      <xdr:colOff>12700</xdr:colOff>
      <xdr:row>37</xdr:row>
      <xdr:rowOff>63500</xdr:rowOff>
    </xdr:to>
    <xdr:sp macro="" textlink="">
      <xdr:nvSpPr>
        <xdr:cNvPr id="29071" name="Rounded Rectangle 2"/>
        <xdr:cNvSpPr>
          <a:spLocks noChangeArrowheads="1"/>
        </xdr:cNvSpPr>
      </xdr:nvSpPr>
      <xdr:spPr bwMode="auto">
        <a:xfrm>
          <a:off x="1282700" y="6235700"/>
          <a:ext cx="7696200" cy="330200"/>
        </a:xfrm>
        <a:prstGeom prst="roundRect">
          <a:avLst>
            <a:gd name="adj" fmla="val 16667"/>
          </a:avLst>
        </a:prstGeom>
        <a:solidFill>
          <a:srgbClr val="DDD9C3">
            <a:alpha val="45097"/>
          </a:srgbClr>
        </a:solidFill>
        <a:ln w="9525">
          <a:solidFill>
            <a:srgbClr val="FF9933"/>
          </a:solidFill>
          <a:round/>
          <a:headEnd/>
          <a:tailEnd/>
        </a:ln>
      </xdr:spPr>
      <xdr:txBody>
        <a:bodyPr rtlCol="0"/>
        <a:lstStyle/>
        <a:p>
          <a:pPr algn="ctr"/>
          <a:endParaRPr lang="nl-NL"/>
        </a:p>
      </xdr:txBody>
    </xdr:sp>
    <xdr:clientData/>
  </xdr:twoCellAnchor>
  <xdr:twoCellAnchor>
    <xdr:from>
      <xdr:col>0</xdr:col>
      <xdr:colOff>1257300</xdr:colOff>
      <xdr:row>47</xdr:row>
      <xdr:rowOff>127000</xdr:rowOff>
    </xdr:from>
    <xdr:to>
      <xdr:col>7</xdr:col>
      <xdr:colOff>50800</xdr:colOff>
      <xdr:row>49</xdr:row>
      <xdr:rowOff>63500</xdr:rowOff>
    </xdr:to>
    <xdr:sp macro="" textlink="">
      <xdr:nvSpPr>
        <xdr:cNvPr id="29072" name="Rounded Rectangle 2"/>
        <xdr:cNvSpPr>
          <a:spLocks noChangeArrowheads="1"/>
        </xdr:cNvSpPr>
      </xdr:nvSpPr>
      <xdr:spPr bwMode="auto">
        <a:xfrm>
          <a:off x="1257300" y="8280400"/>
          <a:ext cx="11163300" cy="330200"/>
        </a:xfrm>
        <a:prstGeom prst="roundRect">
          <a:avLst>
            <a:gd name="adj" fmla="val 16667"/>
          </a:avLst>
        </a:prstGeom>
        <a:solidFill>
          <a:srgbClr val="DDD9C3">
            <a:alpha val="45097"/>
          </a:srgbClr>
        </a:solidFill>
        <a:ln w="9525">
          <a:solidFill>
            <a:srgbClr val="FF9933"/>
          </a:solidFill>
          <a:round/>
          <a:headEnd/>
          <a:tailEnd/>
        </a:ln>
      </xdr:spPr>
      <xdr:txBody>
        <a:bodyPr rtlCol="0"/>
        <a:lstStyle/>
        <a:p>
          <a:pPr algn="ctr"/>
          <a:endParaRPr lang="nl-NL"/>
        </a:p>
      </xdr:txBody>
    </xdr:sp>
    <xdr:clientData/>
  </xdr:twoCellAnchor>
  <xdr:twoCellAnchor>
    <xdr:from>
      <xdr:col>1</xdr:col>
      <xdr:colOff>0</xdr:colOff>
      <xdr:row>13</xdr:row>
      <xdr:rowOff>25400</xdr:rowOff>
    </xdr:from>
    <xdr:to>
      <xdr:col>1</xdr:col>
      <xdr:colOff>3733800</xdr:colOff>
      <xdr:row>15</xdr:row>
      <xdr:rowOff>152400</xdr:rowOff>
    </xdr:to>
    <xdr:sp macro="" textlink="">
      <xdr:nvSpPr>
        <xdr:cNvPr id="2" name="Rechthoek 1"/>
        <xdr:cNvSpPr/>
      </xdr:nvSpPr>
      <xdr:spPr bwMode="auto">
        <a:xfrm>
          <a:off x="1282700" y="2501900"/>
          <a:ext cx="3733800" cy="457200"/>
        </a:xfrm>
        <a:prstGeom prst="rect">
          <a:avLst/>
        </a:prstGeom>
        <a:solidFill>
          <a:srgbClr val="B7B085"/>
        </a:solidFill>
        <a:ln w="9525" cap="flat" cmpd="sng" algn="ctr">
          <a:noFill/>
          <a:prstDash val="solid"/>
          <a:round/>
          <a:headEnd type="none" w="med" len="med"/>
          <a:tailEnd type="none" w="med" len="med"/>
        </a:ln>
        <a:effectLst/>
        <a:extLst/>
      </xdr:spPr>
      <xdr:txBody>
        <a:bodyPr vertOverflow="clip" horzOverflow="clip" wrap="square" lIns="18288" tIns="0" rIns="0" bIns="0" rtlCol="0" anchor="ctr" upright="1"/>
        <a:lstStyle/>
        <a:p>
          <a:pPr algn="ctr"/>
          <a:r>
            <a:rPr lang="nl-NL" sz="1100">
              <a:solidFill>
                <a:schemeClr val="tx1"/>
              </a:solidFill>
              <a:latin typeface="Verdana"/>
              <a:cs typeface="Verdana"/>
            </a:rPr>
            <a:t>(selecteer uw categorie dmv plaatsen van een x voor uw keuze in de rechter kolom)</a:t>
          </a:r>
        </a:p>
      </xdr:txBody>
    </xdr:sp>
    <xdr:clientData/>
  </xdr:twoCellAnchor>
  <xdr:twoCellAnchor>
    <xdr:from>
      <xdr:col>4</xdr:col>
      <xdr:colOff>63500</xdr:colOff>
      <xdr:row>26</xdr:row>
      <xdr:rowOff>50800</xdr:rowOff>
    </xdr:from>
    <xdr:to>
      <xdr:col>4</xdr:col>
      <xdr:colOff>177800</xdr:colOff>
      <xdr:row>44</xdr:row>
      <xdr:rowOff>101600</xdr:rowOff>
    </xdr:to>
    <xdr:sp macro="" textlink="">
      <xdr:nvSpPr>
        <xdr:cNvPr id="3" name="Vierkante haak rechts 2"/>
        <xdr:cNvSpPr/>
      </xdr:nvSpPr>
      <xdr:spPr bwMode="auto">
        <a:xfrm>
          <a:off x="9029700" y="4673600"/>
          <a:ext cx="114300" cy="3086100"/>
        </a:xfrm>
        <a:prstGeom prst="rightBracket">
          <a:avLst/>
        </a:prstGeom>
        <a:ln>
          <a:headEnd type="none" w="med" len="med"/>
          <a:tailEnd type="none" w="med" len="med"/>
        </a:ln>
        <a:extLst/>
      </xdr:spPr>
      <xdr:style>
        <a:lnRef idx="2">
          <a:schemeClr val="accent6"/>
        </a:lnRef>
        <a:fillRef idx="0">
          <a:schemeClr val="accent6"/>
        </a:fillRef>
        <a:effectRef idx="1">
          <a:schemeClr val="accent6"/>
        </a:effectRef>
        <a:fontRef idx="minor">
          <a:schemeClr val="tx1"/>
        </a:fontRef>
      </xdr:style>
      <xdr:txBody>
        <a:bodyPr vertOverflow="clip" horzOverflow="clip" wrap="square" lIns="18288" tIns="0" rIns="0" bIns="0" rtlCol="0" anchor="t" upright="1"/>
        <a:lstStyle/>
        <a:p>
          <a:pPr algn="l"/>
          <a:endParaRPr lang="nl-NL"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ZR%20psychiatri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tir.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alculatie%200602-34.2011.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Blad1"/>
    </sheetNames>
    <sheetDataSet>
      <sheetData sheetId="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REF"/>
      <sheetName val="atir.xls"/>
    </sheetNames>
    <sheetDataSet>
      <sheetData sheetId="0" refreshError="1"/>
      <sheetData sheetId="1"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1.2-Kengetal"/>
      <sheetName val="1.3-Basis ruimtestaat"/>
    </sheetNames>
    <sheetDataSet>
      <sheetData sheetId="0" refreshError="1"/>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Classic">
      <a:majorFont>
        <a:latin typeface="Arial"/>
        <a:ea typeface=""/>
        <a:cs typeface=""/>
        <a:font script="Jpan" typeface="ＭＳ Ｐゴシック"/>
        <a:font script="Hang" typeface="돋움"/>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Times New Roman"/>
        <a:ea typeface=""/>
        <a:cs typeface=""/>
        <a:font script="Jpan" typeface="ＭＳ Ｐ明朝"/>
        <a:font script="Hang" typeface="바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blurRad="63500" dist="38099" dir="2700000" algn="ctr" rotWithShape="0">
                  <a:srgbClr val="000000">
                    <a:alpha val="74998"/>
                  </a:srgbClr>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blurRad="63500" dist="38099" dir="2700000" algn="ctr" rotWithShape="0">
                  <a:srgbClr val="000000">
                    <a:alpha val="74998"/>
                  </a:srgbClr>
                </a:outerShdw>
              </a:effectLst>
            </a14:hiddenEffects>
          </a:ext>
        </a:ex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enableFormatConditionsCalculation="0"/>
  <dimension ref="A1:I49"/>
  <sheetViews>
    <sheetView showGridLines="0" showRowColHeaders="0" showZeros="0" showOutlineSymbols="0" workbookViewId="0">
      <selection activeCell="I49" sqref="I49"/>
    </sheetView>
  </sheetViews>
  <sheetFormatPr baseColWidth="10" defaultColWidth="0" defaultRowHeight="13" zeroHeight="1" x14ac:dyDescent="0"/>
  <cols>
    <col min="1" max="1" width="9.140625" style="1" customWidth="1"/>
    <col min="2" max="2" width="22.140625" style="1" customWidth="1"/>
    <col min="3" max="5" width="15.7109375" style="1" customWidth="1"/>
    <col min="6" max="6" width="12.85546875" style="1" bestFit="1" customWidth="1"/>
    <col min="7" max="7" width="2.140625" style="1" customWidth="1"/>
    <col min="8" max="8" width="6" style="1" customWidth="1"/>
    <col min="9" max="9" width="12.28515625" style="1" customWidth="1"/>
    <col min="10" max="16384" width="9.28515625" style="1" hidden="1"/>
  </cols>
  <sheetData>
    <row r="1" spans="1:9"/>
    <row r="2" spans="1:9" ht="16">
      <c r="A2" s="29" t="s">
        <v>160</v>
      </c>
      <c r="B2" s="160"/>
      <c r="C2" s="112" t="str">
        <f>'1.0-Contractblad'!E2</f>
        <v>Stichting CPOW</v>
      </c>
    </row>
    <row r="3" spans="1:9" ht="16">
      <c r="A3" s="29" t="s">
        <v>162</v>
      </c>
      <c r="B3" s="160"/>
      <c r="C3" s="112" t="s">
        <v>161</v>
      </c>
    </row>
    <row r="4" spans="1:9" ht="16">
      <c r="A4" s="29" t="s">
        <v>52</v>
      </c>
      <c r="B4" s="160"/>
      <c r="C4" s="112" t="str">
        <f>'1.0-Contractblad'!E4</f>
        <v>Primair onderwijs Purmerend e.o.</v>
      </c>
    </row>
    <row r="5" spans="1:9" ht="16">
      <c r="A5" s="29" t="s">
        <v>217</v>
      </c>
      <c r="B5" s="160"/>
      <c r="C5" s="112" t="str">
        <f>'1.0-Contractblad'!E5</f>
        <v>0302-52-2015 V1</v>
      </c>
    </row>
    <row r="6" spans="1:9"/>
    <row r="7" spans="1:9"/>
    <row r="8" spans="1:9" ht="18">
      <c r="A8" s="198" t="s">
        <v>33</v>
      </c>
      <c r="B8" s="161"/>
      <c r="C8" s="2"/>
      <c r="D8" s="2"/>
      <c r="E8" s="2"/>
      <c r="F8" s="11"/>
      <c r="G8" s="11"/>
      <c r="H8" s="11"/>
    </row>
    <row r="9" spans="1:9" ht="26" customHeight="1">
      <c r="A9" s="198" t="s">
        <v>224</v>
      </c>
      <c r="B9" s="177"/>
      <c r="C9" s="15"/>
      <c r="D9" s="15"/>
      <c r="E9" s="15"/>
      <c r="F9" s="5"/>
      <c r="G9" s="5"/>
      <c r="H9" s="5"/>
    </row>
    <row r="10" spans="1:9" ht="16">
      <c r="A10" s="18"/>
      <c r="B10" s="15"/>
      <c r="C10" s="15"/>
      <c r="D10" s="15"/>
      <c r="E10" s="15"/>
      <c r="F10" s="13"/>
      <c r="G10" s="12"/>
      <c r="H10" s="5"/>
    </row>
    <row r="11" spans="1:9" ht="16">
      <c r="A11" s="19" t="s">
        <v>20</v>
      </c>
      <c r="B11" s="3"/>
      <c r="C11" s="3"/>
      <c r="G11" s="12"/>
      <c r="I11" s="197" t="s">
        <v>221</v>
      </c>
    </row>
    <row r="12" spans="1:9" ht="16">
      <c r="A12" s="19"/>
      <c r="B12" s="4"/>
      <c r="C12" s="4"/>
      <c r="D12" s="4"/>
      <c r="E12" s="4"/>
      <c r="F12" s="13"/>
      <c r="G12" s="12"/>
      <c r="H12" s="5"/>
    </row>
    <row r="13" spans="1:9" ht="16">
      <c r="A13" s="156" t="s">
        <v>208</v>
      </c>
      <c r="B13" s="4"/>
      <c r="C13" s="4"/>
      <c r="D13" s="4"/>
      <c r="E13" s="4"/>
      <c r="F13" s="13"/>
      <c r="G13" s="12"/>
      <c r="H13" s="5"/>
    </row>
    <row r="14" spans="1:9" ht="33.75" customHeight="1">
      <c r="A14" s="19"/>
      <c r="B14" s="703" t="s">
        <v>82</v>
      </c>
      <c r="C14" s="703"/>
      <c r="D14" s="703"/>
      <c r="E14" s="703"/>
      <c r="F14" s="703"/>
      <c r="G14" s="703"/>
      <c r="H14" s="703"/>
    </row>
    <row r="15" spans="1:9" ht="16">
      <c r="A15" s="156"/>
      <c r="B15" s="155" t="s">
        <v>165</v>
      </c>
      <c r="C15" s="4"/>
      <c r="D15" s="4"/>
      <c r="E15" s="4"/>
      <c r="F15" s="13"/>
      <c r="G15" s="12"/>
      <c r="H15" s="5"/>
    </row>
    <row r="16" spans="1:9" ht="16">
      <c r="A16" s="19"/>
      <c r="C16" s="4"/>
      <c r="D16" s="4"/>
      <c r="E16" s="4"/>
      <c r="F16" s="13"/>
      <c r="G16" s="12"/>
      <c r="H16" s="5"/>
    </row>
    <row r="17" spans="1:8" ht="16">
      <c r="A17" s="156" t="s">
        <v>218</v>
      </c>
    </row>
    <row r="18" spans="1:8"/>
    <row r="19" spans="1:8"/>
    <row r="20" spans="1:8" ht="16">
      <c r="A20" s="156" t="s">
        <v>195</v>
      </c>
      <c r="B20" s="3"/>
      <c r="C20" s="3"/>
      <c r="D20" s="3"/>
      <c r="E20" s="3"/>
      <c r="F20" s="13"/>
    </row>
    <row r="21" spans="1:8" ht="16">
      <c r="A21" s="19"/>
      <c r="B21" s="155" t="s">
        <v>137</v>
      </c>
      <c r="C21" s="3"/>
      <c r="D21" s="3"/>
      <c r="E21" s="3"/>
      <c r="F21" s="13"/>
      <c r="G21" s="12"/>
      <c r="H21" s="5"/>
    </row>
    <row r="22" spans="1:8" ht="16">
      <c r="A22" s="19"/>
      <c r="B22" s="3"/>
      <c r="C22" s="3"/>
      <c r="D22" s="3"/>
      <c r="E22" s="3"/>
      <c r="F22" s="13"/>
      <c r="G22" s="12"/>
      <c r="H22" s="5"/>
    </row>
    <row r="23" spans="1:8" ht="16">
      <c r="A23" s="156" t="s">
        <v>60</v>
      </c>
      <c r="B23" s="3"/>
      <c r="C23" s="3"/>
      <c r="D23" s="3"/>
      <c r="E23" s="3"/>
      <c r="F23" s="13"/>
      <c r="G23" s="12"/>
      <c r="H23" s="5"/>
    </row>
    <row r="24" spans="1:8" ht="16">
      <c r="A24" s="19"/>
      <c r="B24" s="3"/>
      <c r="C24" s="3"/>
      <c r="D24" s="3"/>
      <c r="E24" s="3"/>
      <c r="F24" s="13"/>
      <c r="G24" s="12"/>
      <c r="H24" s="5"/>
    </row>
    <row r="25" spans="1:8" ht="16">
      <c r="A25" s="156" t="s">
        <v>136</v>
      </c>
      <c r="B25" s="3"/>
      <c r="C25" s="3"/>
      <c r="D25" s="3"/>
      <c r="E25" s="3"/>
      <c r="F25" s="13"/>
      <c r="G25" s="12"/>
      <c r="H25" s="5"/>
    </row>
    <row r="26" spans="1:8">
      <c r="B26" s="155" t="s">
        <v>56</v>
      </c>
      <c r="C26" s="3"/>
      <c r="D26" s="3"/>
      <c r="E26" s="3"/>
      <c r="F26" s="13"/>
      <c r="G26" s="12"/>
      <c r="H26" s="5"/>
    </row>
    <row r="27" spans="1:8">
      <c r="B27" s="704" t="s">
        <v>231</v>
      </c>
      <c r="C27" s="705"/>
      <c r="D27" s="705"/>
      <c r="E27" s="705"/>
      <c r="F27" s="705"/>
      <c r="G27" s="705"/>
      <c r="H27" s="5"/>
    </row>
    <row r="28" spans="1:8">
      <c r="B28" s="705"/>
      <c r="C28" s="705"/>
      <c r="D28" s="705"/>
      <c r="E28" s="705"/>
      <c r="F28" s="705"/>
      <c r="G28" s="705"/>
      <c r="H28" s="5"/>
    </row>
    <row r="29" spans="1:8">
      <c r="B29" s="3"/>
      <c r="C29" s="3"/>
      <c r="D29" s="3"/>
      <c r="E29" s="3"/>
      <c r="F29" s="13"/>
      <c r="G29" s="12"/>
      <c r="H29" s="5"/>
    </row>
    <row r="30" spans="1:8" ht="16">
      <c r="A30" s="156" t="s">
        <v>79</v>
      </c>
      <c r="B30" s="16"/>
      <c r="C30" s="16"/>
      <c r="D30" s="16"/>
      <c r="E30" s="16"/>
      <c r="F30" s="6"/>
      <c r="G30" s="12"/>
      <c r="H30" s="5"/>
    </row>
    <row r="31" spans="1:8">
      <c r="B31" s="155" t="s">
        <v>179</v>
      </c>
      <c r="C31" s="3"/>
      <c r="D31" s="20"/>
      <c r="E31" s="21"/>
      <c r="F31" s="13"/>
      <c r="G31" s="7"/>
      <c r="H31" s="5"/>
    </row>
    <row r="32" spans="1:8" ht="16">
      <c r="A32" s="22"/>
      <c r="B32" s="23"/>
      <c r="C32" s="17"/>
      <c r="D32" s="23"/>
      <c r="E32" s="17"/>
      <c r="F32" s="14"/>
      <c r="G32" s="12"/>
      <c r="H32" s="5"/>
    </row>
    <row r="33" spans="1:8" ht="16">
      <c r="A33" s="156" t="s">
        <v>153</v>
      </c>
      <c r="B33" s="23"/>
      <c r="C33" s="17"/>
      <c r="D33" s="23"/>
      <c r="E33" s="17"/>
      <c r="F33" s="14"/>
      <c r="G33" s="7"/>
      <c r="H33" s="8"/>
    </row>
    <row r="34" spans="1:8">
      <c r="A34" s="24"/>
      <c r="B34" s="10"/>
      <c r="C34" s="24"/>
      <c r="D34" s="10"/>
      <c r="E34" s="24"/>
      <c r="F34" s="7"/>
      <c r="G34" s="7"/>
      <c r="H34" s="8"/>
    </row>
    <row r="35" spans="1:8" ht="16">
      <c r="A35" s="156" t="s">
        <v>197</v>
      </c>
      <c r="B35" s="25"/>
      <c r="C35" s="10"/>
      <c r="D35" s="25"/>
      <c r="E35" s="10"/>
      <c r="F35" s="7"/>
      <c r="G35" s="7"/>
      <c r="H35" s="9"/>
    </row>
    <row r="36" spans="1:8">
      <c r="G36" s="7"/>
      <c r="H36" s="9"/>
    </row>
    <row r="37" spans="1:8" ht="16">
      <c r="A37" s="158"/>
    </row>
    <row r="38" spans="1:8">
      <c r="B38" s="159"/>
    </row>
    <row r="39" spans="1:8"/>
    <row r="40" spans="1:8" ht="16">
      <c r="A40" s="158"/>
    </row>
    <row r="41" spans="1:8">
      <c r="B41" s="159"/>
    </row>
    <row r="42" spans="1:8"/>
    <row r="43" spans="1:8" ht="16">
      <c r="A43" s="158"/>
    </row>
    <row r="44" spans="1:8"/>
    <row r="45" spans="1:8"/>
    <row r="46" spans="1:8"/>
    <row r="47" spans="1:8"/>
    <row r="48" spans="1:8"/>
    <row r="49"/>
  </sheetData>
  <dataConsolidate/>
  <mergeCells count="2">
    <mergeCell ref="B14:H14"/>
    <mergeCell ref="B27:G28"/>
  </mergeCells>
  <phoneticPr fontId="9"/>
  <pageMargins left="0.59055118110236227" right="0.59055118110236227" top="0.39370078740157483" bottom="0.78740157480314965" header="0.39370078740157483" footer="0.19685039370078741"/>
  <pageSetup paperSize="9" scale="55" orientation="portrait" horizontalDpi="4294967292" verticalDpi="4294967292"/>
  <headerFooter>
    <oddHeader>&amp;L&amp;C&amp;R</oddHeader>
    <oddFooter>&amp;L&amp;"Verdana,Regular"&amp;F-&amp;A_x000D_ICCA b.v. ©&amp;R&amp;"Verdana,Regular"printversie &amp;D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 enableFormatConditionsCalculation="0">
    <pageSetUpPr fitToPage="1"/>
  </sheetPr>
  <dimension ref="B1:K83"/>
  <sheetViews>
    <sheetView showGridLines="0" showZeros="0" showOutlineSymbols="0" zoomScaleSheetLayoutView="75" workbookViewId="0">
      <selection activeCell="N74" sqref="N74"/>
    </sheetView>
  </sheetViews>
  <sheetFormatPr baseColWidth="10" defaultColWidth="10.7109375" defaultRowHeight="13" zeroHeight="1" x14ac:dyDescent="0"/>
  <cols>
    <col min="1" max="1" width="14.42578125" style="163" customWidth="1"/>
    <col min="2" max="2" width="45.5703125" style="163" customWidth="1"/>
    <col min="3" max="3" width="21.5703125" style="163" customWidth="1"/>
    <col min="4" max="4" width="19.28515625" style="163" customWidth="1"/>
    <col min="5" max="5" width="5" style="163" customWidth="1"/>
    <col min="6" max="6" width="14.7109375" style="163" customWidth="1"/>
    <col min="7" max="7" width="15.28515625" style="163" customWidth="1"/>
    <col min="8" max="8" width="12.140625" style="163" customWidth="1"/>
    <col min="9" max="9" width="7.85546875" style="163" customWidth="1"/>
    <col min="10" max="10" width="27" style="163" customWidth="1"/>
    <col min="11" max="16384" width="10.7109375" style="163"/>
  </cols>
  <sheetData>
    <row r="1" spans="2:11"/>
    <row r="2" spans="2:11" ht="16">
      <c r="B2" s="72" t="s">
        <v>160</v>
      </c>
      <c r="C2" s="30" t="str">
        <f>'1.3-Basis ruimtestaat'!G4</f>
        <v>Stichting CPOW</v>
      </c>
      <c r="E2" s="161"/>
      <c r="F2" s="161"/>
      <c r="G2" s="162"/>
      <c r="H2" s="162"/>
      <c r="I2" s="162"/>
    </row>
    <row r="3" spans="2:11" ht="16">
      <c r="B3" s="72" t="s">
        <v>112</v>
      </c>
      <c r="C3" s="72" t="s">
        <v>459</v>
      </c>
      <c r="D3" s="164"/>
      <c r="E3" s="165"/>
      <c r="F3" s="166"/>
      <c r="G3" s="167"/>
      <c r="H3" s="167"/>
      <c r="I3" s="167"/>
    </row>
    <row r="4" spans="2:11" ht="16">
      <c r="B4" s="72" t="s">
        <v>144</v>
      </c>
      <c r="C4" s="30" t="str">
        <f>'1.3-Basis ruimtestaat'!G6</f>
        <v>Primair onderwijs Purmerend e.o.</v>
      </c>
      <c r="D4" s="72"/>
      <c r="E4" s="168"/>
      <c r="F4" s="169"/>
      <c r="G4" s="170"/>
      <c r="H4" s="171"/>
      <c r="I4" s="167"/>
    </row>
    <row r="5" spans="2:11" ht="16">
      <c r="B5" s="72" t="s">
        <v>217</v>
      </c>
      <c r="C5" s="30" t="str">
        <f>'1.3-Basis ruimtestaat'!G7</f>
        <v>0302-52-2015 V1</v>
      </c>
      <c r="D5" s="172"/>
      <c r="E5" s="168"/>
      <c r="F5" s="169"/>
      <c r="G5" s="170"/>
      <c r="H5" s="171"/>
      <c r="I5" s="167"/>
    </row>
    <row r="6" spans="2:11" ht="16">
      <c r="B6" s="72" t="s">
        <v>158</v>
      </c>
      <c r="C6" s="30" t="str">
        <f>'1.3-Basis ruimtestaat'!G8</f>
        <v>[NAAM LEVERANCIER]</v>
      </c>
      <c r="D6" s="172"/>
      <c r="E6" s="172"/>
      <c r="F6" s="173"/>
      <c r="G6" s="170"/>
      <c r="H6" s="171"/>
      <c r="I6" s="167"/>
      <c r="J6" s="174"/>
      <c r="K6" s="174"/>
    </row>
    <row r="7" spans="2:11" ht="16">
      <c r="B7" s="72" t="s">
        <v>8</v>
      </c>
      <c r="C7" s="699">
        <f>Voorblad!$E$15</f>
        <v>42370</v>
      </c>
      <c r="D7" s="169"/>
      <c r="E7" s="169"/>
      <c r="F7" s="169"/>
      <c r="G7" s="170"/>
      <c r="H7" s="171"/>
      <c r="I7" s="167"/>
    </row>
    <row r="8" spans="2:11" ht="16">
      <c r="B8" s="175"/>
      <c r="C8" s="169"/>
      <c r="D8" s="169"/>
      <c r="E8" s="169"/>
      <c r="F8" s="169"/>
      <c r="G8" s="170"/>
      <c r="H8" s="171"/>
      <c r="I8" s="167"/>
    </row>
    <row r="9" spans="2:11" ht="18">
      <c r="B9" s="355" t="s">
        <v>184</v>
      </c>
      <c r="C9" s="356"/>
      <c r="D9" s="356"/>
      <c r="E9" s="356"/>
      <c r="F9" s="356"/>
      <c r="G9" s="170"/>
      <c r="H9" s="171"/>
      <c r="I9" s="167"/>
    </row>
    <row r="10" spans="2:11">
      <c r="B10" s="176"/>
      <c r="C10" s="177"/>
      <c r="D10" s="177"/>
      <c r="E10" s="177"/>
      <c r="F10" s="177"/>
      <c r="G10" s="167"/>
      <c r="H10" s="167"/>
      <c r="I10" s="167"/>
    </row>
    <row r="11" spans="2:11">
      <c r="B11" s="535"/>
      <c r="C11" s="536"/>
      <c r="D11" s="537" t="s">
        <v>228</v>
      </c>
      <c r="E11" s="177"/>
      <c r="F11" s="177"/>
      <c r="G11" s="170"/>
      <c r="H11" s="171"/>
      <c r="I11" s="167"/>
    </row>
    <row r="12" spans="2:11">
      <c r="B12" s="538" t="s">
        <v>463</v>
      </c>
      <c r="C12" s="539"/>
      <c r="D12" s="351">
        <v>0</v>
      </c>
      <c r="E12" s="177"/>
      <c r="F12" s="170"/>
      <c r="G12" s="171"/>
      <c r="H12" s="167"/>
    </row>
    <row r="13" spans="2:11">
      <c r="B13" s="619" t="s">
        <v>621</v>
      </c>
      <c r="C13" s="562"/>
      <c r="D13" s="571"/>
      <c r="E13" s="177"/>
      <c r="F13" s="170"/>
      <c r="G13" s="171"/>
      <c r="H13" s="167"/>
    </row>
    <row r="14" spans="2:11">
      <c r="B14" s="620"/>
      <c r="C14" s="562" t="s">
        <v>473</v>
      </c>
      <c r="D14" s="568">
        <f>IF(B14="x",C14,0)</f>
        <v>0</v>
      </c>
      <c r="E14" s="177"/>
      <c r="F14" s="170"/>
      <c r="G14" s="171"/>
      <c r="H14" s="167"/>
    </row>
    <row r="15" spans="2:11">
      <c r="B15" s="620"/>
      <c r="C15" s="562" t="s">
        <v>474</v>
      </c>
      <c r="D15" s="568">
        <f>IF(B15="x",C15,0)</f>
        <v>0</v>
      </c>
      <c r="E15" s="177"/>
      <c r="F15" s="170"/>
      <c r="G15" s="171"/>
      <c r="H15" s="167"/>
    </row>
    <row r="16" spans="2:11">
      <c r="B16" s="620"/>
      <c r="C16" s="562" t="s">
        <v>475</v>
      </c>
      <c r="D16" s="568">
        <f>IF(B16="x",C16,0)</f>
        <v>0</v>
      </c>
      <c r="E16" s="177"/>
      <c r="F16" s="170"/>
      <c r="G16" s="171"/>
      <c r="H16" s="167"/>
    </row>
    <row r="17" spans="2:9">
      <c r="B17" s="569"/>
      <c r="C17" s="570"/>
      <c r="D17" s="571"/>
      <c r="E17" s="177"/>
      <c r="F17" s="170"/>
      <c r="G17" s="171"/>
      <c r="H17" s="167"/>
    </row>
    <row r="18" spans="2:9">
      <c r="B18" s="353" t="s">
        <v>163</v>
      </c>
      <c r="C18" s="694"/>
      <c r="D18" s="566"/>
      <c r="E18" s="177"/>
      <c r="F18" s="170"/>
      <c r="G18" s="171"/>
      <c r="H18" s="167"/>
    </row>
    <row r="19" spans="2:9">
      <c r="B19" s="695" t="s">
        <v>469</v>
      </c>
      <c r="C19" s="694"/>
      <c r="D19" s="567"/>
      <c r="E19" s="177"/>
      <c r="F19" s="170"/>
      <c r="G19" s="171"/>
      <c r="H19" s="167"/>
    </row>
    <row r="20" spans="2:9">
      <c r="B20" s="695" t="s">
        <v>470</v>
      </c>
      <c r="C20" s="694"/>
      <c r="D20" s="567"/>
      <c r="E20" s="177"/>
      <c r="F20" s="170"/>
      <c r="G20" s="171"/>
      <c r="H20" s="167"/>
      <c r="I20" s="178"/>
    </row>
    <row r="21" spans="2:9">
      <c r="B21" s="695" t="s">
        <v>471</v>
      </c>
      <c r="C21" s="694"/>
      <c r="D21" s="567"/>
      <c r="E21" s="177"/>
      <c r="F21" s="170"/>
      <c r="G21" s="171"/>
      <c r="H21" s="167"/>
    </row>
    <row r="22" spans="2:9">
      <c r="B22" s="696" t="s">
        <v>472</v>
      </c>
      <c r="C22" s="694"/>
      <c r="D22" s="563">
        <f>SUM(D12:D21)</f>
        <v>0</v>
      </c>
      <c r="E22" s="177"/>
      <c r="F22" s="170"/>
      <c r="G22" s="171"/>
      <c r="H22" s="167"/>
    </row>
    <row r="23" spans="2:9">
      <c r="B23" s="569"/>
      <c r="C23" s="570"/>
      <c r="D23" s="571"/>
      <c r="E23" s="177"/>
      <c r="F23" s="170"/>
      <c r="G23" s="171"/>
      <c r="H23" s="167"/>
    </row>
    <row r="24" spans="2:9">
      <c r="B24" s="538" t="s">
        <v>464</v>
      </c>
      <c r="C24" s="539"/>
      <c r="D24" s="351">
        <v>0</v>
      </c>
      <c r="E24" s="177"/>
      <c r="F24" s="170"/>
      <c r="G24" s="171"/>
      <c r="H24" s="167"/>
    </row>
    <row r="25" spans="2:9">
      <c r="B25" s="540" t="s">
        <v>18</v>
      </c>
      <c r="C25" s="539"/>
      <c r="D25" s="351">
        <v>0</v>
      </c>
      <c r="E25" s="177"/>
      <c r="F25" s="170"/>
      <c r="G25" s="171"/>
      <c r="H25" s="167"/>
    </row>
    <row r="26" spans="2:9">
      <c r="B26" s="538" t="s">
        <v>19</v>
      </c>
      <c r="C26" s="539"/>
      <c r="D26" s="351">
        <v>0</v>
      </c>
      <c r="E26" s="177"/>
      <c r="F26" s="170"/>
      <c r="G26" s="171"/>
      <c r="H26" s="167"/>
    </row>
    <row r="27" spans="2:9">
      <c r="B27" s="540" t="s">
        <v>465</v>
      </c>
      <c r="C27" s="539"/>
      <c r="D27" s="621">
        <f>D45</f>
        <v>0</v>
      </c>
      <c r="E27" s="177"/>
      <c r="F27" s="170"/>
      <c r="G27" s="171"/>
      <c r="H27" s="167"/>
    </row>
    <row r="28" spans="2:9">
      <c r="B28" s="540" t="s">
        <v>130</v>
      </c>
      <c r="C28" s="539"/>
      <c r="D28" s="351">
        <v>0</v>
      </c>
      <c r="E28" s="177"/>
      <c r="F28" s="170"/>
      <c r="G28" s="171"/>
      <c r="H28" s="167"/>
    </row>
    <row r="29" spans="2:9">
      <c r="B29" s="540" t="s">
        <v>131</v>
      </c>
      <c r="C29" s="539"/>
      <c r="D29" s="351">
        <v>0</v>
      </c>
      <c r="E29" s="177"/>
      <c r="F29" s="170"/>
      <c r="G29" s="171"/>
      <c r="H29" s="167"/>
    </row>
    <row r="30" spans="2:9">
      <c r="B30" s="540" t="s">
        <v>132</v>
      </c>
      <c r="C30" s="539"/>
      <c r="D30" s="351">
        <v>0</v>
      </c>
      <c r="E30" s="177"/>
      <c r="F30" s="170"/>
      <c r="G30" s="171"/>
      <c r="H30" s="167"/>
    </row>
    <row r="31" spans="2:9">
      <c r="B31" s="540" t="s">
        <v>164</v>
      </c>
      <c r="C31" s="539"/>
      <c r="D31" s="351">
        <v>0</v>
      </c>
      <c r="E31" s="177"/>
      <c r="F31" s="170"/>
      <c r="G31" s="171"/>
      <c r="H31" s="167"/>
    </row>
    <row r="32" spans="2:9">
      <c r="B32" s="353"/>
      <c r="C32" s="352"/>
      <c r="D32" s="351"/>
      <c r="E32" s="177"/>
      <c r="F32" s="170"/>
      <c r="G32" s="171"/>
      <c r="H32" s="167"/>
    </row>
    <row r="33" spans="2:11">
      <c r="B33" s="354"/>
      <c r="C33" s="354" t="s">
        <v>11</v>
      </c>
      <c r="D33" s="542">
        <f>SUM(D22:D32)</f>
        <v>0</v>
      </c>
      <c r="E33" s="177"/>
      <c r="F33" s="170"/>
      <c r="G33" s="171"/>
      <c r="H33" s="167"/>
    </row>
    <row r="34" spans="2:11">
      <c r="B34" s="179"/>
      <c r="C34" s="180"/>
      <c r="D34" s="181"/>
      <c r="E34" s="169"/>
      <c r="F34" s="167"/>
      <c r="G34" s="171"/>
      <c r="H34" s="167"/>
    </row>
    <row r="35" spans="2:11">
      <c r="E35" s="169"/>
      <c r="F35" s="169"/>
      <c r="G35" s="167"/>
      <c r="H35" s="171"/>
      <c r="I35" s="167"/>
    </row>
    <row r="36" spans="2:11">
      <c r="B36" s="176"/>
      <c r="C36" s="177"/>
      <c r="D36" s="177"/>
      <c r="E36" s="169"/>
      <c r="F36" s="169"/>
      <c r="G36" s="167"/>
      <c r="H36" s="167"/>
      <c r="I36" s="167"/>
    </row>
    <row r="37" spans="2:11" ht="18">
      <c r="B37" s="355" t="s">
        <v>139</v>
      </c>
      <c r="C37" s="356"/>
      <c r="D37" s="356"/>
      <c r="E37" s="169"/>
      <c r="F37" s="169"/>
      <c r="G37" s="170"/>
      <c r="H37" s="171"/>
      <c r="I37" s="167"/>
    </row>
    <row r="38" spans="2:11">
      <c r="B38" s="176"/>
      <c r="C38" s="177"/>
      <c r="D38" s="177"/>
      <c r="E38" s="169"/>
      <c r="F38" s="169"/>
      <c r="G38" s="167"/>
      <c r="H38" s="167"/>
      <c r="I38" s="167"/>
      <c r="J38" s="178"/>
    </row>
    <row r="39" spans="2:11">
      <c r="B39" s="177"/>
      <c r="C39" s="177"/>
      <c r="D39" s="360" t="s">
        <v>133</v>
      </c>
      <c r="E39" s="169"/>
      <c r="F39" s="169"/>
      <c r="G39" s="167"/>
      <c r="H39" s="167"/>
      <c r="I39" s="167"/>
      <c r="J39" s="178"/>
    </row>
    <row r="40" spans="2:11">
      <c r="B40" s="364" t="s">
        <v>134</v>
      </c>
      <c r="C40" s="365"/>
      <c r="D40" s="362">
        <f>IF('1.5 Opbouw uurtarieven'!Q40=0,0,'1.5 Opbouw uurtarieven'!Q40)</f>
        <v>0</v>
      </c>
      <c r="E40" s="169"/>
      <c r="F40" s="169"/>
      <c r="G40" s="183"/>
      <c r="H40" s="178"/>
      <c r="I40" s="167"/>
      <c r="J40" s="178"/>
      <c r="K40" s="178"/>
    </row>
    <row r="41" spans="2:11">
      <c r="B41" s="364" t="s">
        <v>118</v>
      </c>
      <c r="C41" s="618" t="str">
        <f>IF(D41&gt;=0,"Let op! voer min bedrag in &gt;&gt;",0)</f>
        <v>Let op! voer min bedrag in &gt;&gt;</v>
      </c>
      <c r="D41" s="371">
        <v>0</v>
      </c>
      <c r="E41" s="691"/>
      <c r="F41" s="169"/>
      <c r="G41" s="170"/>
      <c r="H41" s="171"/>
      <c r="I41" s="167"/>
      <c r="J41" s="178"/>
      <c r="K41" s="178"/>
    </row>
    <row r="42" spans="2:11">
      <c r="B42" s="364" t="s">
        <v>30</v>
      </c>
      <c r="C42" s="365"/>
      <c r="D42" s="362">
        <f>D40+D41</f>
        <v>0</v>
      </c>
      <c r="E42" s="169"/>
      <c r="F42" s="169"/>
      <c r="G42" s="171"/>
      <c r="I42" s="167"/>
      <c r="J42" s="178"/>
      <c r="K42" s="178"/>
    </row>
    <row r="43" spans="2:11">
      <c r="B43" s="369" t="s">
        <v>31</v>
      </c>
      <c r="C43" s="365"/>
      <c r="D43" s="370">
        <v>0</v>
      </c>
      <c r="E43" s="169"/>
      <c r="F43" s="169"/>
      <c r="G43" s="170"/>
      <c r="H43" s="171"/>
      <c r="I43" s="167"/>
      <c r="J43" s="178"/>
    </row>
    <row r="44" spans="2:11">
      <c r="B44" s="176"/>
      <c r="C44" s="180"/>
      <c r="D44" s="361"/>
      <c r="E44" s="169"/>
      <c r="F44" s="169"/>
      <c r="G44" s="167"/>
      <c r="H44" s="167"/>
      <c r="I44" s="167"/>
      <c r="J44" s="178"/>
    </row>
    <row r="45" spans="2:11">
      <c r="B45" s="367"/>
      <c r="C45" s="368" t="s">
        <v>119</v>
      </c>
      <c r="D45" s="363">
        <f>IF(D42=0,0,(D42/D40)*D43)</f>
        <v>0</v>
      </c>
      <c r="E45" s="169"/>
      <c r="F45" s="169"/>
      <c r="G45" s="167"/>
      <c r="H45" s="171"/>
      <c r="I45" s="185"/>
      <c r="J45" s="178"/>
    </row>
    <row r="46" spans="2:11">
      <c r="B46" s="179"/>
      <c r="C46" s="180"/>
      <c r="D46" s="184"/>
      <c r="E46" s="169"/>
      <c r="F46" s="169"/>
      <c r="G46" s="167"/>
      <c r="H46" s="171"/>
      <c r="I46" s="167"/>
      <c r="J46" s="178"/>
    </row>
    <row r="47" spans="2:11">
      <c r="B47" s="176"/>
      <c r="C47" s="177"/>
      <c r="D47" s="177"/>
      <c r="E47" s="169"/>
      <c r="F47" s="169"/>
      <c r="G47" s="167"/>
      <c r="H47" s="171"/>
      <c r="I47" s="167"/>
    </row>
    <row r="48" spans="2:11">
      <c r="B48" s="176"/>
      <c r="C48" s="177"/>
      <c r="D48" s="177"/>
      <c r="E48" s="169"/>
      <c r="F48" s="169"/>
      <c r="G48" s="167"/>
      <c r="H48" s="167"/>
      <c r="I48" s="167"/>
    </row>
    <row r="49" spans="2:9" ht="18">
      <c r="B49" s="357" t="s">
        <v>12</v>
      </c>
      <c r="C49" s="358" t="s">
        <v>678</v>
      </c>
      <c r="D49" s="359"/>
      <c r="E49" s="169"/>
      <c r="F49" s="698" t="s">
        <v>66</v>
      </c>
      <c r="G49" s="167"/>
      <c r="H49" s="167"/>
      <c r="I49" s="167"/>
    </row>
    <row r="50" spans="2:9">
      <c r="B50" s="182"/>
      <c r="C50" s="165"/>
      <c r="D50" s="183"/>
      <c r="E50" s="169"/>
      <c r="F50" s="169"/>
      <c r="G50" s="167"/>
      <c r="H50" s="167"/>
      <c r="I50" s="167"/>
    </row>
    <row r="51" spans="2:9">
      <c r="B51" s="182"/>
      <c r="C51" s="372" t="s">
        <v>622</v>
      </c>
      <c r="D51" s="183"/>
      <c r="E51" s="169"/>
      <c r="F51" s="372" t="s">
        <v>622</v>
      </c>
      <c r="G51" s="183"/>
      <c r="H51" s="186"/>
      <c r="I51" s="167"/>
    </row>
    <row r="52" spans="2:9">
      <c r="B52" s="373" t="s">
        <v>13</v>
      </c>
      <c r="C52" s="379">
        <v>0</v>
      </c>
      <c r="D52" s="183"/>
      <c r="E52" s="169"/>
      <c r="F52" s="379">
        <v>0</v>
      </c>
      <c r="G52" s="183"/>
      <c r="H52" s="186"/>
      <c r="I52" s="186"/>
    </row>
    <row r="53" spans="2:9">
      <c r="B53" s="373" t="s">
        <v>14</v>
      </c>
      <c r="C53" s="379">
        <v>0</v>
      </c>
      <c r="D53" s="375"/>
      <c r="E53" s="169"/>
      <c r="F53" s="379">
        <v>0</v>
      </c>
      <c r="G53" s="375"/>
      <c r="H53" s="186"/>
      <c r="I53" s="186"/>
    </row>
    <row r="54" spans="2:9">
      <c r="B54" s="374" t="s">
        <v>15</v>
      </c>
      <c r="C54" s="380"/>
      <c r="D54" s="385">
        <f>C52-C53</f>
        <v>0</v>
      </c>
      <c r="E54" s="169"/>
      <c r="F54" s="380"/>
      <c r="G54" s="385">
        <f>F52-F53</f>
        <v>0</v>
      </c>
      <c r="H54" s="186"/>
      <c r="I54" s="186"/>
    </row>
    <row r="55" spans="2:9">
      <c r="B55" s="374"/>
      <c r="C55" s="381"/>
      <c r="D55" s="378"/>
      <c r="E55" s="169"/>
      <c r="F55" s="381"/>
      <c r="G55" s="378"/>
      <c r="H55" s="186"/>
      <c r="I55" s="186"/>
    </row>
    <row r="56" spans="2:9">
      <c r="B56" s="373" t="s">
        <v>103</v>
      </c>
      <c r="C56" s="379">
        <v>0</v>
      </c>
      <c r="D56" s="376"/>
      <c r="E56" s="169"/>
      <c r="F56" s="379">
        <v>0</v>
      </c>
      <c r="G56" s="376"/>
      <c r="H56" s="186"/>
      <c r="I56" s="186"/>
    </row>
    <row r="57" spans="2:9">
      <c r="B57" s="373" t="s">
        <v>48</v>
      </c>
      <c r="C57" s="379">
        <v>0</v>
      </c>
      <c r="D57" s="376"/>
      <c r="E57" s="169"/>
      <c r="F57" s="379">
        <v>0</v>
      </c>
      <c r="G57" s="376"/>
      <c r="H57" s="186"/>
      <c r="I57" s="186"/>
    </row>
    <row r="58" spans="2:9">
      <c r="B58" s="373" t="s">
        <v>104</v>
      </c>
      <c r="C58" s="379">
        <v>0</v>
      </c>
      <c r="D58" s="376"/>
      <c r="E58" s="169"/>
      <c r="F58" s="379">
        <v>0</v>
      </c>
      <c r="G58" s="376"/>
      <c r="H58" s="186"/>
      <c r="I58" s="186"/>
    </row>
    <row r="59" spans="2:9">
      <c r="B59" s="373" t="s">
        <v>105</v>
      </c>
      <c r="C59" s="379"/>
      <c r="D59" s="376"/>
      <c r="E59" s="169"/>
      <c r="F59" s="379">
        <v>0</v>
      </c>
      <c r="G59" s="376"/>
      <c r="H59" s="186"/>
      <c r="I59" s="186"/>
    </row>
    <row r="60" spans="2:9">
      <c r="B60" s="374" t="s">
        <v>55</v>
      </c>
      <c r="C60" s="382"/>
      <c r="D60" s="385">
        <f>D54-SUM(C56:C59)</f>
        <v>0</v>
      </c>
      <c r="E60" s="169"/>
      <c r="F60" s="382"/>
      <c r="G60" s="385">
        <f>G54-SUM(F56:F59)</f>
        <v>0</v>
      </c>
      <c r="H60" s="186"/>
      <c r="I60" s="186"/>
    </row>
    <row r="61" spans="2:9">
      <c r="B61" s="374"/>
      <c r="C61" s="383"/>
      <c r="D61" s="378"/>
      <c r="E61" s="169"/>
      <c r="F61" s="383"/>
      <c r="G61" s="378"/>
      <c r="H61" s="186"/>
      <c r="I61" s="186"/>
    </row>
    <row r="62" spans="2:9">
      <c r="B62" s="366" t="s">
        <v>125</v>
      </c>
      <c r="C62" s="384">
        <f>IF(C56=0,0,C56/$D$60)</f>
        <v>0</v>
      </c>
      <c r="D62" s="376"/>
      <c r="E62" s="169"/>
      <c r="F62" s="384">
        <f>IF(F56=0,0,F56/$G$60)</f>
        <v>0</v>
      </c>
      <c r="G62" s="376"/>
      <c r="H62" s="186"/>
      <c r="I62" s="186"/>
    </row>
    <row r="63" spans="2:9">
      <c r="B63" s="366" t="s">
        <v>48</v>
      </c>
      <c r="C63" s="384">
        <f>IF(C57=0,0,C57/$D$60)</f>
        <v>0</v>
      </c>
      <c r="D63" s="376"/>
      <c r="E63" s="169"/>
      <c r="F63" s="384">
        <f>IF(F57=0,0,F57/$G$60)</f>
        <v>0</v>
      </c>
      <c r="G63" s="376"/>
      <c r="H63" s="186"/>
      <c r="I63" s="186"/>
    </row>
    <row r="64" spans="2:9">
      <c r="B64" s="366" t="s">
        <v>215</v>
      </c>
      <c r="C64" s="384">
        <f>IF(C58=0,0,C58/$D$60)</f>
        <v>0</v>
      </c>
      <c r="D64" s="376"/>
      <c r="E64" s="169"/>
      <c r="F64" s="384">
        <f>IF(F58=0,0,F58/$G$60)</f>
        <v>0</v>
      </c>
      <c r="G64" s="376"/>
      <c r="H64" s="186"/>
      <c r="I64" s="186"/>
    </row>
    <row r="65" spans="2:10">
      <c r="B65" s="366" t="s">
        <v>105</v>
      </c>
      <c r="C65" s="377">
        <f>IF(C59=0,0,C59/$D$60)</f>
        <v>0</v>
      </c>
      <c r="D65" s="376"/>
      <c r="E65" s="169"/>
      <c r="F65" s="384">
        <f>IF(F59=0,0,F59/$G$60)</f>
        <v>0</v>
      </c>
      <c r="G65" s="376"/>
      <c r="H65" s="187"/>
      <c r="I65" s="188"/>
    </row>
    <row r="66" spans="2:10">
      <c r="B66" s="367"/>
      <c r="C66" s="367" t="s">
        <v>1</v>
      </c>
      <c r="D66" s="541">
        <f>SUM(C62:C65)</f>
        <v>0</v>
      </c>
      <c r="E66" s="169"/>
      <c r="F66" s="367"/>
      <c r="G66" s="541">
        <f>SUM(F62:F65)</f>
        <v>0</v>
      </c>
      <c r="H66" s="187"/>
      <c r="I66" s="189"/>
    </row>
    <row r="67" spans="2:10">
      <c r="B67" s="190"/>
      <c r="C67" s="190"/>
      <c r="D67" s="190"/>
      <c r="E67" s="169"/>
      <c r="F67" s="169"/>
      <c r="G67" s="167"/>
      <c r="H67" s="162"/>
      <c r="I67" s="162"/>
    </row>
    <row r="68" spans="2:10">
      <c r="B68" s="386" t="s">
        <v>32</v>
      </c>
      <c r="C68" s="191"/>
      <c r="D68" s="191"/>
      <c r="E68" s="169"/>
      <c r="F68" s="169"/>
      <c r="G68" s="162"/>
      <c r="H68" s="162"/>
      <c r="I68" s="162"/>
      <c r="J68" s="178"/>
    </row>
    <row r="69" spans="2:10">
      <c r="B69" s="192"/>
      <c r="C69" s="193"/>
      <c r="D69" s="193"/>
      <c r="E69" s="191"/>
      <c r="F69" s="191"/>
      <c r="G69" s="162"/>
      <c r="H69" s="162"/>
      <c r="I69" s="162"/>
    </row>
    <row r="70" spans="2:10"/>
    <row r="71" spans="2:10"/>
    <row r="72" spans="2:10"/>
    <row r="73" spans="2:10"/>
    <row r="74" spans="2:10"/>
    <row r="75" spans="2:10"/>
    <row r="76" spans="2:10"/>
    <row r="77" spans="2:10"/>
    <row r="78" spans="2:10"/>
    <row r="79" spans="2:10"/>
    <row r="80" spans="2:10"/>
    <row r="81"/>
    <row r="82"/>
    <row r="83"/>
  </sheetData>
  <dataConsolidate/>
  <phoneticPr fontId="9"/>
  <conditionalFormatting sqref="C41">
    <cfRule type="expression" dxfId="119" priority="1">
      <formula>"D40=&gt;0"</formula>
    </cfRule>
  </conditionalFormatting>
  <pageMargins left="0.98" right="0.59" top="1.3800000000000001" bottom="0.79000000000000015" header="0.39000000000000007" footer="0.2"/>
  <pageSetup paperSize="9" scale="65" orientation="portrait"/>
  <headerFooter>
    <oddFooter>&amp;L&amp;F-&amp;A_x000D_ICCA b.v. ©&amp;CBlad &amp;P van &amp;N&amp;Rprintversie &amp;D</oddFooter>
  </headerFooter>
  <drawing r:id="rId1"/>
  <extLst>
    <ext xmlns:mx="http://schemas.microsoft.com/office/mac/excel/2008/main" uri="{64002731-A6B0-56B0-2670-7721B7C09600}">
      <mx:PLV Mode="0" OnePage="0" WScale="7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 enableFormatConditionsCalculation="0">
    <pageSetUpPr fitToPage="1"/>
  </sheetPr>
  <dimension ref="A1:AX58"/>
  <sheetViews>
    <sheetView showGridLines="0" showZeros="0" topLeftCell="B1" workbookViewId="0">
      <selection activeCell="AI22" sqref="AI22"/>
    </sheetView>
  </sheetViews>
  <sheetFormatPr baseColWidth="10" defaultColWidth="0" defaultRowHeight="13" zeroHeight="1" x14ac:dyDescent="0"/>
  <cols>
    <col min="1" max="1" width="11.140625" style="308" hidden="1" customWidth="1"/>
    <col min="2" max="2" width="2.28515625" style="308" customWidth="1"/>
    <col min="3" max="3" width="74.140625" style="622" customWidth="1"/>
    <col min="4" max="4" width="16.85546875" style="244" customWidth="1"/>
    <col min="5" max="5" width="7.85546875" style="244" customWidth="1"/>
    <col min="6" max="6" width="6.5703125" style="244" bestFit="1" customWidth="1"/>
    <col min="7" max="7" width="6.42578125" style="244" hidden="1" customWidth="1"/>
    <col min="8" max="8" width="7.5703125" style="244" customWidth="1"/>
    <col min="9" max="9" width="5.5703125" style="244" bestFit="1" customWidth="1"/>
    <col min="10" max="10" width="7.140625" style="244" customWidth="1"/>
    <col min="11" max="11" width="6.42578125" style="244" customWidth="1"/>
    <col min="12" max="12" width="7.140625" style="244" bestFit="1" customWidth="1"/>
    <col min="13" max="13" width="0.7109375" style="244" customWidth="1"/>
    <col min="14" max="14" width="7" style="244" bestFit="1" customWidth="1"/>
    <col min="15" max="15" width="7.140625" style="244" bestFit="1" customWidth="1"/>
    <col min="16" max="16" width="1.28515625" style="244" customWidth="1"/>
    <col min="17" max="17" width="8.28515625" style="244" customWidth="1"/>
    <col min="18" max="18" width="10.140625" style="244" bestFit="1" customWidth="1"/>
    <col min="19" max="19" width="7.140625" style="244" bestFit="1" customWidth="1"/>
    <col min="20" max="20" width="0.7109375" style="244" customWidth="1"/>
    <col min="21" max="21" width="9.85546875" style="244" customWidth="1"/>
    <col min="22" max="22" width="7.140625" style="244" bestFit="1" customWidth="1"/>
    <col min="23" max="23" width="0.7109375" style="244" customWidth="1"/>
    <col min="24" max="25" width="5.5703125" style="244" bestFit="1" customWidth="1"/>
    <col min="26" max="26" width="6.85546875" style="244" customWidth="1"/>
    <col min="27" max="27" width="7.140625" style="244" bestFit="1" customWidth="1"/>
    <col min="28" max="28" width="0.7109375" style="244" customWidth="1"/>
    <col min="29" max="29" width="7" style="244" bestFit="1" customWidth="1"/>
    <col min="30" max="36" width="5.5703125" style="244" bestFit="1" customWidth="1"/>
    <col min="37" max="37" width="8.7109375" style="244" bestFit="1" customWidth="1"/>
    <col min="38" max="38" width="0.7109375" style="244" customWidth="1"/>
    <col min="39" max="39" width="6" style="244" bestFit="1" customWidth="1"/>
    <col min="40" max="40" width="0.7109375" style="244" customWidth="1"/>
    <col min="41" max="41" width="7.140625" style="244" bestFit="1" customWidth="1"/>
    <col min="42" max="42" width="0.7109375" style="244" customWidth="1"/>
    <col min="43" max="43" width="7.140625" style="244" bestFit="1" customWidth="1"/>
    <col min="44" max="44" width="0.7109375" style="244" customWidth="1"/>
    <col min="45" max="45" width="7.140625" style="244" bestFit="1" customWidth="1"/>
    <col min="46" max="46" width="0.7109375" style="244" customWidth="1"/>
    <col min="47" max="47" width="7.140625" style="244" bestFit="1" customWidth="1"/>
    <col min="48" max="48" width="1.28515625" style="244" customWidth="1"/>
    <col min="49" max="49" width="10.5703125" style="244" hidden="1" customWidth="1"/>
    <col min="50" max="50" width="0" style="244" hidden="1" customWidth="1"/>
    <col min="51" max="16384" width="8.85546875" style="244" hidden="1"/>
  </cols>
  <sheetData>
    <row r="1" spans="1:50" s="275" customFormat="1">
      <c r="A1" s="638"/>
      <c r="B1" s="639"/>
      <c r="C1" s="274"/>
      <c r="D1" s="274"/>
      <c r="E1" s="274"/>
      <c r="F1" s="274"/>
      <c r="G1" s="274"/>
      <c r="H1" s="274"/>
      <c r="I1" s="274"/>
      <c r="J1" s="274"/>
      <c r="K1" s="274"/>
      <c r="L1" s="274"/>
      <c r="M1" s="274"/>
      <c r="N1" s="274"/>
      <c r="O1" s="274"/>
      <c r="P1" s="274"/>
      <c r="Q1" s="274"/>
      <c r="T1" s="274"/>
      <c r="W1" s="274"/>
      <c r="AB1" s="274"/>
      <c r="AL1" s="274"/>
      <c r="AN1" s="274"/>
      <c r="AP1" s="274"/>
      <c r="AR1" s="274"/>
      <c r="AT1" s="274"/>
    </row>
    <row r="2" spans="1:50" s="275" customFormat="1" ht="16">
      <c r="A2" s="638"/>
      <c r="B2" s="308"/>
      <c r="C2" s="140" t="str">
        <f>'1.0-Contractblad'!D2</f>
        <v>Naam opdrachtgever</v>
      </c>
      <c r="D2" s="141" t="str">
        <f>'1.0-Contractblad'!E2</f>
        <v>Stichting CPOW</v>
      </c>
      <c r="E2" s="640"/>
      <c r="F2" s="274"/>
      <c r="G2" s="274"/>
      <c r="H2" s="274"/>
      <c r="I2" s="274"/>
      <c r="J2" s="274"/>
      <c r="K2" s="274"/>
      <c r="L2" s="274"/>
      <c r="M2" s="274"/>
      <c r="N2" s="274"/>
      <c r="O2" s="274"/>
      <c r="P2" s="274"/>
      <c r="Q2" s="274"/>
      <c r="T2" s="274"/>
      <c r="W2" s="274"/>
      <c r="AB2" s="274"/>
      <c r="AL2" s="274"/>
      <c r="AN2" s="274"/>
      <c r="AP2" s="274"/>
      <c r="AR2" s="274"/>
      <c r="AT2" s="274"/>
    </row>
    <row r="3" spans="1:50" s="275" customFormat="1" ht="16">
      <c r="A3" s="638"/>
      <c r="B3" s="308"/>
      <c r="C3" s="140" t="str">
        <f>'1.0-Contractblad'!D3</f>
        <v>Omschrijving blad</v>
      </c>
      <c r="D3" s="141" t="s">
        <v>270</v>
      </c>
      <c r="E3" s="640"/>
      <c r="F3" s="274"/>
      <c r="G3" s="274"/>
      <c r="H3" s="274"/>
      <c r="I3" s="274"/>
      <c r="J3" s="274"/>
      <c r="K3" s="274"/>
      <c r="L3" s="274"/>
      <c r="M3" s="274"/>
      <c r="N3" s="274"/>
      <c r="O3" s="274"/>
      <c r="P3" s="274"/>
      <c r="Q3" s="274"/>
      <c r="T3" s="274"/>
      <c r="W3" s="274"/>
      <c r="AB3" s="274"/>
      <c r="AL3" s="274"/>
      <c r="AN3" s="274"/>
      <c r="AP3" s="274"/>
      <c r="AR3" s="274"/>
      <c r="AT3" s="274"/>
    </row>
    <row r="4" spans="1:50" s="275" customFormat="1" ht="16">
      <c r="A4" s="638"/>
      <c r="B4" s="308"/>
      <c r="C4" s="140" t="str">
        <f>'1.0-Contractblad'!D4</f>
        <v>Adres/plaats</v>
      </c>
      <c r="D4" s="141" t="str">
        <f>'1.0-Contractblad'!E4</f>
        <v>Primair onderwijs Purmerend e.o.</v>
      </c>
      <c r="E4" s="640"/>
      <c r="F4" s="274"/>
      <c r="G4" s="274"/>
      <c r="H4" s="274"/>
      <c r="I4" s="274"/>
      <c r="J4" s="274"/>
      <c r="K4" s="274"/>
      <c r="L4" s="274"/>
      <c r="M4" s="274"/>
      <c r="N4" s="274"/>
      <c r="O4" s="274"/>
      <c r="P4" s="274"/>
      <c r="Q4" s="274"/>
      <c r="T4" s="274"/>
      <c r="W4" s="274"/>
      <c r="AB4" s="274"/>
      <c r="AL4" s="274"/>
      <c r="AN4" s="274"/>
      <c r="AP4" s="274"/>
      <c r="AR4" s="274"/>
      <c r="AT4" s="274"/>
    </row>
    <row r="5" spans="1:50" s="275" customFormat="1" ht="16">
      <c r="A5" s="638"/>
      <c r="B5" s="308"/>
      <c r="C5" s="140" t="str">
        <f>'1.0-Contractblad'!D5</f>
        <v>Besteknummer</v>
      </c>
      <c r="D5" s="141" t="str">
        <f>'1.0-Contractblad'!E5</f>
        <v>0302-52-2015 V1</v>
      </c>
      <c r="E5" s="640"/>
      <c r="F5" s="274"/>
      <c r="G5" s="274"/>
      <c r="H5" s="274"/>
      <c r="I5" s="274"/>
      <c r="J5" s="274"/>
      <c r="K5" s="274"/>
      <c r="L5" s="274"/>
      <c r="M5" s="274"/>
      <c r="N5" s="274"/>
      <c r="O5" s="274"/>
      <c r="P5" s="274"/>
      <c r="Q5" s="697"/>
      <c r="R5" s="701" t="s">
        <v>681</v>
      </c>
      <c r="T5" s="274"/>
      <c r="W5" s="274"/>
      <c r="AB5" s="274"/>
      <c r="AL5" s="274"/>
      <c r="AN5" s="274"/>
      <c r="AP5" s="274"/>
      <c r="AR5" s="274"/>
      <c r="AT5" s="274"/>
    </row>
    <row r="6" spans="1:50" s="275" customFormat="1" ht="16">
      <c r="A6" s="638"/>
      <c r="B6" s="308"/>
      <c r="C6" s="140" t="str">
        <f>'1.0-Contractblad'!D6</f>
        <v>Naam leverancier</v>
      </c>
      <c r="D6" s="141" t="str">
        <f>'1.0-Contractblad'!E6</f>
        <v>[NAAM LEVERANCIER]</v>
      </c>
      <c r="E6" s="640"/>
      <c r="F6" s="274"/>
      <c r="G6" s="274"/>
      <c r="H6" s="274"/>
      <c r="I6" s="274"/>
      <c r="J6" s="729">
        <f>Voorblad!$E$15</f>
        <v>42370</v>
      </c>
      <c r="K6" s="729"/>
      <c r="L6" s="729"/>
      <c r="M6" s="729"/>
      <c r="N6" s="274"/>
      <c r="O6" s="274"/>
      <c r="P6" s="274"/>
      <c r="Q6" s="274"/>
      <c r="T6" s="274"/>
      <c r="W6" s="274"/>
      <c r="AB6" s="274"/>
      <c r="AL6" s="274"/>
      <c r="AN6" s="274"/>
      <c r="AP6" s="274"/>
      <c r="AR6" s="274"/>
      <c r="AT6" s="274"/>
    </row>
    <row r="7" spans="1:50" s="275" customFormat="1">
      <c r="A7" s="638"/>
      <c r="B7" s="308"/>
      <c r="C7" s="274"/>
      <c r="D7" s="274"/>
      <c r="E7" s="274"/>
      <c r="F7" s="274"/>
      <c r="G7" s="274"/>
      <c r="H7" s="274"/>
      <c r="I7" s="274"/>
      <c r="J7" s="274"/>
      <c r="K7" s="274"/>
      <c r="L7" s="274"/>
      <c r="M7" s="274"/>
      <c r="N7" s="274"/>
      <c r="O7" s="274"/>
      <c r="P7" s="274"/>
      <c r="Q7" s="274"/>
      <c r="T7" s="274"/>
      <c r="W7" s="274"/>
      <c r="AB7" s="274"/>
      <c r="AL7" s="274"/>
      <c r="AN7" s="274"/>
      <c r="AP7" s="274"/>
      <c r="AR7" s="274"/>
      <c r="AT7" s="274"/>
    </row>
    <row r="8" spans="1:50" s="275" customFormat="1">
      <c r="A8" s="638"/>
      <c r="B8" s="308"/>
      <c r="C8" s="274"/>
      <c r="D8" s="274"/>
      <c r="E8" s="274"/>
      <c r="F8" s="274"/>
      <c r="G8" s="274"/>
      <c r="H8" s="274"/>
      <c r="I8" s="274"/>
      <c r="J8" s="274"/>
      <c r="K8" s="274"/>
      <c r="L8" s="274"/>
      <c r="M8" s="274"/>
      <c r="N8" s="274"/>
      <c r="O8" s="274"/>
      <c r="P8" s="274"/>
      <c r="Q8" s="274"/>
      <c r="T8" s="274"/>
      <c r="W8" s="274"/>
      <c r="AB8" s="274"/>
      <c r="AL8" s="274"/>
      <c r="AN8" s="274"/>
      <c r="AP8" s="274"/>
      <c r="AR8" s="274"/>
      <c r="AT8" s="274"/>
    </row>
    <row r="9" spans="1:50"/>
    <row r="10" spans="1:50"/>
    <row r="11" spans="1:50" s="655" customFormat="1" ht="255.75" customHeight="1">
      <c r="A11" s="641"/>
      <c r="B11" s="641"/>
      <c r="C11" s="642" t="s">
        <v>255</v>
      </c>
      <c r="D11" s="643" t="s">
        <v>256</v>
      </c>
      <c r="E11" s="644" t="s">
        <v>254</v>
      </c>
      <c r="F11" s="645" t="s">
        <v>170</v>
      </c>
      <c r="G11" s="646"/>
      <c r="H11" s="646" t="s">
        <v>29</v>
      </c>
      <c r="I11" s="647" t="s">
        <v>344</v>
      </c>
      <c r="J11" s="648" t="s">
        <v>230</v>
      </c>
      <c r="K11" s="648" t="s">
        <v>246</v>
      </c>
      <c r="L11" s="649" t="s">
        <v>36</v>
      </c>
      <c r="M11" s="650"/>
      <c r="N11" s="651" t="s">
        <v>2</v>
      </c>
      <c r="O11" s="649" t="s">
        <v>85</v>
      </c>
      <c r="P11" s="650"/>
      <c r="Q11" s="652" t="s">
        <v>213</v>
      </c>
      <c r="R11" s="651" t="s">
        <v>194</v>
      </c>
      <c r="S11" s="649" t="s">
        <v>4</v>
      </c>
      <c r="T11" s="650"/>
      <c r="U11" s="651" t="s">
        <v>5</v>
      </c>
      <c r="V11" s="649" t="s">
        <v>72</v>
      </c>
      <c r="W11" s="650"/>
      <c r="X11" s="648" t="s">
        <v>172</v>
      </c>
      <c r="Y11" s="648" t="s">
        <v>24</v>
      </c>
      <c r="Z11" s="648" t="s">
        <v>25</v>
      </c>
      <c r="AA11" s="649" t="s">
        <v>173</v>
      </c>
      <c r="AB11" s="650"/>
      <c r="AC11" s="648" t="s">
        <v>186</v>
      </c>
      <c r="AD11" s="648" t="s">
        <v>154</v>
      </c>
      <c r="AE11" s="648" t="s">
        <v>96</v>
      </c>
      <c r="AF11" s="648" t="s">
        <v>97</v>
      </c>
      <c r="AG11" s="648" t="s">
        <v>9</v>
      </c>
      <c r="AH11" s="648" t="s">
        <v>10</v>
      </c>
      <c r="AI11" s="648" t="s">
        <v>34</v>
      </c>
      <c r="AJ11" s="648" t="s">
        <v>414</v>
      </c>
      <c r="AK11" s="649" t="s">
        <v>207</v>
      </c>
      <c r="AL11" s="650"/>
      <c r="AM11" s="648" t="s">
        <v>140</v>
      </c>
      <c r="AN11" s="650"/>
      <c r="AO11" s="649" t="s">
        <v>210</v>
      </c>
      <c r="AP11" s="650"/>
      <c r="AQ11" s="649" t="s">
        <v>274</v>
      </c>
      <c r="AR11" s="650"/>
      <c r="AS11" s="649" t="s">
        <v>78</v>
      </c>
      <c r="AT11" s="650"/>
      <c r="AU11" s="653" t="s">
        <v>28</v>
      </c>
      <c r="AV11" s="654"/>
    </row>
    <row r="12" spans="1:50" s="243" customFormat="1" ht="24.75" customHeight="1">
      <c r="A12" s="307">
        <v>0</v>
      </c>
      <c r="B12" s="307">
        <v>0</v>
      </c>
      <c r="C12" s="246">
        <v>0</v>
      </c>
      <c r="F12" s="525"/>
      <c r="G12" s="575"/>
      <c r="H12" s="525"/>
      <c r="I12" s="525"/>
      <c r="J12" s="242">
        <v>0</v>
      </c>
      <c r="K12" s="525"/>
      <c r="L12" s="525"/>
      <c r="M12" s="244"/>
      <c r="N12" s="242">
        <v>0</v>
      </c>
      <c r="O12" s="525"/>
      <c r="P12" s="244"/>
      <c r="Q12" s="525"/>
      <c r="R12" s="578">
        <f>'1.4-Premies en opslagen'!$D$33</f>
        <v>0</v>
      </c>
      <c r="S12" s="525"/>
      <c r="T12" s="244"/>
      <c r="U12" s="578">
        <f>'1.4-Premies en opslagen'!$D$66</f>
        <v>0</v>
      </c>
      <c r="V12" s="525"/>
      <c r="W12" s="244"/>
      <c r="X12" s="525"/>
      <c r="Y12" s="525"/>
      <c r="Z12" s="525"/>
      <c r="AA12" s="525"/>
      <c r="AB12" s="244"/>
      <c r="AC12" s="525"/>
      <c r="AD12" s="525"/>
      <c r="AE12" s="525"/>
      <c r="AF12" s="525"/>
      <c r="AG12" s="525"/>
      <c r="AH12" s="525"/>
      <c r="AI12" s="525"/>
      <c r="AJ12" s="525"/>
      <c r="AK12" s="525"/>
      <c r="AL12" s="244"/>
      <c r="AM12" s="242">
        <v>0</v>
      </c>
      <c r="AN12" s="244"/>
      <c r="AO12" s="525"/>
      <c r="AP12" s="244"/>
      <c r="AQ12" s="525"/>
      <c r="AR12" s="244"/>
      <c r="AS12" s="525"/>
      <c r="AT12" s="244"/>
      <c r="AU12" s="525"/>
      <c r="AV12" s="244"/>
    </row>
    <row r="13" spans="1:50" ht="23" customHeight="1">
      <c r="A13" s="308" t="str">
        <f>CONCATENATE($C13," ",$D13)</f>
        <v>11.01 Werknemer algemeen schoonmaakonderhoud 17 jaar 0 t/m 7 jaar</v>
      </c>
      <c r="B13" s="308" t="str">
        <f>CONCATENATE($C13," ",$D13)</f>
        <v>11.01 Werknemer algemeen schoonmaakonderhoud 17 jaar 0 t/m 7 jaar</v>
      </c>
      <c r="C13" s="247" t="s">
        <v>259</v>
      </c>
      <c r="D13" s="244" t="s">
        <v>257</v>
      </c>
      <c r="E13" s="244">
        <v>1</v>
      </c>
      <c r="F13" s="241">
        <v>0</v>
      </c>
      <c r="G13" s="241"/>
      <c r="H13" s="525"/>
      <c r="I13" s="241"/>
      <c r="J13" s="580">
        <f t="shared" ref="J13:J31" si="0">F13*$J$12</f>
        <v>0</v>
      </c>
      <c r="K13" s="241">
        <v>0</v>
      </c>
      <c r="L13" s="572">
        <f t="shared" ref="L13:L31" si="1">SUM(F13:K13)</f>
        <v>0</v>
      </c>
      <c r="N13" s="581">
        <f t="shared" ref="N13:N31" si="2">L13*$N$12</f>
        <v>0</v>
      </c>
      <c r="O13" s="572">
        <f t="shared" ref="O13:O31" si="3">SUM(L13:N13)</f>
        <v>0</v>
      </c>
      <c r="Q13" s="582">
        <f t="shared" ref="Q13:Q31" si="4">O13*0.95</f>
        <v>0</v>
      </c>
      <c r="R13" s="580">
        <f>IF(Q13=0,0,Q13*'1.4-Premies en opslagen'!$D$33)</f>
        <v>0</v>
      </c>
      <c r="S13" s="572">
        <f t="shared" ref="S13:S31" si="5">R13+O13</f>
        <v>0</v>
      </c>
      <c r="U13" s="580">
        <f>S13*'1.4-Premies en opslagen'!$D$66</f>
        <v>0</v>
      </c>
      <c r="V13" s="572">
        <f t="shared" ref="V13:V31" si="6">SUM(S13:U13)</f>
        <v>0</v>
      </c>
      <c r="X13" s="241"/>
      <c r="Y13" s="241"/>
      <c r="Z13" s="241"/>
      <c r="AA13" s="572">
        <f t="shared" ref="AA13:AA31" si="7">SUM(V13:Z13)</f>
        <v>0</v>
      </c>
      <c r="AC13" s="241"/>
      <c r="AD13" s="241"/>
      <c r="AE13" s="241"/>
      <c r="AF13" s="241"/>
      <c r="AG13" s="241"/>
      <c r="AH13" s="241"/>
      <c r="AI13" s="241"/>
      <c r="AJ13" s="241"/>
      <c r="AK13" s="572">
        <f>SUM(AA13:AJ13)+SUM(AA13:AJ13)*'1.1a-Jaarprijzen'!$C$68</f>
        <v>0</v>
      </c>
      <c r="AM13" s="241">
        <f>AK13*$AM$12</f>
        <v>0</v>
      </c>
      <c r="AO13" s="583">
        <f t="shared" ref="AO13:AO31" si="8">SUM(AK13:AN13)</f>
        <v>0</v>
      </c>
      <c r="AQ13" s="583">
        <f>($V13*0.3)+$AO13</f>
        <v>0</v>
      </c>
      <c r="AS13" s="583">
        <f>($V13*0.5)+$AO13</f>
        <v>0</v>
      </c>
      <c r="AU13" s="583">
        <f>($V13*1.5)+$AO13</f>
        <v>0</v>
      </c>
      <c r="AW13" s="240"/>
      <c r="AX13" s="243"/>
    </row>
    <row r="14" spans="1:50" ht="23" customHeight="1">
      <c r="A14" s="308" t="str">
        <f t="shared" ref="A14:B35" si="9">CONCATENATE($C14," ",$D14)</f>
        <v>11.01 Werknemer algemeen schoonmaakonderhoud 18 jaar 0 t/m 7 jaar</v>
      </c>
      <c r="B14" s="308" t="str">
        <f t="shared" si="9"/>
        <v>11.01 Werknemer algemeen schoonmaakonderhoud 18 jaar 0 t/m 7 jaar</v>
      </c>
      <c r="C14" s="247" t="s">
        <v>260</v>
      </c>
      <c r="D14" s="244" t="s">
        <v>257</v>
      </c>
      <c r="E14" s="244">
        <v>1</v>
      </c>
      <c r="F14" s="241">
        <v>0</v>
      </c>
      <c r="G14" s="241"/>
      <c r="H14" s="525"/>
      <c r="I14" s="241">
        <v>0</v>
      </c>
      <c r="J14" s="580">
        <f t="shared" si="0"/>
        <v>0</v>
      </c>
      <c r="K14" s="241">
        <v>0</v>
      </c>
      <c r="L14" s="572">
        <f t="shared" si="1"/>
        <v>0</v>
      </c>
      <c r="N14" s="581">
        <f t="shared" si="2"/>
        <v>0</v>
      </c>
      <c r="O14" s="572">
        <f t="shared" si="3"/>
        <v>0</v>
      </c>
      <c r="Q14" s="582">
        <f t="shared" si="4"/>
        <v>0</v>
      </c>
      <c r="R14" s="580">
        <f>IF(Q14=0,0,Q14*'1.4-Premies en opslagen'!$D$33)</f>
        <v>0</v>
      </c>
      <c r="S14" s="572">
        <f t="shared" si="5"/>
        <v>0</v>
      </c>
      <c r="U14" s="580">
        <f>S14*'1.4-Premies en opslagen'!$D$66</f>
        <v>0</v>
      </c>
      <c r="V14" s="572">
        <f t="shared" si="6"/>
        <v>0</v>
      </c>
      <c r="X14" s="241"/>
      <c r="Y14" s="241"/>
      <c r="Z14" s="241"/>
      <c r="AA14" s="572">
        <f t="shared" si="7"/>
        <v>0</v>
      </c>
      <c r="AC14" s="241"/>
      <c r="AD14" s="241"/>
      <c r="AE14" s="241"/>
      <c r="AF14" s="241"/>
      <c r="AG14" s="241"/>
      <c r="AH14" s="241"/>
      <c r="AI14" s="241"/>
      <c r="AJ14" s="241"/>
      <c r="AK14" s="572">
        <f>SUM(AA14:AJ14)+SUM(AA14:AJ14)*'1.1a-Jaarprijzen'!$C$68</f>
        <v>0</v>
      </c>
      <c r="AM14" s="241">
        <f t="shared" ref="AM14:AM35" si="10">AK14*$AM$12</f>
        <v>0</v>
      </c>
      <c r="AO14" s="583">
        <f t="shared" si="8"/>
        <v>0</v>
      </c>
      <c r="AQ14" s="583">
        <f t="shared" ref="AQ14:AQ31" si="11">($V14*0.3)+$AO14</f>
        <v>0</v>
      </c>
      <c r="AS14" s="583">
        <f t="shared" ref="AS14:AS31" si="12">($V14*0.5)+$AO14</f>
        <v>0</v>
      </c>
      <c r="AU14" s="583">
        <f t="shared" ref="AU14:AU31" si="13">($V14*1.5)+$AO14</f>
        <v>0</v>
      </c>
      <c r="AW14" s="240"/>
      <c r="AX14" s="243"/>
    </row>
    <row r="15" spans="1:50" ht="23" customHeight="1">
      <c r="A15" s="308" t="str">
        <f t="shared" si="9"/>
        <v>11.01 Werknemer algemeen schoonmaakonderhoud 19 jaar 0 t/m 7 jaar</v>
      </c>
      <c r="B15" s="308" t="str">
        <f t="shared" si="9"/>
        <v>11.01 Werknemer algemeen schoonmaakonderhoud 19 jaar 0 t/m 7 jaar</v>
      </c>
      <c r="C15" s="247" t="s">
        <v>261</v>
      </c>
      <c r="D15" s="244" t="s">
        <v>257</v>
      </c>
      <c r="E15" s="244">
        <v>1</v>
      </c>
      <c r="F15" s="241">
        <v>0</v>
      </c>
      <c r="G15" s="241"/>
      <c r="H15" s="525"/>
      <c r="I15" s="241">
        <v>0</v>
      </c>
      <c r="J15" s="580">
        <f t="shared" si="0"/>
        <v>0</v>
      </c>
      <c r="K15" s="241">
        <v>0</v>
      </c>
      <c r="L15" s="572">
        <f t="shared" si="1"/>
        <v>0</v>
      </c>
      <c r="N15" s="581">
        <f t="shared" si="2"/>
        <v>0</v>
      </c>
      <c r="O15" s="572">
        <f t="shared" si="3"/>
        <v>0</v>
      </c>
      <c r="Q15" s="582">
        <f t="shared" si="4"/>
        <v>0</v>
      </c>
      <c r="R15" s="580">
        <f>IF(Q15=0,0,Q15*'1.4-Premies en opslagen'!$D$33)</f>
        <v>0</v>
      </c>
      <c r="S15" s="572">
        <f t="shared" si="5"/>
        <v>0</v>
      </c>
      <c r="U15" s="580">
        <f>S15*'1.4-Premies en opslagen'!$D$66</f>
        <v>0</v>
      </c>
      <c r="V15" s="572">
        <f t="shared" si="6"/>
        <v>0</v>
      </c>
      <c r="X15" s="241"/>
      <c r="Y15" s="241"/>
      <c r="Z15" s="241"/>
      <c r="AA15" s="572">
        <f t="shared" si="7"/>
        <v>0</v>
      </c>
      <c r="AC15" s="241"/>
      <c r="AD15" s="241"/>
      <c r="AE15" s="241"/>
      <c r="AF15" s="241"/>
      <c r="AG15" s="241"/>
      <c r="AH15" s="241"/>
      <c r="AI15" s="241"/>
      <c r="AJ15" s="241"/>
      <c r="AK15" s="572">
        <f>SUM(AA15:AJ15)+SUM(AA15:AJ15)*'1.1a-Jaarprijzen'!$C$68</f>
        <v>0</v>
      </c>
      <c r="AM15" s="241">
        <f t="shared" si="10"/>
        <v>0</v>
      </c>
      <c r="AO15" s="583">
        <f t="shared" si="8"/>
        <v>0</v>
      </c>
      <c r="AQ15" s="583">
        <f t="shared" si="11"/>
        <v>0</v>
      </c>
      <c r="AS15" s="583">
        <f t="shared" si="12"/>
        <v>0</v>
      </c>
      <c r="AU15" s="583">
        <f t="shared" si="13"/>
        <v>0</v>
      </c>
      <c r="AW15" s="240"/>
      <c r="AX15" s="243"/>
    </row>
    <row r="16" spans="1:50" ht="23" customHeight="1">
      <c r="A16" s="308" t="str">
        <f t="shared" si="9"/>
        <v>11.01 Werknemer algemeen schoonmaakonderhoud 20 jaar 0 t/m 7 jaar</v>
      </c>
      <c r="B16" s="308" t="str">
        <f t="shared" si="9"/>
        <v>11.01 Werknemer algemeen schoonmaakonderhoud 20 jaar 0 t/m 7 jaar</v>
      </c>
      <c r="C16" s="247" t="s">
        <v>262</v>
      </c>
      <c r="D16" s="244" t="s">
        <v>257</v>
      </c>
      <c r="E16" s="244">
        <v>1</v>
      </c>
      <c r="F16" s="241">
        <v>0</v>
      </c>
      <c r="G16" s="241"/>
      <c r="H16" s="525"/>
      <c r="I16" s="241">
        <v>0</v>
      </c>
      <c r="J16" s="580">
        <f t="shared" si="0"/>
        <v>0</v>
      </c>
      <c r="K16" s="241">
        <v>0</v>
      </c>
      <c r="L16" s="572">
        <f t="shared" si="1"/>
        <v>0</v>
      </c>
      <c r="N16" s="581">
        <f t="shared" si="2"/>
        <v>0</v>
      </c>
      <c r="O16" s="572">
        <f t="shared" si="3"/>
        <v>0</v>
      </c>
      <c r="Q16" s="582">
        <f t="shared" si="4"/>
        <v>0</v>
      </c>
      <c r="R16" s="580">
        <f>IF(Q16=0,0,Q16*'1.4-Premies en opslagen'!$D$33)</f>
        <v>0</v>
      </c>
      <c r="S16" s="572">
        <f t="shared" si="5"/>
        <v>0</v>
      </c>
      <c r="U16" s="580">
        <f>S16*'1.4-Premies en opslagen'!$D$66</f>
        <v>0</v>
      </c>
      <c r="V16" s="572">
        <f t="shared" si="6"/>
        <v>0</v>
      </c>
      <c r="X16" s="241"/>
      <c r="Y16" s="241"/>
      <c r="Z16" s="241"/>
      <c r="AA16" s="572">
        <f t="shared" si="7"/>
        <v>0</v>
      </c>
      <c r="AC16" s="241"/>
      <c r="AD16" s="241"/>
      <c r="AE16" s="241"/>
      <c r="AF16" s="241"/>
      <c r="AG16" s="241"/>
      <c r="AH16" s="241"/>
      <c r="AI16" s="241"/>
      <c r="AJ16" s="241"/>
      <c r="AK16" s="572">
        <f>SUM(AA16:AJ16)+SUM(AA16:AJ16)*'1.1a-Jaarprijzen'!$C$68</f>
        <v>0</v>
      </c>
      <c r="AM16" s="241">
        <f t="shared" si="10"/>
        <v>0</v>
      </c>
      <c r="AO16" s="583">
        <f t="shared" si="8"/>
        <v>0</v>
      </c>
      <c r="AQ16" s="583">
        <f t="shared" si="11"/>
        <v>0</v>
      </c>
      <c r="AS16" s="583">
        <f t="shared" si="12"/>
        <v>0</v>
      </c>
      <c r="AU16" s="583">
        <f t="shared" si="13"/>
        <v>0</v>
      </c>
      <c r="AW16" s="240"/>
      <c r="AX16" s="243"/>
    </row>
    <row r="17" spans="1:50" ht="23" customHeight="1">
      <c r="A17" s="308" t="str">
        <f t="shared" si="9"/>
        <v>11.01 Werknemer algemeen schoonmaakonderhoud 21 jaar 0 t/m 7 jaar</v>
      </c>
      <c r="B17" s="308" t="str">
        <f t="shared" si="9"/>
        <v>11.01 Werknemer algemeen schoonmaakonderhoud 21 jaar 0 t/m 7 jaar</v>
      </c>
      <c r="C17" s="247" t="s">
        <v>263</v>
      </c>
      <c r="D17" s="244" t="s">
        <v>257</v>
      </c>
      <c r="E17" s="244">
        <v>1</v>
      </c>
      <c r="F17" s="241">
        <v>0</v>
      </c>
      <c r="G17" s="241"/>
      <c r="H17" s="525"/>
      <c r="I17" s="241">
        <v>0</v>
      </c>
      <c r="J17" s="580">
        <f t="shared" si="0"/>
        <v>0</v>
      </c>
      <c r="K17" s="241">
        <v>0</v>
      </c>
      <c r="L17" s="572">
        <f t="shared" si="1"/>
        <v>0</v>
      </c>
      <c r="N17" s="581">
        <f t="shared" si="2"/>
        <v>0</v>
      </c>
      <c r="O17" s="572">
        <f t="shared" si="3"/>
        <v>0</v>
      </c>
      <c r="Q17" s="582">
        <f t="shared" si="4"/>
        <v>0</v>
      </c>
      <c r="R17" s="580">
        <f>IF(Q17=0,0,Q17*'1.4-Premies en opslagen'!$D$33)</f>
        <v>0</v>
      </c>
      <c r="S17" s="572">
        <f t="shared" si="5"/>
        <v>0</v>
      </c>
      <c r="U17" s="580">
        <f>S17*'1.4-Premies en opslagen'!$D$66</f>
        <v>0</v>
      </c>
      <c r="V17" s="572">
        <f t="shared" si="6"/>
        <v>0</v>
      </c>
      <c r="X17" s="241"/>
      <c r="Y17" s="241"/>
      <c r="Z17" s="241"/>
      <c r="AA17" s="572">
        <f t="shared" si="7"/>
        <v>0</v>
      </c>
      <c r="AC17" s="241"/>
      <c r="AD17" s="241"/>
      <c r="AE17" s="241"/>
      <c r="AF17" s="241"/>
      <c r="AG17" s="241"/>
      <c r="AH17" s="241"/>
      <c r="AI17" s="241"/>
      <c r="AJ17" s="241"/>
      <c r="AK17" s="572">
        <f>SUM(AA17:AJ17)+SUM(AA17:AJ17)*'1.1a-Jaarprijzen'!$C$68</f>
        <v>0</v>
      </c>
      <c r="AM17" s="241">
        <f t="shared" si="10"/>
        <v>0</v>
      </c>
      <c r="AO17" s="583">
        <f t="shared" si="8"/>
        <v>0</v>
      </c>
      <c r="AQ17" s="583">
        <f t="shared" si="11"/>
        <v>0</v>
      </c>
      <c r="AS17" s="583">
        <f t="shared" si="12"/>
        <v>0</v>
      </c>
      <c r="AU17" s="583">
        <f t="shared" si="13"/>
        <v>0</v>
      </c>
      <c r="AW17" s="240"/>
      <c r="AX17" s="243"/>
    </row>
    <row r="18" spans="1:50" ht="23" customHeight="1">
      <c r="A18" s="308" t="str">
        <f t="shared" si="9"/>
        <v>11.01 Werknemer algemeen schoonmaakonderhoud 0 t/m 7 jaar</v>
      </c>
      <c r="B18" s="308" t="str">
        <f t="shared" si="9"/>
        <v>11.01 Werknemer algemeen schoonmaakonderhoud 0 t/m 7 jaar</v>
      </c>
      <c r="C18" s="247" t="s">
        <v>247</v>
      </c>
      <c r="D18" s="244" t="s">
        <v>257</v>
      </c>
      <c r="E18" s="244">
        <v>1</v>
      </c>
      <c r="F18" s="241">
        <v>0</v>
      </c>
      <c r="G18" s="241"/>
      <c r="H18" s="525"/>
      <c r="I18" s="241">
        <v>0</v>
      </c>
      <c r="J18" s="580">
        <f t="shared" si="0"/>
        <v>0</v>
      </c>
      <c r="K18" s="241">
        <v>0</v>
      </c>
      <c r="L18" s="572">
        <f t="shared" si="1"/>
        <v>0</v>
      </c>
      <c r="N18" s="581">
        <f t="shared" si="2"/>
        <v>0</v>
      </c>
      <c r="O18" s="572">
        <f t="shared" si="3"/>
        <v>0</v>
      </c>
      <c r="Q18" s="582">
        <f t="shared" si="4"/>
        <v>0</v>
      </c>
      <c r="R18" s="580">
        <f>IF(Q18=0,0,Q18*'1.4-Premies en opslagen'!$D$33)</f>
        <v>0</v>
      </c>
      <c r="S18" s="572">
        <f t="shared" si="5"/>
        <v>0</v>
      </c>
      <c r="U18" s="580">
        <f>S18*'1.4-Premies en opslagen'!$D$66</f>
        <v>0</v>
      </c>
      <c r="V18" s="572">
        <f t="shared" si="6"/>
        <v>0</v>
      </c>
      <c r="X18" s="241"/>
      <c r="Y18" s="241"/>
      <c r="Z18" s="241"/>
      <c r="AA18" s="572">
        <f t="shared" si="7"/>
        <v>0</v>
      </c>
      <c r="AC18" s="241"/>
      <c r="AD18" s="241"/>
      <c r="AE18" s="241"/>
      <c r="AF18" s="241"/>
      <c r="AG18" s="241"/>
      <c r="AH18" s="241"/>
      <c r="AI18" s="241"/>
      <c r="AJ18" s="241"/>
      <c r="AK18" s="572">
        <f>SUM(AA18:AJ18)+SUM(AA18:AJ18)*'1.1a-Jaarprijzen'!$C$68</f>
        <v>0</v>
      </c>
      <c r="AM18" s="241">
        <f t="shared" si="10"/>
        <v>0</v>
      </c>
      <c r="AO18" s="583">
        <f t="shared" si="8"/>
        <v>0</v>
      </c>
      <c r="AQ18" s="583">
        <f t="shared" si="11"/>
        <v>0</v>
      </c>
      <c r="AS18" s="583">
        <f t="shared" si="12"/>
        <v>0</v>
      </c>
      <c r="AU18" s="583">
        <f t="shared" si="13"/>
        <v>0</v>
      </c>
      <c r="AW18" s="240"/>
      <c r="AX18" s="243"/>
    </row>
    <row r="19" spans="1:50" ht="23" customHeight="1">
      <c r="A19" s="308" t="str">
        <f t="shared" si="9"/>
        <v>11.01 Werknemer algemeen schoonmaakonderhoud 8 jaar en meer</v>
      </c>
      <c r="B19" s="308" t="str">
        <f t="shared" si="9"/>
        <v>11.01 Werknemer algemeen schoonmaakonderhoud 8 jaar en meer</v>
      </c>
      <c r="C19" s="247" t="s">
        <v>247</v>
      </c>
      <c r="D19" s="244" t="s">
        <v>258</v>
      </c>
      <c r="E19" s="244">
        <v>1</v>
      </c>
      <c r="F19" s="241">
        <v>0</v>
      </c>
      <c r="G19" s="241"/>
      <c r="H19" s="525"/>
      <c r="I19" s="241">
        <v>0</v>
      </c>
      <c r="J19" s="580">
        <f t="shared" si="0"/>
        <v>0</v>
      </c>
      <c r="K19" s="241">
        <v>0</v>
      </c>
      <c r="L19" s="572">
        <f t="shared" si="1"/>
        <v>0</v>
      </c>
      <c r="N19" s="581">
        <f t="shared" si="2"/>
        <v>0</v>
      </c>
      <c r="O19" s="572">
        <f t="shared" si="3"/>
        <v>0</v>
      </c>
      <c r="Q19" s="582">
        <f t="shared" si="4"/>
        <v>0</v>
      </c>
      <c r="R19" s="580">
        <f>IF(Q19=0,0,Q19*'1.4-Premies en opslagen'!$D$33)</f>
        <v>0</v>
      </c>
      <c r="S19" s="572">
        <f t="shared" si="5"/>
        <v>0</v>
      </c>
      <c r="U19" s="580">
        <f>S19*'1.4-Premies en opslagen'!$D$66</f>
        <v>0</v>
      </c>
      <c r="V19" s="572">
        <f t="shared" si="6"/>
        <v>0</v>
      </c>
      <c r="X19" s="241"/>
      <c r="Y19" s="241"/>
      <c r="Z19" s="241"/>
      <c r="AA19" s="572">
        <f t="shared" si="7"/>
        <v>0</v>
      </c>
      <c r="AC19" s="241"/>
      <c r="AD19" s="241"/>
      <c r="AE19" s="241"/>
      <c r="AF19" s="241"/>
      <c r="AG19" s="241"/>
      <c r="AH19" s="241"/>
      <c r="AI19" s="241"/>
      <c r="AJ19" s="241"/>
      <c r="AK19" s="572">
        <f>SUM(AA19:AJ19)+SUM(AA19:AJ19)*'1.1a-Jaarprijzen'!$C$68</f>
        <v>0</v>
      </c>
      <c r="AM19" s="241">
        <f t="shared" si="10"/>
        <v>0</v>
      </c>
      <c r="AO19" s="583">
        <f t="shared" si="8"/>
        <v>0</v>
      </c>
      <c r="AQ19" s="583">
        <f t="shared" si="11"/>
        <v>0</v>
      </c>
      <c r="AS19" s="583">
        <f t="shared" si="12"/>
        <v>0</v>
      </c>
      <c r="AU19" s="583">
        <f t="shared" si="13"/>
        <v>0</v>
      </c>
      <c r="AW19" s="240"/>
      <c r="AX19" s="243"/>
    </row>
    <row r="20" spans="1:50" ht="23" customHeight="1">
      <c r="A20" s="308" t="str">
        <f t="shared" si="9"/>
        <v>11.03 Werknemer algemeen schoonmaakonderhoud (sleutelpand)  0 t/m 7 jaar</v>
      </c>
      <c r="B20" s="308" t="str">
        <f t="shared" si="9"/>
        <v>11.03 Werknemer algemeen schoonmaakonderhoud (sleutelpand)  0 t/m 7 jaar</v>
      </c>
      <c r="C20" s="247" t="s">
        <v>248</v>
      </c>
      <c r="D20" s="244" t="s">
        <v>257</v>
      </c>
      <c r="E20" s="244">
        <v>1</v>
      </c>
      <c r="F20" s="241">
        <v>0</v>
      </c>
      <c r="G20" s="241"/>
      <c r="H20" s="525"/>
      <c r="I20" s="241">
        <v>0</v>
      </c>
      <c r="J20" s="580">
        <f t="shared" si="0"/>
        <v>0</v>
      </c>
      <c r="K20" s="241">
        <v>0</v>
      </c>
      <c r="L20" s="572">
        <f t="shared" si="1"/>
        <v>0</v>
      </c>
      <c r="N20" s="581">
        <f t="shared" si="2"/>
        <v>0</v>
      </c>
      <c r="O20" s="572">
        <f t="shared" si="3"/>
        <v>0</v>
      </c>
      <c r="Q20" s="582">
        <f t="shared" si="4"/>
        <v>0</v>
      </c>
      <c r="R20" s="580">
        <f>IF(Q20=0,0,Q20*'1.4-Premies en opslagen'!$D$33)</f>
        <v>0</v>
      </c>
      <c r="S20" s="572">
        <f t="shared" si="5"/>
        <v>0</v>
      </c>
      <c r="U20" s="580">
        <f>S20*'1.4-Premies en opslagen'!$D$66</f>
        <v>0</v>
      </c>
      <c r="V20" s="572">
        <f t="shared" si="6"/>
        <v>0</v>
      </c>
      <c r="X20" s="241"/>
      <c r="Y20" s="241"/>
      <c r="Z20" s="241"/>
      <c r="AA20" s="572">
        <f t="shared" si="7"/>
        <v>0</v>
      </c>
      <c r="AC20" s="241"/>
      <c r="AD20" s="241"/>
      <c r="AE20" s="241"/>
      <c r="AF20" s="241"/>
      <c r="AG20" s="241"/>
      <c r="AH20" s="241"/>
      <c r="AI20" s="241"/>
      <c r="AJ20" s="241"/>
      <c r="AK20" s="572">
        <f>SUM(AA20:AJ20)+SUM(AA20:AJ20)*'1.1a-Jaarprijzen'!$C$68</f>
        <v>0</v>
      </c>
      <c r="AM20" s="241">
        <f t="shared" si="10"/>
        <v>0</v>
      </c>
      <c r="AO20" s="583">
        <f t="shared" si="8"/>
        <v>0</v>
      </c>
      <c r="AQ20" s="583">
        <f t="shared" si="11"/>
        <v>0</v>
      </c>
      <c r="AS20" s="583">
        <f t="shared" si="12"/>
        <v>0</v>
      </c>
      <c r="AU20" s="583">
        <f t="shared" si="13"/>
        <v>0</v>
      </c>
      <c r="AW20" s="240"/>
      <c r="AX20" s="243"/>
    </row>
    <row r="21" spans="1:50" ht="23" customHeight="1">
      <c r="A21" s="308" t="str">
        <f t="shared" si="9"/>
        <v>11.03 Werknemer algemeen schoonmaakonderhoud (sleutelpand)  8 jaar en meer</v>
      </c>
      <c r="B21" s="308" t="str">
        <f t="shared" si="9"/>
        <v>11.03 Werknemer algemeen schoonmaakonderhoud (sleutelpand)  8 jaar en meer</v>
      </c>
      <c r="C21" s="247" t="s">
        <v>248</v>
      </c>
      <c r="D21" s="244" t="s">
        <v>258</v>
      </c>
      <c r="E21" s="244">
        <v>1</v>
      </c>
      <c r="F21" s="241">
        <v>0</v>
      </c>
      <c r="G21" s="241"/>
      <c r="H21" s="525"/>
      <c r="I21" s="241">
        <v>0</v>
      </c>
      <c r="J21" s="580">
        <f t="shared" si="0"/>
        <v>0</v>
      </c>
      <c r="K21" s="241">
        <v>0</v>
      </c>
      <c r="L21" s="572">
        <f t="shared" si="1"/>
        <v>0</v>
      </c>
      <c r="N21" s="581">
        <f>L21*$N$12</f>
        <v>0</v>
      </c>
      <c r="O21" s="572">
        <f t="shared" si="3"/>
        <v>0</v>
      </c>
      <c r="Q21" s="582">
        <f t="shared" si="4"/>
        <v>0</v>
      </c>
      <c r="R21" s="580">
        <f>IF(Q21=0,0,Q21*'1.4-Premies en opslagen'!$D$33)</f>
        <v>0</v>
      </c>
      <c r="S21" s="572">
        <f t="shared" si="5"/>
        <v>0</v>
      </c>
      <c r="U21" s="580">
        <f>S21*'1.4-Premies en opslagen'!$D$66</f>
        <v>0</v>
      </c>
      <c r="V21" s="572">
        <f t="shared" si="6"/>
        <v>0</v>
      </c>
      <c r="X21" s="241"/>
      <c r="Y21" s="241"/>
      <c r="Z21" s="241"/>
      <c r="AA21" s="572">
        <f t="shared" si="7"/>
        <v>0</v>
      </c>
      <c r="AC21" s="241"/>
      <c r="AD21" s="241"/>
      <c r="AE21" s="241"/>
      <c r="AF21" s="241"/>
      <c r="AG21" s="241"/>
      <c r="AH21" s="241"/>
      <c r="AI21" s="241"/>
      <c r="AJ21" s="241"/>
      <c r="AK21" s="572">
        <f>SUM(AA21:AJ21)+SUM(AA21:AJ21)*'1.1a-Jaarprijzen'!$C$68</f>
        <v>0</v>
      </c>
      <c r="AM21" s="241">
        <f t="shared" si="10"/>
        <v>0</v>
      </c>
      <c r="AO21" s="583">
        <f t="shared" si="8"/>
        <v>0</v>
      </c>
      <c r="AQ21" s="583">
        <f t="shared" si="11"/>
        <v>0</v>
      </c>
      <c r="AS21" s="583">
        <f t="shared" si="12"/>
        <v>0</v>
      </c>
      <c r="AU21" s="583">
        <f t="shared" si="13"/>
        <v>0</v>
      </c>
      <c r="AW21" s="240"/>
      <c r="AX21" s="243"/>
    </row>
    <row r="22" spans="1:50" ht="23" customHeight="1">
      <c r="A22" s="308" t="str">
        <f t="shared" si="9"/>
        <v>11.02 All-round werknemer algemeen schoonmaakonderhoud 0 t/m 7 jaar</v>
      </c>
      <c r="B22" s="308" t="str">
        <f t="shared" si="9"/>
        <v>11.02 All-round werknemer algemeen schoonmaakonderhoud 0 t/m 7 jaar</v>
      </c>
      <c r="C22" s="247" t="s">
        <v>249</v>
      </c>
      <c r="D22" s="244" t="s">
        <v>257</v>
      </c>
      <c r="E22" s="244" t="s">
        <v>253</v>
      </c>
      <c r="F22" s="241"/>
      <c r="G22" s="241"/>
      <c r="H22" s="525"/>
      <c r="I22" s="241">
        <v>0</v>
      </c>
      <c r="J22" s="580">
        <f t="shared" si="0"/>
        <v>0</v>
      </c>
      <c r="K22" s="241">
        <v>0</v>
      </c>
      <c r="L22" s="572">
        <f t="shared" si="1"/>
        <v>0</v>
      </c>
      <c r="N22" s="581">
        <f>L22*$N$12</f>
        <v>0</v>
      </c>
      <c r="O22" s="572">
        <f t="shared" si="3"/>
        <v>0</v>
      </c>
      <c r="Q22" s="582">
        <f t="shared" si="4"/>
        <v>0</v>
      </c>
      <c r="R22" s="580">
        <f>IF(Q22=0,0,Q22*'1.4-Premies en opslagen'!$D$33)</f>
        <v>0</v>
      </c>
      <c r="S22" s="572">
        <f t="shared" si="5"/>
        <v>0</v>
      </c>
      <c r="U22" s="580">
        <f>S22*'1.4-Premies en opslagen'!$D$66</f>
        <v>0</v>
      </c>
      <c r="V22" s="572">
        <f t="shared" si="6"/>
        <v>0</v>
      </c>
      <c r="X22" s="241"/>
      <c r="Y22" s="241"/>
      <c r="Z22" s="241"/>
      <c r="AA22" s="572">
        <f t="shared" si="7"/>
        <v>0</v>
      </c>
      <c r="AC22" s="241"/>
      <c r="AD22" s="241"/>
      <c r="AE22" s="241"/>
      <c r="AF22" s="241"/>
      <c r="AG22" s="241"/>
      <c r="AH22" s="241"/>
      <c r="AI22" s="241"/>
      <c r="AJ22" s="241"/>
      <c r="AK22" s="572">
        <f>SUM(AA22:AJ22)+SUM(AA22:AJ22)*'1.1a-Jaarprijzen'!$C$68</f>
        <v>0</v>
      </c>
      <c r="AM22" s="241">
        <f t="shared" si="10"/>
        <v>0</v>
      </c>
      <c r="AO22" s="583">
        <f t="shared" si="8"/>
        <v>0</v>
      </c>
      <c r="AQ22" s="583">
        <f t="shared" si="11"/>
        <v>0</v>
      </c>
      <c r="AS22" s="583">
        <f t="shared" si="12"/>
        <v>0</v>
      </c>
      <c r="AU22" s="583">
        <f t="shared" si="13"/>
        <v>0</v>
      </c>
      <c r="AW22" s="240"/>
      <c r="AX22" s="243"/>
    </row>
    <row r="23" spans="1:50" ht="23" customHeight="1">
      <c r="A23" s="308" t="str">
        <f t="shared" si="9"/>
        <v>11.02 All-round werknemer algemeen schoonmaakonderhoud 8 jaar en meer</v>
      </c>
      <c r="B23" s="308" t="str">
        <f t="shared" si="9"/>
        <v>11.02 All-round werknemer algemeen schoonmaakonderhoud 8 jaar en meer</v>
      </c>
      <c r="C23" s="247" t="s">
        <v>249</v>
      </c>
      <c r="D23" s="244" t="s">
        <v>258</v>
      </c>
      <c r="E23" s="244" t="s">
        <v>253</v>
      </c>
      <c r="F23" s="241">
        <v>0</v>
      </c>
      <c r="G23" s="241"/>
      <c r="H23" s="525"/>
      <c r="I23" s="241">
        <v>0</v>
      </c>
      <c r="J23" s="580">
        <f t="shared" si="0"/>
        <v>0</v>
      </c>
      <c r="K23" s="241">
        <v>0</v>
      </c>
      <c r="L23" s="572">
        <f t="shared" si="1"/>
        <v>0</v>
      </c>
      <c r="N23" s="581">
        <f t="shared" si="2"/>
        <v>0</v>
      </c>
      <c r="O23" s="572">
        <f t="shared" si="3"/>
        <v>0</v>
      </c>
      <c r="Q23" s="582">
        <f t="shared" si="4"/>
        <v>0</v>
      </c>
      <c r="R23" s="580">
        <f>IF(Q23=0,0,Q23*'1.4-Premies en opslagen'!$D$33)</f>
        <v>0</v>
      </c>
      <c r="S23" s="572">
        <f t="shared" si="5"/>
        <v>0</v>
      </c>
      <c r="U23" s="580">
        <f>S23*'1.4-Premies en opslagen'!$D$66</f>
        <v>0</v>
      </c>
      <c r="V23" s="572">
        <f t="shared" si="6"/>
        <v>0</v>
      </c>
      <c r="X23" s="241"/>
      <c r="Y23" s="241"/>
      <c r="Z23" s="241"/>
      <c r="AA23" s="572">
        <f t="shared" si="7"/>
        <v>0</v>
      </c>
      <c r="AC23" s="241"/>
      <c r="AD23" s="241"/>
      <c r="AE23" s="241"/>
      <c r="AF23" s="241"/>
      <c r="AG23" s="241"/>
      <c r="AH23" s="241"/>
      <c r="AI23" s="241"/>
      <c r="AJ23" s="241"/>
      <c r="AK23" s="572">
        <f>SUM(AA23:AJ23)+SUM(AA23:AJ23)*'1.1a-Jaarprijzen'!$C$68</f>
        <v>0</v>
      </c>
      <c r="AM23" s="241">
        <f t="shared" si="10"/>
        <v>0</v>
      </c>
      <c r="AO23" s="583">
        <f t="shared" si="8"/>
        <v>0</v>
      </c>
      <c r="AQ23" s="583">
        <f t="shared" si="11"/>
        <v>0</v>
      </c>
      <c r="AS23" s="583">
        <f t="shared" si="12"/>
        <v>0</v>
      </c>
      <c r="AU23" s="583">
        <f t="shared" si="13"/>
        <v>0</v>
      </c>
      <c r="AW23" s="240"/>
      <c r="AX23" s="243"/>
    </row>
    <row r="24" spans="1:50" ht="23" customHeight="1">
      <c r="A24" s="308" t="str">
        <f t="shared" si="9"/>
        <v>11.04 All-round werknemer algemeen schoonmaakonderhoud (sleutelpand)  0 t/m 7 jaar</v>
      </c>
      <c r="B24" s="308" t="str">
        <f t="shared" si="9"/>
        <v>11.04 All-round werknemer algemeen schoonmaakonderhoud (sleutelpand)  0 t/m 7 jaar</v>
      </c>
      <c r="C24" s="247" t="s">
        <v>250</v>
      </c>
      <c r="D24" s="244" t="s">
        <v>257</v>
      </c>
      <c r="E24" s="244" t="s">
        <v>253</v>
      </c>
      <c r="F24" s="241">
        <v>0</v>
      </c>
      <c r="G24" s="241"/>
      <c r="H24" s="525"/>
      <c r="I24" s="241">
        <v>0</v>
      </c>
      <c r="J24" s="580">
        <f t="shared" si="0"/>
        <v>0</v>
      </c>
      <c r="K24" s="241">
        <v>0</v>
      </c>
      <c r="L24" s="572">
        <f t="shared" si="1"/>
        <v>0</v>
      </c>
      <c r="N24" s="581">
        <f>L24*$N$12</f>
        <v>0</v>
      </c>
      <c r="O24" s="572">
        <f t="shared" si="3"/>
        <v>0</v>
      </c>
      <c r="Q24" s="582">
        <f t="shared" si="4"/>
        <v>0</v>
      </c>
      <c r="R24" s="580">
        <f>IF(Q24=0,0,Q24*'1.4-Premies en opslagen'!$D$33)</f>
        <v>0</v>
      </c>
      <c r="S24" s="572">
        <f t="shared" si="5"/>
        <v>0</v>
      </c>
      <c r="U24" s="580">
        <f>S24*'1.4-Premies en opslagen'!$D$66</f>
        <v>0</v>
      </c>
      <c r="V24" s="572">
        <f t="shared" si="6"/>
        <v>0</v>
      </c>
      <c r="X24" s="241"/>
      <c r="Y24" s="241"/>
      <c r="Z24" s="241"/>
      <c r="AA24" s="572">
        <f t="shared" si="7"/>
        <v>0</v>
      </c>
      <c r="AC24" s="241"/>
      <c r="AD24" s="241"/>
      <c r="AE24" s="241"/>
      <c r="AF24" s="241"/>
      <c r="AG24" s="241"/>
      <c r="AH24" s="241"/>
      <c r="AI24" s="241"/>
      <c r="AJ24" s="241"/>
      <c r="AK24" s="572">
        <f>SUM(AA24:AJ24)+SUM(AA24:AJ24)*'1.1a-Jaarprijzen'!$C$68</f>
        <v>0</v>
      </c>
      <c r="AM24" s="241">
        <f t="shared" si="10"/>
        <v>0</v>
      </c>
      <c r="AO24" s="583">
        <f t="shared" si="8"/>
        <v>0</v>
      </c>
      <c r="AQ24" s="583">
        <f t="shared" si="11"/>
        <v>0</v>
      </c>
      <c r="AS24" s="583">
        <f t="shared" si="12"/>
        <v>0</v>
      </c>
      <c r="AU24" s="583">
        <f t="shared" si="13"/>
        <v>0</v>
      </c>
      <c r="AW24" s="240"/>
      <c r="AX24" s="243"/>
    </row>
    <row r="25" spans="1:50" ht="23" customHeight="1">
      <c r="A25" s="308" t="str">
        <f t="shared" si="9"/>
        <v>11.04 All-round werknemer algemeen schoonmaakonderhoud (sleutelpand)  8 jaar en meer</v>
      </c>
      <c r="B25" s="308" t="str">
        <f t="shared" si="9"/>
        <v>11.04 All-round werknemer algemeen schoonmaakonderhoud (sleutelpand)  8 jaar en meer</v>
      </c>
      <c r="C25" s="247" t="s">
        <v>250</v>
      </c>
      <c r="D25" s="244" t="s">
        <v>258</v>
      </c>
      <c r="E25" s="244" t="s">
        <v>253</v>
      </c>
      <c r="F25" s="241">
        <v>0</v>
      </c>
      <c r="G25" s="241"/>
      <c r="H25" s="525"/>
      <c r="I25" s="241">
        <v>0</v>
      </c>
      <c r="J25" s="580">
        <f t="shared" si="0"/>
        <v>0</v>
      </c>
      <c r="K25" s="241">
        <v>0</v>
      </c>
      <c r="L25" s="572">
        <f t="shared" si="1"/>
        <v>0</v>
      </c>
      <c r="N25" s="581">
        <f t="shared" si="2"/>
        <v>0</v>
      </c>
      <c r="O25" s="572">
        <f t="shared" si="3"/>
        <v>0</v>
      </c>
      <c r="Q25" s="582">
        <f t="shared" si="4"/>
        <v>0</v>
      </c>
      <c r="R25" s="580">
        <f>IF(Q25=0,0,Q25*'1.4-Premies en opslagen'!$D$33)</f>
        <v>0</v>
      </c>
      <c r="S25" s="572">
        <f t="shared" si="5"/>
        <v>0</v>
      </c>
      <c r="U25" s="580">
        <f>S25*'1.4-Premies en opslagen'!$D$66</f>
        <v>0</v>
      </c>
      <c r="V25" s="572">
        <f t="shared" si="6"/>
        <v>0</v>
      </c>
      <c r="X25" s="241"/>
      <c r="Y25" s="241"/>
      <c r="Z25" s="241"/>
      <c r="AA25" s="572">
        <f t="shared" si="7"/>
        <v>0</v>
      </c>
      <c r="AC25" s="241"/>
      <c r="AD25" s="241"/>
      <c r="AE25" s="241"/>
      <c r="AF25" s="241"/>
      <c r="AG25" s="241"/>
      <c r="AH25" s="241"/>
      <c r="AI25" s="241"/>
      <c r="AJ25" s="241"/>
      <c r="AK25" s="572">
        <f>SUM(AA25:AJ25)+SUM(AA25:AJ25)*'1.1a-Jaarprijzen'!$C$68</f>
        <v>0</v>
      </c>
      <c r="AM25" s="241">
        <f t="shared" si="10"/>
        <v>0</v>
      </c>
      <c r="AO25" s="583">
        <f t="shared" si="8"/>
        <v>0</v>
      </c>
      <c r="AQ25" s="583">
        <f t="shared" si="11"/>
        <v>0</v>
      </c>
      <c r="AS25" s="583">
        <f t="shared" si="12"/>
        <v>0</v>
      </c>
      <c r="AU25" s="583">
        <f t="shared" si="13"/>
        <v>0</v>
      </c>
      <c r="AW25" s="240"/>
      <c r="AX25" s="243"/>
    </row>
    <row r="26" spans="1:50" ht="23" customHeight="1">
      <c r="A26" s="308" t="str">
        <f t="shared" si="9"/>
        <v>11.02 Werknemer meewerkend toezicht algemeen schoonmaakonderhoud 0 t/m 7 jaar</v>
      </c>
      <c r="B26" s="308" t="str">
        <f t="shared" si="9"/>
        <v>11.02 Werknemer meewerkend toezicht algemeen schoonmaakonderhoud 0 t/m 7 jaar</v>
      </c>
      <c r="C26" s="247" t="s">
        <v>415</v>
      </c>
      <c r="D26" s="244" t="s">
        <v>257</v>
      </c>
      <c r="E26" s="244">
        <v>2</v>
      </c>
      <c r="F26" s="241">
        <v>0</v>
      </c>
      <c r="G26" s="241"/>
      <c r="H26" s="525"/>
      <c r="I26" s="241">
        <v>0</v>
      </c>
      <c r="J26" s="580">
        <f t="shared" si="0"/>
        <v>0</v>
      </c>
      <c r="K26" s="241">
        <v>0</v>
      </c>
      <c r="L26" s="572">
        <f t="shared" si="1"/>
        <v>0</v>
      </c>
      <c r="N26" s="581">
        <f>L26*$N$12</f>
        <v>0</v>
      </c>
      <c r="O26" s="572">
        <f t="shared" si="3"/>
        <v>0</v>
      </c>
      <c r="Q26" s="582">
        <f t="shared" si="4"/>
        <v>0</v>
      </c>
      <c r="R26" s="580">
        <f>IF(Q26=0,0,Q26*'1.4-Premies en opslagen'!$D$33)</f>
        <v>0</v>
      </c>
      <c r="S26" s="572">
        <f t="shared" si="5"/>
        <v>0</v>
      </c>
      <c r="U26" s="580">
        <f>S26*'1.4-Premies en opslagen'!$D$66</f>
        <v>0</v>
      </c>
      <c r="V26" s="572">
        <f t="shared" si="6"/>
        <v>0</v>
      </c>
      <c r="X26" s="241"/>
      <c r="Y26" s="241"/>
      <c r="Z26" s="241"/>
      <c r="AA26" s="572">
        <f t="shared" si="7"/>
        <v>0</v>
      </c>
      <c r="AC26" s="241"/>
      <c r="AD26" s="241"/>
      <c r="AE26" s="241"/>
      <c r="AF26" s="241"/>
      <c r="AG26" s="241"/>
      <c r="AH26" s="241"/>
      <c r="AI26" s="241"/>
      <c r="AJ26" s="241"/>
      <c r="AK26" s="572">
        <f>SUM(AA26:AJ26)+SUM(AA26:AJ26)*'1.1a-Jaarprijzen'!$C$68</f>
        <v>0</v>
      </c>
      <c r="AM26" s="241">
        <f t="shared" si="10"/>
        <v>0</v>
      </c>
      <c r="AO26" s="583">
        <f t="shared" si="8"/>
        <v>0</v>
      </c>
      <c r="AQ26" s="583">
        <f t="shared" si="11"/>
        <v>0</v>
      </c>
      <c r="AS26" s="583">
        <f t="shared" si="12"/>
        <v>0</v>
      </c>
      <c r="AU26" s="583">
        <f t="shared" si="13"/>
        <v>0</v>
      </c>
      <c r="AW26" s="240"/>
      <c r="AX26" s="243"/>
    </row>
    <row r="27" spans="1:50" ht="23" customHeight="1">
      <c r="A27" s="308" t="str">
        <f t="shared" si="9"/>
        <v>11.02 Werknemer meewerkend toezicht algemeen schoonmaakonderhoud 8 jaar en meer</v>
      </c>
      <c r="B27" s="308" t="str">
        <f t="shared" si="9"/>
        <v>11.02 Werknemer meewerkend toezicht algemeen schoonmaakonderhoud 8 jaar en meer</v>
      </c>
      <c r="C27" s="564" t="s">
        <v>415</v>
      </c>
      <c r="D27" s="244" t="s">
        <v>258</v>
      </c>
      <c r="E27" s="565">
        <v>2</v>
      </c>
      <c r="F27" s="241">
        <v>0</v>
      </c>
      <c r="G27" s="241"/>
      <c r="H27" s="525"/>
      <c r="I27" s="241">
        <v>0</v>
      </c>
      <c r="J27" s="580">
        <f t="shared" si="0"/>
        <v>0</v>
      </c>
      <c r="K27" s="241">
        <v>0</v>
      </c>
      <c r="L27" s="572">
        <f t="shared" si="1"/>
        <v>0</v>
      </c>
      <c r="N27" s="581">
        <f t="shared" si="2"/>
        <v>0</v>
      </c>
      <c r="O27" s="572">
        <f t="shared" si="3"/>
        <v>0</v>
      </c>
      <c r="Q27" s="582">
        <f t="shared" si="4"/>
        <v>0</v>
      </c>
      <c r="R27" s="580">
        <f>IF(Q27=0,0,Q27*'1.4-Premies en opslagen'!$D$33)</f>
        <v>0</v>
      </c>
      <c r="S27" s="572">
        <f t="shared" si="5"/>
        <v>0</v>
      </c>
      <c r="U27" s="580">
        <f>S27*'1.4-Premies en opslagen'!$D$66</f>
        <v>0</v>
      </c>
      <c r="V27" s="572">
        <f t="shared" si="6"/>
        <v>0</v>
      </c>
      <c r="X27" s="241"/>
      <c r="Y27" s="241"/>
      <c r="Z27" s="241"/>
      <c r="AA27" s="572">
        <f t="shared" si="7"/>
        <v>0</v>
      </c>
      <c r="AC27" s="241"/>
      <c r="AD27" s="241"/>
      <c r="AE27" s="241"/>
      <c r="AF27" s="241"/>
      <c r="AG27" s="241"/>
      <c r="AH27" s="241"/>
      <c r="AI27" s="241"/>
      <c r="AJ27" s="241"/>
      <c r="AK27" s="572">
        <f>SUM(AA27:AJ27)+SUM(AA27:AJ27)*'1.1a-Jaarprijzen'!$C$68</f>
        <v>0</v>
      </c>
      <c r="AM27" s="241">
        <f t="shared" si="10"/>
        <v>0</v>
      </c>
      <c r="AO27" s="583">
        <f t="shared" si="8"/>
        <v>0</v>
      </c>
      <c r="AQ27" s="583">
        <f t="shared" si="11"/>
        <v>0</v>
      </c>
      <c r="AS27" s="583">
        <f t="shared" si="12"/>
        <v>0</v>
      </c>
      <c r="AU27" s="583">
        <f t="shared" si="13"/>
        <v>0</v>
      </c>
      <c r="AW27" s="240"/>
      <c r="AX27" s="243"/>
    </row>
    <row r="28" spans="1:50" ht="23" customHeight="1">
      <c r="A28" s="308" t="str">
        <f t="shared" si="9"/>
        <v>11.02 Werknemer niet meewerkend toezicht algemeen schoonmaakonderhoud 0 t/m 7 jaar</v>
      </c>
      <c r="B28" s="308" t="str">
        <f t="shared" si="9"/>
        <v>11.02 Werknemer niet meewerkend toezicht algemeen schoonmaakonderhoud 0 t/m 7 jaar</v>
      </c>
      <c r="C28" s="247" t="s">
        <v>416</v>
      </c>
      <c r="D28" s="244" t="s">
        <v>257</v>
      </c>
      <c r="E28" s="244">
        <v>2</v>
      </c>
      <c r="F28" s="241">
        <v>0</v>
      </c>
      <c r="G28" s="241"/>
      <c r="H28" s="525"/>
      <c r="I28" s="241">
        <v>0</v>
      </c>
      <c r="J28" s="580">
        <f t="shared" si="0"/>
        <v>0</v>
      </c>
      <c r="K28" s="241">
        <v>0</v>
      </c>
      <c r="L28" s="572">
        <f t="shared" si="1"/>
        <v>0</v>
      </c>
      <c r="N28" s="581">
        <f t="shared" si="2"/>
        <v>0</v>
      </c>
      <c r="O28" s="572">
        <f t="shared" si="3"/>
        <v>0</v>
      </c>
      <c r="Q28" s="582">
        <f t="shared" si="4"/>
        <v>0</v>
      </c>
      <c r="R28" s="580">
        <f>IF(Q28=0,0,Q28*'1.4-Premies en opslagen'!$D$33)</f>
        <v>0</v>
      </c>
      <c r="S28" s="572">
        <f t="shared" si="5"/>
        <v>0</v>
      </c>
      <c r="U28" s="580">
        <f>S28*'1.4-Premies en opslagen'!$D$66</f>
        <v>0</v>
      </c>
      <c r="V28" s="572">
        <f t="shared" si="6"/>
        <v>0</v>
      </c>
      <c r="X28" s="572"/>
      <c r="Y28" s="241"/>
      <c r="Z28" s="241"/>
      <c r="AA28" s="572">
        <f t="shared" si="7"/>
        <v>0</v>
      </c>
      <c r="AC28" s="241"/>
      <c r="AD28" s="241"/>
      <c r="AE28" s="241"/>
      <c r="AF28" s="241"/>
      <c r="AG28" s="241"/>
      <c r="AH28" s="241"/>
      <c r="AI28" s="241"/>
      <c r="AJ28" s="241"/>
      <c r="AK28" s="572">
        <f>SUM(AA28:AJ28)+SUM(AA28:AJ28)*'1.1a-Jaarprijzen'!$C$68</f>
        <v>0</v>
      </c>
      <c r="AM28" s="241">
        <f t="shared" si="10"/>
        <v>0</v>
      </c>
      <c r="AO28" s="583">
        <f t="shared" si="8"/>
        <v>0</v>
      </c>
      <c r="AQ28" s="583">
        <f t="shared" si="11"/>
        <v>0</v>
      </c>
      <c r="AS28" s="583">
        <f t="shared" si="12"/>
        <v>0</v>
      </c>
      <c r="AU28" s="583">
        <f t="shared" si="13"/>
        <v>0</v>
      </c>
      <c r="AW28" s="240"/>
      <c r="AX28" s="243"/>
    </row>
    <row r="29" spans="1:50" ht="23" customHeight="1">
      <c r="A29" s="308" t="str">
        <f t="shared" si="9"/>
        <v>11.02 Werknemer niet meewerkend toezicht algemeen schoonmaakonderhoud 8 jaar en meer</v>
      </c>
      <c r="B29" s="308" t="str">
        <f t="shared" si="9"/>
        <v>11.02 Werknemer niet meewerkend toezicht algemeen schoonmaakonderhoud 8 jaar en meer</v>
      </c>
      <c r="C29" s="564" t="s">
        <v>416</v>
      </c>
      <c r="D29" s="244" t="s">
        <v>258</v>
      </c>
      <c r="E29" s="565">
        <v>2</v>
      </c>
      <c r="F29" s="241">
        <v>0</v>
      </c>
      <c r="G29" s="241"/>
      <c r="H29" s="525"/>
      <c r="I29" s="241">
        <v>0</v>
      </c>
      <c r="J29" s="580">
        <f t="shared" si="0"/>
        <v>0</v>
      </c>
      <c r="K29" s="241">
        <v>0</v>
      </c>
      <c r="L29" s="572">
        <f t="shared" si="1"/>
        <v>0</v>
      </c>
      <c r="N29" s="581">
        <f t="shared" si="2"/>
        <v>0</v>
      </c>
      <c r="O29" s="572">
        <f t="shared" si="3"/>
        <v>0</v>
      </c>
      <c r="Q29" s="582">
        <f t="shared" si="4"/>
        <v>0</v>
      </c>
      <c r="R29" s="580">
        <f>IF(Q29=0,0,Q29*'1.4-Premies en opslagen'!$D$33)</f>
        <v>0</v>
      </c>
      <c r="S29" s="572">
        <f t="shared" si="5"/>
        <v>0</v>
      </c>
      <c r="U29" s="580">
        <f>S29*'1.4-Premies en opslagen'!$D$66</f>
        <v>0</v>
      </c>
      <c r="V29" s="572">
        <f t="shared" si="6"/>
        <v>0</v>
      </c>
      <c r="X29" s="572"/>
      <c r="Y29" s="241"/>
      <c r="Z29" s="241"/>
      <c r="AA29" s="572">
        <f t="shared" si="7"/>
        <v>0</v>
      </c>
      <c r="AC29" s="241"/>
      <c r="AD29" s="241"/>
      <c r="AE29" s="241"/>
      <c r="AF29" s="241"/>
      <c r="AG29" s="241"/>
      <c r="AH29" s="241"/>
      <c r="AI29" s="241"/>
      <c r="AJ29" s="241"/>
      <c r="AK29" s="572">
        <f>SUM(AA29:AJ29)+SUM(AA29:AJ29)*'1.1a-Jaarprijzen'!$C$68</f>
        <v>0</v>
      </c>
      <c r="AM29" s="241">
        <f t="shared" si="10"/>
        <v>0</v>
      </c>
      <c r="AO29" s="583">
        <f t="shared" si="8"/>
        <v>0</v>
      </c>
      <c r="AQ29" s="583">
        <f t="shared" si="11"/>
        <v>0</v>
      </c>
      <c r="AS29" s="583">
        <f t="shared" si="12"/>
        <v>0</v>
      </c>
      <c r="AU29" s="583">
        <f t="shared" si="13"/>
        <v>0</v>
      </c>
      <c r="AW29" s="240"/>
      <c r="AX29" s="243"/>
    </row>
    <row r="30" spans="1:50" ht="23" customHeight="1">
      <c r="A30" s="308" t="str">
        <f t="shared" si="9"/>
        <v xml:space="preserve">21.01 Objectleider (algemeen schoonmaakonderhoud) </v>
      </c>
      <c r="B30" s="308" t="str">
        <f t="shared" si="9"/>
        <v xml:space="preserve">21.01 Objectleider (algemeen schoonmaakonderhoud) </v>
      </c>
      <c r="C30" s="248" t="s">
        <v>251</v>
      </c>
      <c r="F30" s="241">
        <v>0</v>
      </c>
      <c r="G30" s="241"/>
      <c r="H30" s="525"/>
      <c r="I30" s="241">
        <v>0</v>
      </c>
      <c r="J30" s="580">
        <f t="shared" si="0"/>
        <v>0</v>
      </c>
      <c r="K30" s="241">
        <v>0</v>
      </c>
      <c r="L30" s="572">
        <f t="shared" si="1"/>
        <v>0</v>
      </c>
      <c r="N30" s="581">
        <f t="shared" si="2"/>
        <v>0</v>
      </c>
      <c r="O30" s="572">
        <f t="shared" si="3"/>
        <v>0</v>
      </c>
      <c r="Q30" s="582">
        <f t="shared" si="4"/>
        <v>0</v>
      </c>
      <c r="R30" s="580">
        <f>IF(Q30=0,0,Q30*'1.4-Premies en opslagen'!$D$33)</f>
        <v>0</v>
      </c>
      <c r="S30" s="572">
        <f t="shared" si="5"/>
        <v>0</v>
      </c>
      <c r="U30" s="580">
        <f>S30*'1.4-Premies en opslagen'!$D$66</f>
        <v>0</v>
      </c>
      <c r="V30" s="572">
        <f t="shared" si="6"/>
        <v>0</v>
      </c>
      <c r="X30" s="572"/>
      <c r="Y30" s="241"/>
      <c r="Z30" s="241"/>
      <c r="AA30" s="572">
        <f t="shared" si="7"/>
        <v>0</v>
      </c>
      <c r="AC30" s="241"/>
      <c r="AD30" s="241"/>
      <c r="AE30" s="241"/>
      <c r="AF30" s="241"/>
      <c r="AG30" s="241"/>
      <c r="AH30" s="241"/>
      <c r="AI30" s="241"/>
      <c r="AJ30" s="241"/>
      <c r="AK30" s="572">
        <f>SUM(AA30:AJ30)+SUM(AA30:AJ30)*'1.1a-Jaarprijzen'!$C$68</f>
        <v>0</v>
      </c>
      <c r="AM30" s="241">
        <f t="shared" si="10"/>
        <v>0</v>
      </c>
      <c r="AO30" s="583">
        <f t="shared" si="8"/>
        <v>0</v>
      </c>
      <c r="AQ30" s="583">
        <f t="shared" si="11"/>
        <v>0</v>
      </c>
      <c r="AS30" s="583">
        <f t="shared" si="12"/>
        <v>0</v>
      </c>
      <c r="AU30" s="583">
        <f t="shared" si="13"/>
        <v>0</v>
      </c>
      <c r="AW30" s="240"/>
      <c r="AX30" s="243"/>
    </row>
    <row r="31" spans="1:50" ht="23" customHeight="1">
      <c r="A31" s="308" t="str">
        <f t="shared" si="9"/>
        <v>21.02 Ambulant objectleider (algemeen schoonmaakonderhoud) 8 jaar en meer</v>
      </c>
      <c r="B31" s="308" t="str">
        <f t="shared" si="9"/>
        <v>21.02 Ambulant objectleider (algemeen schoonmaakonderhoud) 8 jaar en meer</v>
      </c>
      <c r="C31" s="248" t="s">
        <v>252</v>
      </c>
      <c r="D31" s="244" t="s">
        <v>258</v>
      </c>
      <c r="E31" s="244">
        <v>3</v>
      </c>
      <c r="F31" s="241">
        <v>0</v>
      </c>
      <c r="G31" s="241"/>
      <c r="H31" s="525"/>
      <c r="I31" s="241">
        <v>0</v>
      </c>
      <c r="J31" s="580">
        <f t="shared" si="0"/>
        <v>0</v>
      </c>
      <c r="K31" s="241">
        <v>0</v>
      </c>
      <c r="L31" s="572">
        <f t="shared" si="1"/>
        <v>0</v>
      </c>
      <c r="N31" s="581">
        <f t="shared" si="2"/>
        <v>0</v>
      </c>
      <c r="O31" s="572">
        <f t="shared" si="3"/>
        <v>0</v>
      </c>
      <c r="Q31" s="582">
        <f t="shared" si="4"/>
        <v>0</v>
      </c>
      <c r="R31" s="580">
        <f>IF(Q31=0,0,Q31*'1.4-Premies en opslagen'!$D$33)</f>
        <v>0</v>
      </c>
      <c r="S31" s="572">
        <f t="shared" si="5"/>
        <v>0</v>
      </c>
      <c r="U31" s="580">
        <f>S31*'1.4-Premies en opslagen'!$D$66</f>
        <v>0</v>
      </c>
      <c r="V31" s="572">
        <f t="shared" si="6"/>
        <v>0</v>
      </c>
      <c r="X31" s="572"/>
      <c r="Y31" s="241"/>
      <c r="Z31" s="241"/>
      <c r="AA31" s="572">
        <f t="shared" si="7"/>
        <v>0</v>
      </c>
      <c r="AC31" s="241"/>
      <c r="AD31" s="241"/>
      <c r="AE31" s="241"/>
      <c r="AF31" s="241"/>
      <c r="AG31" s="241"/>
      <c r="AH31" s="241"/>
      <c r="AI31" s="241"/>
      <c r="AJ31" s="241"/>
      <c r="AK31" s="572">
        <f>SUM(AA31:AJ31)+SUM(AA31:AJ31)*'1.1a-Jaarprijzen'!$C$68</f>
        <v>0</v>
      </c>
      <c r="AM31" s="241">
        <f t="shared" si="10"/>
        <v>0</v>
      </c>
      <c r="AO31" s="583">
        <f t="shared" si="8"/>
        <v>0</v>
      </c>
      <c r="AQ31" s="583">
        <f t="shared" si="11"/>
        <v>0</v>
      </c>
      <c r="AS31" s="583">
        <f t="shared" si="12"/>
        <v>0</v>
      </c>
      <c r="AU31" s="583">
        <f t="shared" si="13"/>
        <v>0</v>
      </c>
      <c r="AW31" s="240"/>
      <c r="AX31" s="243"/>
    </row>
    <row r="32" spans="1:50" s="243" customFormat="1" ht="24.75" customHeight="1">
      <c r="A32" s="308" t="str">
        <f t="shared" si="9"/>
        <v xml:space="preserve">0 </v>
      </c>
      <c r="B32" s="308" t="str">
        <f t="shared" si="9"/>
        <v xml:space="preserve">0 </v>
      </c>
      <c r="C32" s="246">
        <v>0</v>
      </c>
      <c r="F32" s="574"/>
      <c r="G32" s="575"/>
      <c r="H32" s="242">
        <v>0</v>
      </c>
      <c r="I32" s="574"/>
      <c r="J32" s="242">
        <v>0</v>
      </c>
      <c r="K32" s="576"/>
      <c r="L32" s="525"/>
      <c r="M32" s="244"/>
      <c r="N32" s="242">
        <v>0</v>
      </c>
      <c r="O32" s="525"/>
      <c r="P32" s="244"/>
      <c r="Q32" s="577"/>
      <c r="R32" s="578">
        <f>R12</f>
        <v>0</v>
      </c>
      <c r="S32" s="579"/>
      <c r="T32" s="244"/>
      <c r="U32" s="578">
        <f>'1.4-Premies en opslagen'!G66</f>
        <v>0</v>
      </c>
      <c r="V32" s="525"/>
      <c r="W32" s="244"/>
      <c r="X32" s="525"/>
      <c r="Y32" s="525"/>
      <c r="Z32" s="525"/>
      <c r="AA32" s="525"/>
      <c r="AB32" s="244"/>
      <c r="AC32" s="525"/>
      <c r="AD32" s="525"/>
      <c r="AE32" s="525"/>
      <c r="AF32" s="525"/>
      <c r="AG32" s="525"/>
      <c r="AH32" s="525"/>
      <c r="AI32" s="525"/>
      <c r="AJ32" s="525"/>
      <c r="AK32" s="525"/>
      <c r="AL32" s="244"/>
      <c r="AM32" s="525"/>
      <c r="AN32" s="244"/>
      <c r="AO32" s="525"/>
      <c r="AP32" s="244"/>
      <c r="AQ32" s="525"/>
      <c r="AR32" s="244"/>
      <c r="AS32" s="525"/>
      <c r="AT32" s="244"/>
      <c r="AU32" s="525"/>
      <c r="AV32" s="244"/>
    </row>
    <row r="33" spans="1:49" ht="23" customHeight="1">
      <c r="A33" s="308" t="str">
        <f t="shared" si="9"/>
        <v>12.01A Glazenwasser A 8 jaar en meer</v>
      </c>
      <c r="B33" s="308" t="str">
        <f t="shared" si="9"/>
        <v>12.01A Glazenwasser A 8 jaar en meer</v>
      </c>
      <c r="C33" s="248" t="s">
        <v>448</v>
      </c>
      <c r="D33" s="244" t="s">
        <v>258</v>
      </c>
      <c r="E33" s="244">
        <v>1</v>
      </c>
      <c r="F33" s="690">
        <v>0</v>
      </c>
      <c r="G33" s="241"/>
      <c r="H33" s="241">
        <f>F33*$H$32</f>
        <v>0</v>
      </c>
      <c r="I33" s="241">
        <v>0</v>
      </c>
      <c r="J33" s="580">
        <f>F33*$J$32</f>
        <v>0</v>
      </c>
      <c r="K33" s="241">
        <v>0</v>
      </c>
      <c r="L33" s="572">
        <f t="shared" ref="L33:L35" si="14">SUM(F33:K33)</f>
        <v>0</v>
      </c>
      <c r="N33" s="581">
        <f>L33*$N$32</f>
        <v>0</v>
      </c>
      <c r="O33" s="572">
        <f t="shared" ref="O33:O35" si="15">SUM(L33:N33)</f>
        <v>0</v>
      </c>
      <c r="Q33" s="582">
        <f t="shared" ref="Q33:Q35" si="16">O33*0.95</f>
        <v>0</v>
      </c>
      <c r="R33" s="580">
        <f>IF(Q33=0,0,Q33*'1.4-Premies en opslagen'!$D$33)</f>
        <v>0</v>
      </c>
      <c r="S33" s="572">
        <f t="shared" ref="S33:S35" si="17">R33+O33</f>
        <v>0</v>
      </c>
      <c r="U33" s="580">
        <f>S33*'1.4-Premies en opslagen'!$D$66</f>
        <v>0</v>
      </c>
      <c r="V33" s="572">
        <f t="shared" ref="V33:V35" si="18">SUM(S33:U33)</f>
        <v>0</v>
      </c>
      <c r="X33" s="241"/>
      <c r="Y33" s="241"/>
      <c r="Z33" s="241"/>
      <c r="AA33" s="572">
        <f>SUM(V33:Z33)</f>
        <v>0</v>
      </c>
      <c r="AC33" s="241"/>
      <c r="AD33" s="241"/>
      <c r="AE33" s="241"/>
      <c r="AF33" s="241"/>
      <c r="AG33" s="241"/>
      <c r="AH33" s="241"/>
      <c r="AI33" s="241"/>
      <c r="AJ33" s="241"/>
      <c r="AK33" s="572">
        <f>SUM(AA33:AJ33)+SUM(AA33:AJ33)*'1.1a-Jaarprijzen'!$C$68</f>
        <v>0</v>
      </c>
      <c r="AM33" s="241">
        <f t="shared" si="10"/>
        <v>0</v>
      </c>
      <c r="AO33" s="583">
        <f t="shared" ref="AO33:AO35" si="19">SUM(AK33:AN33)</f>
        <v>0</v>
      </c>
      <c r="AQ33" s="583">
        <f>($V33*0.3)+$AO33</f>
        <v>0</v>
      </c>
      <c r="AS33" s="583">
        <f>($V33*0.5)+$AO33</f>
        <v>0</v>
      </c>
      <c r="AU33" s="583">
        <f>($V33*1.5)+$AO33</f>
        <v>0</v>
      </c>
      <c r="AW33" s="240"/>
    </row>
    <row r="34" spans="1:49" ht="23" customHeight="1">
      <c r="A34" s="308" t="str">
        <f t="shared" si="9"/>
        <v>12.01B Glazenwasser B 8 jaar en meer</v>
      </c>
      <c r="B34" s="308" t="str">
        <f t="shared" si="9"/>
        <v>12.01B Glazenwasser B 8 jaar en meer</v>
      </c>
      <c r="C34" s="247" t="s">
        <v>449</v>
      </c>
      <c r="D34" s="244" t="s">
        <v>258</v>
      </c>
      <c r="E34" s="244" t="s">
        <v>253</v>
      </c>
      <c r="F34" s="690">
        <v>0</v>
      </c>
      <c r="G34" s="241"/>
      <c r="H34" s="241">
        <f>F34*$H$32</f>
        <v>0</v>
      </c>
      <c r="I34" s="241">
        <v>0</v>
      </c>
      <c r="J34" s="580">
        <f t="shared" ref="J34:J35" si="20">F34*$J$12</f>
        <v>0</v>
      </c>
      <c r="K34" s="241">
        <v>0</v>
      </c>
      <c r="L34" s="572">
        <f t="shared" si="14"/>
        <v>0</v>
      </c>
      <c r="N34" s="581">
        <f>L34*$N$32</f>
        <v>0</v>
      </c>
      <c r="O34" s="572">
        <f t="shared" si="15"/>
        <v>0</v>
      </c>
      <c r="Q34" s="582">
        <f t="shared" si="16"/>
        <v>0</v>
      </c>
      <c r="R34" s="580">
        <f>IF(Q34=0,0,Q34*'1.4-Premies en opslagen'!$D$33)</f>
        <v>0</v>
      </c>
      <c r="S34" s="572">
        <f t="shared" si="17"/>
        <v>0</v>
      </c>
      <c r="U34" s="580">
        <f>S34*'1.4-Premies en opslagen'!$D$66</f>
        <v>0</v>
      </c>
      <c r="V34" s="572">
        <f t="shared" si="18"/>
        <v>0</v>
      </c>
      <c r="X34" s="241"/>
      <c r="Y34" s="241">
        <f>Y33</f>
        <v>0</v>
      </c>
      <c r="Z34" s="241"/>
      <c r="AA34" s="572">
        <f>SUM(V34:Z34)</f>
        <v>0</v>
      </c>
      <c r="AC34" s="241"/>
      <c r="AD34" s="241"/>
      <c r="AE34" s="241"/>
      <c r="AF34" s="241"/>
      <c r="AG34" s="241"/>
      <c r="AH34" s="241"/>
      <c r="AI34" s="241"/>
      <c r="AJ34" s="241"/>
      <c r="AK34" s="572">
        <f>SUM(AA34:AJ34)+SUM(AA34:AJ34)*'1.1a-Jaarprijzen'!$C$68</f>
        <v>0</v>
      </c>
      <c r="AM34" s="241">
        <f t="shared" si="10"/>
        <v>0</v>
      </c>
      <c r="AO34" s="583">
        <f t="shared" si="19"/>
        <v>0</v>
      </c>
      <c r="AQ34" s="583">
        <f>($V34*0.3)+$AO34</f>
        <v>0</v>
      </c>
      <c r="AS34" s="583">
        <f>($V34*0.5)+$AO34</f>
        <v>0</v>
      </c>
      <c r="AU34" s="583">
        <f>($V34*1.5)+$AO34</f>
        <v>0</v>
      </c>
      <c r="AW34" s="240"/>
    </row>
    <row r="35" spans="1:49" ht="23" customHeight="1">
      <c r="A35" s="308" t="str">
        <f t="shared" si="9"/>
        <v>12.03 Allround glazenwasser 0 t/m 7 jaar</v>
      </c>
      <c r="B35" s="308" t="str">
        <f t="shared" si="9"/>
        <v>12.03 Allround glazenwasser 0 t/m 7 jaar</v>
      </c>
      <c r="C35" s="247" t="s">
        <v>450</v>
      </c>
      <c r="D35" s="244" t="s">
        <v>257</v>
      </c>
      <c r="E35" s="244">
        <v>2</v>
      </c>
      <c r="F35" s="690">
        <v>0</v>
      </c>
      <c r="G35" s="241"/>
      <c r="H35" s="241">
        <f>F35*$H$32</f>
        <v>0</v>
      </c>
      <c r="I35" s="241">
        <v>0</v>
      </c>
      <c r="J35" s="580">
        <f t="shared" si="20"/>
        <v>0</v>
      </c>
      <c r="K35" s="241">
        <v>0</v>
      </c>
      <c r="L35" s="572">
        <f t="shared" si="14"/>
        <v>0</v>
      </c>
      <c r="N35" s="581">
        <f>L35*$N$32</f>
        <v>0</v>
      </c>
      <c r="O35" s="572">
        <f t="shared" si="15"/>
        <v>0</v>
      </c>
      <c r="Q35" s="582">
        <f t="shared" si="16"/>
        <v>0</v>
      </c>
      <c r="R35" s="580">
        <f>IF(Q35=0,0,Q35*'1.4-Premies en opslagen'!$D$33)</f>
        <v>0</v>
      </c>
      <c r="S35" s="572">
        <f t="shared" si="17"/>
        <v>0</v>
      </c>
      <c r="U35" s="580">
        <f>S35*'1.4-Premies en opslagen'!$D$66</f>
        <v>0</v>
      </c>
      <c r="V35" s="572">
        <f t="shared" si="18"/>
        <v>0</v>
      </c>
      <c r="X35" s="241"/>
      <c r="Y35" s="241"/>
      <c r="Z35" s="241"/>
      <c r="AA35" s="572">
        <f>SUM(V35:Z35)</f>
        <v>0</v>
      </c>
      <c r="AC35" s="241"/>
      <c r="AD35" s="241"/>
      <c r="AE35" s="241"/>
      <c r="AF35" s="241"/>
      <c r="AG35" s="241"/>
      <c r="AH35" s="241"/>
      <c r="AI35" s="241"/>
      <c r="AJ35" s="241"/>
      <c r="AK35" s="572">
        <f>SUM(AA35:AJ35)+SUM(AA35:AJ35)*'1.1a-Jaarprijzen'!$C$68</f>
        <v>0</v>
      </c>
      <c r="AM35" s="241">
        <f t="shared" si="10"/>
        <v>0</v>
      </c>
      <c r="AO35" s="583">
        <f t="shared" si="19"/>
        <v>0</v>
      </c>
      <c r="AQ35" s="583">
        <f>($V35*0.3)+$AO35</f>
        <v>0</v>
      </c>
      <c r="AS35" s="583">
        <f>($V35*0.5)+$AO35</f>
        <v>0</v>
      </c>
      <c r="AU35" s="583">
        <f>($V35*1.5)+$AO35</f>
        <v>0</v>
      </c>
      <c r="AW35" s="240"/>
    </row>
    <row r="36" spans="1:49"/>
    <row r="37" spans="1:49" ht="14" thickBot="1"/>
    <row r="38" spans="1:49" ht="17" customHeight="1">
      <c r="Q38" s="623">
        <f>SUM(Q13:Q31)</f>
        <v>0</v>
      </c>
      <c r="R38" s="624" t="s">
        <v>623</v>
      </c>
      <c r="S38" s="625"/>
      <c r="T38" s="626"/>
      <c r="U38" s="626"/>
      <c r="V38" s="626"/>
      <c r="W38" s="626"/>
      <c r="X38" s="626"/>
      <c r="Y38" s="626"/>
      <c r="Z38" s="627"/>
    </row>
    <row r="39" spans="1:49" ht="17" customHeight="1">
      <c r="Q39" s="628">
        <f>COUNTIF(Q13:Q31,"&gt;0,01")</f>
        <v>0</v>
      </c>
      <c r="R39" s="629" t="s">
        <v>624</v>
      </c>
      <c r="S39" s="630"/>
      <c r="T39" s="631"/>
      <c r="U39" s="631"/>
      <c r="V39" s="631"/>
      <c r="W39" s="631"/>
      <c r="X39" s="631"/>
      <c r="Y39" s="631"/>
      <c r="Z39" s="632"/>
    </row>
    <row r="40" spans="1:49" ht="17" customHeight="1" thickBot="1">
      <c r="Q40" s="633">
        <f>IF(Q38=0,0,Q38/Q39)</f>
        <v>0</v>
      </c>
      <c r="R40" s="634" t="s">
        <v>625</v>
      </c>
      <c r="S40" s="635"/>
      <c r="T40" s="636"/>
      <c r="U40" s="636"/>
      <c r="V40" s="636"/>
      <c r="W40" s="636"/>
      <c r="X40" s="636"/>
      <c r="Y40" s="636"/>
      <c r="Z40" s="637"/>
    </row>
    <row r="41" spans="1:49">
      <c r="R41" s="274"/>
    </row>
    <row r="42" spans="1:49" hidden="1">
      <c r="I42" s="656"/>
    </row>
    <row r="43" spans="1:49" hidden="1">
      <c r="I43" s="656"/>
    </row>
    <row r="44" spans="1:49" hidden="1"/>
    <row r="45" spans="1:49" hidden="1">
      <c r="I45" s="656"/>
      <c r="AC45" s="657"/>
    </row>
    <row r="46" spans="1:49" hidden="1">
      <c r="I46" s="656"/>
    </row>
    <row r="47" spans="1:49" hidden="1">
      <c r="I47" s="656"/>
    </row>
    <row r="48" spans="1:49" hidden="1">
      <c r="I48" s="656"/>
    </row>
    <row r="49" spans="9:9" hidden="1">
      <c r="I49" s="656"/>
    </row>
    <row r="50" spans="9:9" hidden="1">
      <c r="I50" s="656"/>
    </row>
    <row r="51" spans="9:9" hidden="1">
      <c r="I51" s="274"/>
    </row>
    <row r="52" spans="9:9" hidden="1">
      <c r="I52" s="656"/>
    </row>
    <row r="53" spans="9:9" hidden="1">
      <c r="I53" s="656"/>
    </row>
    <row r="54" spans="9:9" hidden="1">
      <c r="I54" s="656"/>
    </row>
    <row r="55" spans="9:9" hidden="1">
      <c r="I55" s="656"/>
    </row>
    <row r="56" spans="9:9" hidden="1">
      <c r="I56" s="274"/>
    </row>
    <row r="57" spans="9:9" hidden="1">
      <c r="I57" s="245"/>
    </row>
    <row r="58" spans="9:9" hidden="1">
      <c r="I58" s="245"/>
    </row>
  </sheetData>
  <mergeCells count="1">
    <mergeCell ref="J6:M6"/>
  </mergeCells>
  <phoneticPr fontId="9" type="noConversion"/>
  <conditionalFormatting sqref="N12">
    <cfRule type="cellIs" dxfId="118" priority="559" stopIfTrue="1" operator="lessThanOrEqual">
      <formula>0</formula>
    </cfRule>
  </conditionalFormatting>
  <conditionalFormatting sqref="I18 I20 I23 I25 I27:I31">
    <cfRule type="cellIs" dxfId="117" priority="547" stopIfTrue="1" operator="lessThanOrEqual">
      <formula>0</formula>
    </cfRule>
  </conditionalFormatting>
  <conditionalFormatting sqref="I19">
    <cfRule type="cellIs" dxfId="116" priority="546" stopIfTrue="1" operator="lessThanOrEqual">
      <formula>0</formula>
    </cfRule>
  </conditionalFormatting>
  <conditionalFormatting sqref="I21">
    <cfRule type="cellIs" dxfId="115" priority="545" stopIfTrue="1" operator="lessThanOrEqual">
      <formula>0</formula>
    </cfRule>
  </conditionalFormatting>
  <conditionalFormatting sqref="I22">
    <cfRule type="cellIs" dxfId="114" priority="544" stopIfTrue="1" operator="lessThanOrEqual">
      <formula>0</formula>
    </cfRule>
  </conditionalFormatting>
  <conditionalFormatting sqref="I24">
    <cfRule type="cellIs" dxfId="113" priority="543" stopIfTrue="1" operator="lessThanOrEqual">
      <formula>0</formula>
    </cfRule>
  </conditionalFormatting>
  <conditionalFormatting sqref="I26">
    <cfRule type="cellIs" dxfId="112" priority="542" stopIfTrue="1" operator="lessThanOrEqual">
      <formula>0</formula>
    </cfRule>
  </conditionalFormatting>
  <conditionalFormatting sqref="K18 K20 K23 K25 K27:K31">
    <cfRule type="cellIs" dxfId="111" priority="541" stopIfTrue="1" operator="lessThanOrEqual">
      <formula>0</formula>
    </cfRule>
  </conditionalFormatting>
  <conditionalFormatting sqref="K19">
    <cfRule type="cellIs" dxfId="110" priority="540" stopIfTrue="1" operator="lessThanOrEqual">
      <formula>0</formula>
    </cfRule>
  </conditionalFormatting>
  <conditionalFormatting sqref="K21">
    <cfRule type="cellIs" dxfId="109" priority="539" stopIfTrue="1" operator="lessThanOrEqual">
      <formula>0</formula>
    </cfRule>
  </conditionalFormatting>
  <conditionalFormatting sqref="K22">
    <cfRule type="cellIs" dxfId="108" priority="538" stopIfTrue="1" operator="lessThanOrEqual">
      <formula>0</formula>
    </cfRule>
  </conditionalFormatting>
  <conditionalFormatting sqref="K24">
    <cfRule type="cellIs" dxfId="107" priority="537" stopIfTrue="1" operator="lessThanOrEqual">
      <formula>0</formula>
    </cfRule>
  </conditionalFormatting>
  <conditionalFormatting sqref="K26">
    <cfRule type="cellIs" dxfId="106" priority="536" stopIfTrue="1" operator="lessThanOrEqual">
      <formula>0</formula>
    </cfRule>
  </conditionalFormatting>
  <conditionalFormatting sqref="I13">
    <cfRule type="cellIs" dxfId="105" priority="510" stopIfTrue="1" operator="lessThanOrEqual">
      <formula>0</formula>
    </cfRule>
  </conditionalFormatting>
  <conditionalFormatting sqref="I17">
    <cfRule type="cellIs" dxfId="104" priority="509" stopIfTrue="1" operator="lessThanOrEqual">
      <formula>0</formula>
    </cfRule>
  </conditionalFormatting>
  <conditionalFormatting sqref="K13">
    <cfRule type="cellIs" dxfId="103" priority="508" stopIfTrue="1" operator="lessThanOrEqual">
      <formula>0</formula>
    </cfRule>
  </conditionalFormatting>
  <conditionalFormatting sqref="K17">
    <cfRule type="cellIs" dxfId="102" priority="507" stopIfTrue="1" operator="lessThanOrEqual">
      <formula>0</formula>
    </cfRule>
  </conditionalFormatting>
  <conditionalFormatting sqref="I16">
    <cfRule type="cellIs" dxfId="101" priority="493" stopIfTrue="1" operator="lessThanOrEqual">
      <formula>0</formula>
    </cfRule>
  </conditionalFormatting>
  <conditionalFormatting sqref="K16">
    <cfRule type="cellIs" dxfId="100" priority="492" stopIfTrue="1" operator="lessThanOrEqual">
      <formula>0</formula>
    </cfRule>
  </conditionalFormatting>
  <conditionalFormatting sqref="I15">
    <cfRule type="cellIs" dxfId="99" priority="488" stopIfTrue="1" operator="lessThanOrEqual">
      <formula>0</formula>
    </cfRule>
  </conditionalFormatting>
  <conditionalFormatting sqref="K15">
    <cfRule type="cellIs" dxfId="98" priority="487" stopIfTrue="1" operator="lessThanOrEqual">
      <formula>0</formula>
    </cfRule>
  </conditionalFormatting>
  <conditionalFormatting sqref="I14">
    <cfRule type="cellIs" dxfId="97" priority="482" stopIfTrue="1" operator="lessThanOrEqual">
      <formula>0</formula>
    </cfRule>
  </conditionalFormatting>
  <conditionalFormatting sqref="K14">
    <cfRule type="cellIs" dxfId="96" priority="481" stopIfTrue="1" operator="lessThanOrEqual">
      <formula>0</formula>
    </cfRule>
  </conditionalFormatting>
  <conditionalFormatting sqref="J12">
    <cfRule type="cellIs" dxfId="95" priority="466" stopIfTrue="1" operator="lessThanOrEqual">
      <formula>0</formula>
    </cfRule>
  </conditionalFormatting>
  <conditionalFormatting sqref="AC13">
    <cfRule type="cellIs" dxfId="94" priority="202" stopIfTrue="1" operator="lessThanOrEqual">
      <formula>0</formula>
    </cfRule>
  </conditionalFormatting>
  <conditionalFormatting sqref="AF13">
    <cfRule type="cellIs" dxfId="93" priority="199" stopIfTrue="1" operator="lessThanOrEqual">
      <formula>0</formula>
    </cfRule>
  </conditionalFormatting>
  <conditionalFormatting sqref="AI13:AJ13">
    <cfRule type="cellIs" dxfId="92" priority="196" stopIfTrue="1" operator="lessThanOrEqual">
      <formula>0</formula>
    </cfRule>
  </conditionalFormatting>
  <conditionalFormatting sqref="Y13">
    <cfRule type="cellIs" dxfId="91" priority="227" stopIfTrue="1" operator="lessThanOrEqual">
      <formula>0</formula>
    </cfRule>
  </conditionalFormatting>
  <conditionalFormatting sqref="X13">
    <cfRule type="cellIs" dxfId="90" priority="226" stopIfTrue="1" operator="lessThanOrEqual">
      <formula>0</formula>
    </cfRule>
  </conditionalFormatting>
  <conditionalFormatting sqref="Y14:Y27">
    <cfRule type="cellIs" dxfId="89" priority="225" stopIfTrue="1" operator="lessThanOrEqual">
      <formula>0</formula>
    </cfRule>
  </conditionalFormatting>
  <conditionalFormatting sqref="X14:X27">
    <cfRule type="cellIs" dxfId="88" priority="224" stopIfTrue="1" operator="lessThanOrEqual">
      <formula>0</formula>
    </cfRule>
  </conditionalFormatting>
  <conditionalFormatting sqref="Z13:Z29">
    <cfRule type="cellIs" dxfId="87" priority="223" stopIfTrue="1" operator="lessThanOrEqual">
      <formula>0</formula>
    </cfRule>
  </conditionalFormatting>
  <conditionalFormatting sqref="AE13">
    <cfRule type="cellIs" dxfId="86" priority="200" stopIfTrue="1" operator="lessThanOrEqual">
      <formula>0</formula>
    </cfRule>
  </conditionalFormatting>
  <conditionalFormatting sqref="AG13">
    <cfRule type="cellIs" dxfId="85" priority="198" stopIfTrue="1" operator="lessThanOrEqual">
      <formula>0</formula>
    </cfRule>
  </conditionalFormatting>
  <conditionalFormatting sqref="AH13">
    <cfRule type="cellIs" dxfId="84" priority="197" stopIfTrue="1" operator="lessThanOrEqual">
      <formula>0</formula>
    </cfRule>
  </conditionalFormatting>
  <conditionalFormatting sqref="AC14">
    <cfRule type="cellIs" dxfId="83" priority="195" stopIfTrue="1" operator="lessThanOrEqual">
      <formula>0</formula>
    </cfRule>
  </conditionalFormatting>
  <conditionalFormatting sqref="AD14">
    <cfRule type="cellIs" dxfId="82" priority="194" stopIfTrue="1" operator="lessThanOrEqual">
      <formula>0</formula>
    </cfRule>
  </conditionalFormatting>
  <conditionalFormatting sqref="AE14">
    <cfRule type="cellIs" dxfId="81" priority="193" stopIfTrue="1" operator="lessThanOrEqual">
      <formula>0</formula>
    </cfRule>
  </conditionalFormatting>
  <conditionalFormatting sqref="AG14">
    <cfRule type="cellIs" dxfId="80" priority="192" stopIfTrue="1" operator="lessThanOrEqual">
      <formula>0</formula>
    </cfRule>
  </conditionalFormatting>
  <conditionalFormatting sqref="AH14">
    <cfRule type="cellIs" dxfId="79" priority="191" stopIfTrue="1" operator="lessThanOrEqual">
      <formula>0</formula>
    </cfRule>
  </conditionalFormatting>
  <conditionalFormatting sqref="AI14:AJ14 AJ15:AJ26 AJ28:AJ30">
    <cfRule type="cellIs" dxfId="78" priority="190" stopIfTrue="1" operator="lessThanOrEqual">
      <formula>0</formula>
    </cfRule>
  </conditionalFormatting>
  <conditionalFormatting sqref="AF14">
    <cfRule type="cellIs" dxfId="77" priority="189" stopIfTrue="1" operator="lessThanOrEqual">
      <formula>0</formula>
    </cfRule>
  </conditionalFormatting>
  <conditionalFormatting sqref="AD13">
    <cfRule type="cellIs" dxfId="76" priority="201" stopIfTrue="1" operator="lessThanOrEqual">
      <formula>0</formula>
    </cfRule>
  </conditionalFormatting>
  <conditionalFormatting sqref="G24">
    <cfRule type="cellIs" dxfId="75" priority="127" stopIfTrue="1" operator="lessThanOrEqual">
      <formula>0</formula>
    </cfRule>
  </conditionalFormatting>
  <conditionalFormatting sqref="G14">
    <cfRule type="cellIs" dxfId="74" priority="111" stopIfTrue="1" operator="lessThanOrEqual">
      <formula>0</formula>
    </cfRule>
  </conditionalFormatting>
  <conditionalFormatting sqref="G13">
    <cfRule type="cellIs" dxfId="73" priority="119" stopIfTrue="1" operator="lessThanOrEqual">
      <formula>0</formula>
    </cfRule>
  </conditionalFormatting>
  <conditionalFormatting sqref="G17">
    <cfRule type="cellIs" dxfId="72" priority="118" stopIfTrue="1" operator="lessThanOrEqual">
      <formula>0</formula>
    </cfRule>
  </conditionalFormatting>
  <conditionalFormatting sqref="G16">
    <cfRule type="cellIs" dxfId="71" priority="115" stopIfTrue="1" operator="lessThanOrEqual">
      <formula>0</formula>
    </cfRule>
  </conditionalFormatting>
  <conditionalFormatting sqref="G15">
    <cfRule type="cellIs" dxfId="70" priority="113" stopIfTrue="1" operator="lessThanOrEqual">
      <formula>0</formula>
    </cfRule>
  </conditionalFormatting>
  <conditionalFormatting sqref="F13:F31">
    <cfRule type="cellIs" dxfId="69" priority="109" stopIfTrue="1" operator="lessThanOrEqual">
      <formula>0</formula>
    </cfRule>
  </conditionalFormatting>
  <conditionalFormatting sqref="Y28 Y30:Y31">
    <cfRule type="cellIs" dxfId="68" priority="108" stopIfTrue="1" operator="lessThanOrEqual">
      <formula>0</formula>
    </cfRule>
  </conditionalFormatting>
  <conditionalFormatting sqref="AE16:AE17 AE28 AE19:AE26 AE30">
    <cfRule type="cellIs" dxfId="67" priority="93" stopIfTrue="1" operator="lessThanOrEqual">
      <formula>0</formula>
    </cfRule>
  </conditionalFormatting>
  <conditionalFormatting sqref="AG16:AG17 AG28 AG19:AG26 AG30">
    <cfRule type="cellIs" dxfId="66" priority="92" stopIfTrue="1" operator="lessThanOrEqual">
      <formula>0</formula>
    </cfRule>
  </conditionalFormatting>
  <conditionalFormatting sqref="AH16:AH17 AH28 AH19:AH26 AH30">
    <cfRule type="cellIs" dxfId="65" priority="91" stopIfTrue="1" operator="lessThanOrEqual">
      <formula>0</formula>
    </cfRule>
  </conditionalFormatting>
  <conditionalFormatting sqref="Z30:Z31">
    <cfRule type="cellIs" dxfId="64" priority="103" stopIfTrue="1" operator="lessThanOrEqual">
      <formula>0</formula>
    </cfRule>
  </conditionalFormatting>
  <conditionalFormatting sqref="AC16:AC17 AC28 AC19:AC26 AC30">
    <cfRule type="cellIs" dxfId="63" priority="95" stopIfTrue="1" operator="lessThanOrEqual">
      <formula>0</formula>
    </cfRule>
  </conditionalFormatting>
  <conditionalFormatting sqref="AD16:AD17 AD28 AD19:AD26 AD30">
    <cfRule type="cellIs" dxfId="62" priority="94" stopIfTrue="1" operator="lessThanOrEqual">
      <formula>0</formula>
    </cfRule>
  </conditionalFormatting>
  <conditionalFormatting sqref="G18 G20 G23 G25 G27:G31">
    <cfRule type="cellIs" dxfId="61" priority="131" stopIfTrue="1" operator="lessThanOrEqual">
      <formula>0</formula>
    </cfRule>
  </conditionalFormatting>
  <conditionalFormatting sqref="G19">
    <cfRule type="cellIs" dxfId="60" priority="130" stopIfTrue="1" operator="lessThanOrEqual">
      <formula>0</formula>
    </cfRule>
  </conditionalFormatting>
  <conditionalFormatting sqref="G21">
    <cfRule type="cellIs" dxfId="59" priority="129" stopIfTrue="1" operator="lessThanOrEqual">
      <formula>0</formula>
    </cfRule>
  </conditionalFormatting>
  <conditionalFormatting sqref="G22">
    <cfRule type="cellIs" dxfId="58" priority="128" stopIfTrue="1" operator="lessThanOrEqual">
      <formula>0</formula>
    </cfRule>
  </conditionalFormatting>
  <conditionalFormatting sqref="G26">
    <cfRule type="cellIs" dxfId="57" priority="126" stopIfTrue="1" operator="lessThanOrEqual">
      <formula>0</formula>
    </cfRule>
  </conditionalFormatting>
  <conditionalFormatting sqref="AC33">
    <cfRule type="cellIs" dxfId="56" priority="69" stopIfTrue="1" operator="lessThanOrEqual">
      <formula>0</formula>
    </cfRule>
  </conditionalFormatting>
  <conditionalFormatting sqref="AI15:AI26 AI28:AI30">
    <cfRule type="cellIs" dxfId="55" priority="90" stopIfTrue="1" operator="lessThanOrEqual">
      <formula>0</formula>
    </cfRule>
  </conditionalFormatting>
  <conditionalFormatting sqref="AF16:AF17 AF28 AF19:AF26 AF30">
    <cfRule type="cellIs" dxfId="54" priority="89" stopIfTrue="1" operator="lessThanOrEqual">
      <formula>0</formula>
    </cfRule>
  </conditionalFormatting>
  <conditionalFormatting sqref="G33:G35">
    <cfRule type="cellIs" dxfId="53" priority="85" stopIfTrue="1" operator="lessThanOrEqual">
      <formula>0</formula>
    </cfRule>
  </conditionalFormatting>
  <conditionalFormatting sqref="I33:I35">
    <cfRule type="cellIs" dxfId="52" priority="84" stopIfTrue="1" operator="lessThanOrEqual">
      <formula>0</formula>
    </cfRule>
  </conditionalFormatting>
  <conditionalFormatting sqref="K33:K35">
    <cfRule type="cellIs" dxfId="51" priority="83" stopIfTrue="1" operator="lessThanOrEqual">
      <formula>0</formula>
    </cfRule>
  </conditionalFormatting>
  <conditionalFormatting sqref="AI33:AI35">
    <cfRule type="cellIs" dxfId="50" priority="82" stopIfTrue="1" operator="lessThanOrEqual">
      <formula>0</formula>
    </cfRule>
  </conditionalFormatting>
  <conditionalFormatting sqref="H33">
    <cfRule type="cellIs" dxfId="49" priority="79" stopIfTrue="1" operator="lessThanOrEqual">
      <formula>0</formula>
    </cfRule>
  </conditionalFormatting>
  <conditionalFormatting sqref="H33">
    <cfRule type="cellIs" dxfId="48" priority="78" stopIfTrue="1" operator="lessThanOrEqual">
      <formula>0</formula>
    </cfRule>
  </conditionalFormatting>
  <conditionalFormatting sqref="AJ34">
    <cfRule type="cellIs" dxfId="47" priority="46" stopIfTrue="1" operator="lessThanOrEqual">
      <formula>0</formula>
    </cfRule>
  </conditionalFormatting>
  <conditionalFormatting sqref="AJ35">
    <cfRule type="cellIs" dxfId="46" priority="45" stopIfTrue="1" operator="lessThanOrEqual">
      <formula>0</formula>
    </cfRule>
  </conditionalFormatting>
  <conditionalFormatting sqref="N32">
    <cfRule type="cellIs" dxfId="45" priority="77" stopIfTrue="1" operator="lessThanOrEqual">
      <formula>0</formula>
    </cfRule>
  </conditionalFormatting>
  <conditionalFormatting sqref="H34">
    <cfRule type="cellIs" dxfId="44" priority="75" stopIfTrue="1" operator="lessThanOrEqual">
      <formula>0</formula>
    </cfRule>
  </conditionalFormatting>
  <conditionalFormatting sqref="H34">
    <cfRule type="cellIs" dxfId="43" priority="74" stopIfTrue="1" operator="lessThanOrEqual">
      <formula>0</formula>
    </cfRule>
  </conditionalFormatting>
  <conditionalFormatting sqref="H35">
    <cfRule type="cellIs" dxfId="42" priority="73" stopIfTrue="1" operator="lessThanOrEqual">
      <formula>0</formula>
    </cfRule>
  </conditionalFormatting>
  <conditionalFormatting sqref="H35">
    <cfRule type="cellIs" dxfId="41" priority="72" stopIfTrue="1" operator="lessThanOrEqual">
      <formula>0</formula>
    </cfRule>
  </conditionalFormatting>
  <conditionalFormatting sqref="AD33">
    <cfRule type="cellIs" dxfId="40" priority="68" stopIfTrue="1" operator="lessThanOrEqual">
      <formula>0</formula>
    </cfRule>
  </conditionalFormatting>
  <conditionalFormatting sqref="AE33">
    <cfRule type="cellIs" dxfId="39" priority="67" stopIfTrue="1" operator="lessThanOrEqual">
      <formula>0</formula>
    </cfRule>
  </conditionalFormatting>
  <conditionalFormatting sqref="AF33">
    <cfRule type="cellIs" dxfId="38" priority="66" stopIfTrue="1" operator="lessThanOrEqual">
      <formula>0</formula>
    </cfRule>
  </conditionalFormatting>
  <conditionalFormatting sqref="AG33">
    <cfRule type="cellIs" dxfId="37" priority="65" stopIfTrue="1" operator="lessThanOrEqual">
      <formula>0</formula>
    </cfRule>
  </conditionalFormatting>
  <conditionalFormatting sqref="AH33">
    <cfRule type="cellIs" dxfId="36" priority="64" stopIfTrue="1" operator="lessThanOrEqual">
      <formula>0</formula>
    </cfRule>
  </conditionalFormatting>
  <conditionalFormatting sqref="Y34">
    <cfRule type="cellIs" dxfId="35" priority="63" stopIfTrue="1" operator="lessThanOrEqual">
      <formula>0</formula>
    </cfRule>
  </conditionalFormatting>
  <conditionalFormatting sqref="AC34">
    <cfRule type="cellIs" dxfId="34" priority="61" stopIfTrue="1" operator="lessThanOrEqual">
      <formula>0</formula>
    </cfRule>
  </conditionalFormatting>
  <conditionalFormatting sqref="AD34">
    <cfRule type="cellIs" dxfId="33" priority="60" stopIfTrue="1" operator="lessThanOrEqual">
      <formula>0</formula>
    </cfRule>
  </conditionalFormatting>
  <conditionalFormatting sqref="AE34">
    <cfRule type="cellIs" dxfId="32" priority="59" stopIfTrue="1" operator="lessThanOrEqual">
      <formula>0</formula>
    </cfRule>
  </conditionalFormatting>
  <conditionalFormatting sqref="AF34">
    <cfRule type="cellIs" dxfId="31" priority="58" stopIfTrue="1" operator="lessThanOrEqual">
      <formula>0</formula>
    </cfRule>
  </conditionalFormatting>
  <conditionalFormatting sqref="AG34">
    <cfRule type="cellIs" dxfId="30" priority="57" stopIfTrue="1" operator="lessThanOrEqual">
      <formula>0</formula>
    </cfRule>
  </conditionalFormatting>
  <conditionalFormatting sqref="AH34">
    <cfRule type="cellIs" dxfId="29" priority="56" stopIfTrue="1" operator="lessThanOrEqual">
      <formula>0</formula>
    </cfRule>
  </conditionalFormatting>
  <conditionalFormatting sqref="Y35">
    <cfRule type="cellIs" dxfId="28" priority="55" stopIfTrue="1" operator="lessThanOrEqual">
      <formula>0</formula>
    </cfRule>
  </conditionalFormatting>
  <conditionalFormatting sqref="X35">
    <cfRule type="cellIs" dxfId="27" priority="54" stopIfTrue="1" operator="lessThanOrEqual">
      <formula>0</formula>
    </cfRule>
  </conditionalFormatting>
  <conditionalFormatting sqref="AC35">
    <cfRule type="cellIs" dxfId="26" priority="53" stopIfTrue="1" operator="lessThanOrEqual">
      <formula>0</formula>
    </cfRule>
  </conditionalFormatting>
  <conditionalFormatting sqref="AD35">
    <cfRule type="cellIs" dxfId="25" priority="52" stopIfTrue="1" operator="lessThanOrEqual">
      <formula>0</formula>
    </cfRule>
  </conditionalFormatting>
  <conditionalFormatting sqref="AE35">
    <cfRule type="cellIs" dxfId="24" priority="51" stopIfTrue="1" operator="lessThanOrEqual">
      <formula>0</formula>
    </cfRule>
  </conditionalFormatting>
  <conditionalFormatting sqref="AF35">
    <cfRule type="cellIs" dxfId="23" priority="50" stopIfTrue="1" operator="lessThanOrEqual">
      <formula>0</formula>
    </cfRule>
  </conditionalFormatting>
  <conditionalFormatting sqref="AG35">
    <cfRule type="cellIs" dxfId="22" priority="49" stopIfTrue="1" operator="lessThanOrEqual">
      <formula>0</formula>
    </cfRule>
  </conditionalFormatting>
  <conditionalFormatting sqref="AH35">
    <cfRule type="cellIs" dxfId="21" priority="48" stopIfTrue="1" operator="lessThanOrEqual">
      <formula>0</formula>
    </cfRule>
  </conditionalFormatting>
  <conditionalFormatting sqref="AJ27">
    <cfRule type="cellIs" dxfId="20" priority="38" stopIfTrue="1" operator="lessThanOrEqual">
      <formula>0</formula>
    </cfRule>
  </conditionalFormatting>
  <conditionalFormatting sqref="AI27">
    <cfRule type="cellIs" dxfId="19" priority="32" stopIfTrue="1" operator="lessThanOrEqual">
      <formula>0</formula>
    </cfRule>
  </conditionalFormatting>
  <conditionalFormatting sqref="AJ31">
    <cfRule type="cellIs" dxfId="18" priority="29" stopIfTrue="1" operator="lessThanOrEqual">
      <formula>0</formula>
    </cfRule>
  </conditionalFormatting>
  <conditionalFormatting sqref="AI31">
    <cfRule type="cellIs" dxfId="17" priority="23" stopIfTrue="1" operator="lessThanOrEqual">
      <formula>0</formula>
    </cfRule>
  </conditionalFormatting>
  <conditionalFormatting sqref="AC15:AH15">
    <cfRule type="cellIs" dxfId="16" priority="20" stopIfTrue="1" operator="lessThanOrEqual">
      <formula>0</formula>
    </cfRule>
  </conditionalFormatting>
  <conditionalFormatting sqref="AC18:AH18">
    <cfRule type="cellIs" dxfId="15" priority="19" stopIfTrue="1" operator="lessThanOrEqual">
      <formula>0</formula>
    </cfRule>
  </conditionalFormatting>
  <conditionalFormatting sqref="AC27:AH27">
    <cfRule type="cellIs" dxfId="14" priority="18" stopIfTrue="1" operator="lessThanOrEqual">
      <formula>0</formula>
    </cfRule>
  </conditionalFormatting>
  <conditionalFormatting sqref="AC29:AH29">
    <cfRule type="cellIs" dxfId="13" priority="17" stopIfTrue="1" operator="lessThanOrEqual">
      <formula>0</formula>
    </cfRule>
  </conditionalFormatting>
  <conditionalFormatting sqref="AC31:AH31">
    <cfRule type="cellIs" dxfId="12" priority="16" stopIfTrue="1" operator="lessThanOrEqual">
      <formula>0</formula>
    </cfRule>
  </conditionalFormatting>
  <conditionalFormatting sqref="Z33:Z35">
    <cfRule type="cellIs" dxfId="11" priority="15" stopIfTrue="1" operator="lessThanOrEqual">
      <formula>0</formula>
    </cfRule>
  </conditionalFormatting>
  <conditionalFormatting sqref="AJ33">
    <cfRule type="cellIs" dxfId="10" priority="14" stopIfTrue="1" operator="lessThanOrEqual">
      <formula>0</formula>
    </cfRule>
  </conditionalFormatting>
  <conditionalFormatting sqref="AM12">
    <cfRule type="cellIs" dxfId="9" priority="13" stopIfTrue="1" operator="lessThanOrEqual">
      <formula>0</formula>
    </cfRule>
  </conditionalFormatting>
  <conditionalFormatting sqref="AM13:AM31">
    <cfRule type="cellIs" dxfId="8" priority="9" stopIfTrue="1" operator="lessThanOrEqual">
      <formula>0</formula>
    </cfRule>
  </conditionalFormatting>
  <conditionalFormatting sqref="AM33:AM35">
    <cfRule type="cellIs" dxfId="7" priority="8" stopIfTrue="1" operator="lessThanOrEqual">
      <formula>0</formula>
    </cfRule>
  </conditionalFormatting>
  <conditionalFormatting sqref="J32">
    <cfRule type="cellIs" dxfId="6" priority="6" stopIfTrue="1" operator="lessThanOrEqual">
      <formula>0</formula>
    </cfRule>
  </conditionalFormatting>
  <conditionalFormatting sqref="H32">
    <cfRule type="cellIs" dxfId="5" priority="5" stopIfTrue="1" operator="lessThanOrEqual">
      <formula>0</formula>
    </cfRule>
  </conditionalFormatting>
  <conditionalFormatting sqref="Y29">
    <cfRule type="cellIs" dxfId="4" priority="4" stopIfTrue="1" operator="lessThanOrEqual">
      <formula>0</formula>
    </cfRule>
  </conditionalFormatting>
  <conditionalFormatting sqref="X33">
    <cfRule type="cellIs" dxfId="3" priority="3" stopIfTrue="1" operator="lessThanOrEqual">
      <formula>0</formula>
    </cfRule>
  </conditionalFormatting>
  <conditionalFormatting sqref="X34">
    <cfRule type="cellIs" dxfId="2" priority="2" stopIfTrue="1" operator="lessThanOrEqual">
      <formula>0</formula>
    </cfRule>
  </conditionalFormatting>
  <conditionalFormatting sqref="Y33">
    <cfRule type="cellIs" dxfId="1" priority="1" stopIfTrue="1" operator="lessThanOrEqual">
      <formula>0</formula>
    </cfRule>
  </conditionalFormatting>
  <pageMargins left="0.1631496062992126" right="0.1631496062992126" top="0.8" bottom="1" header="0.5" footer="0.5"/>
  <pageSetup paperSize="9" scale="34" orientation="landscape"/>
  <drawing r:id="rId1"/>
  <extLst>
    <ext xmlns:mx="http://schemas.microsoft.com/office/mac/excel/2008/main" uri="{64002731-A6B0-56B0-2670-7721B7C09600}">
      <mx:PLV Mode="0" OnePage="0" WScale="10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 enableFormatConditionsCalculation="0">
    <pageSetUpPr fitToPage="1"/>
  </sheetPr>
  <dimension ref="B1:I240"/>
  <sheetViews>
    <sheetView showGridLines="0" showZeros="0" showOutlineSymbols="0" zoomScaleSheetLayoutView="75" workbookViewId="0">
      <selection activeCell="G12" sqref="G12"/>
    </sheetView>
  </sheetViews>
  <sheetFormatPr baseColWidth="10" defaultColWidth="10.7109375" defaultRowHeight="13" zeroHeight="1" x14ac:dyDescent="0"/>
  <cols>
    <col min="1" max="1" width="6.140625" style="60" customWidth="1"/>
    <col min="2" max="2" width="40.85546875" style="60" customWidth="1"/>
    <col min="3" max="3" width="32.85546875" style="60" customWidth="1"/>
    <col min="4" max="4" width="15.7109375" style="60" customWidth="1"/>
    <col min="5" max="5" width="16.7109375" style="60" customWidth="1"/>
    <col min="6" max="6" width="5.7109375" style="60" customWidth="1"/>
    <col min="7" max="7" width="17.28515625" style="60" bestFit="1" customWidth="1"/>
    <col min="8" max="8" width="8.28515625" style="60" customWidth="1"/>
    <col min="9" max="16384" width="10.7109375" style="60"/>
  </cols>
  <sheetData>
    <row r="1" spans="2:6" ht="18" customHeight="1">
      <c r="B1" s="404" t="s">
        <v>32</v>
      </c>
    </row>
    <row r="2" spans="2:6"/>
    <row r="3" spans="2:6" ht="16">
      <c r="B3" s="119" t="str">
        <f>'1.5 Opbouw uurtarieven'!C2</f>
        <v>Naam opdrachtgever</v>
      </c>
      <c r="C3" s="120" t="str">
        <f>'1.5 Opbouw uurtarieven'!D2</f>
        <v>Stichting CPOW</v>
      </c>
      <c r="D3" s="121"/>
    </row>
    <row r="4" spans="2:6" ht="16">
      <c r="B4" s="119" t="str">
        <f>'1.5 Opbouw uurtarieven'!C3</f>
        <v>Omschrijving blad</v>
      </c>
      <c r="C4" s="119" t="s">
        <v>101</v>
      </c>
      <c r="D4" s="121"/>
    </row>
    <row r="5" spans="2:6" ht="16">
      <c r="B5" s="119" t="str">
        <f>'1.5 Opbouw uurtarieven'!C4</f>
        <v>Adres/plaats</v>
      </c>
      <c r="C5" s="120" t="str">
        <f>'1.5 Opbouw uurtarieven'!D4</f>
        <v>Primair onderwijs Purmerend e.o.</v>
      </c>
      <c r="D5" s="76"/>
      <c r="E5" s="76"/>
    </row>
    <row r="6" spans="2:6" ht="16">
      <c r="B6" s="119" t="str">
        <f>'1.5 Opbouw uurtarieven'!C5</f>
        <v>Besteknummer</v>
      </c>
      <c r="C6" s="120" t="str">
        <f>'1.5 Opbouw uurtarieven'!D5</f>
        <v>0302-52-2015 V1</v>
      </c>
      <c r="D6" s="121"/>
    </row>
    <row r="7" spans="2:6" ht="16">
      <c r="B7" s="119" t="str">
        <f>'1.5 Opbouw uurtarieven'!C6</f>
        <v>Naam leverancier</v>
      </c>
      <c r="C7" s="120" t="str">
        <f>'1.5 Opbouw uurtarieven'!D6</f>
        <v>[NAAM LEVERANCIER]</v>
      </c>
      <c r="D7" s="700">
        <v>42370</v>
      </c>
    </row>
    <row r="8" spans="2:6" ht="16">
      <c r="B8" s="119"/>
      <c r="C8" s="120"/>
      <c r="D8" s="121"/>
    </row>
    <row r="9" spans="2:6" ht="16">
      <c r="B9" s="72"/>
      <c r="C9" s="122"/>
      <c r="D9" s="121"/>
    </row>
    <row r="10" spans="2:6" ht="16">
      <c r="B10" s="401" t="s">
        <v>114</v>
      </c>
      <c r="C10" s="733"/>
      <c r="D10" s="733"/>
      <c r="E10" s="733"/>
      <c r="F10" s="402"/>
    </row>
    <row r="11" spans="2:6">
      <c r="B11" s="123"/>
      <c r="C11" s="123"/>
      <c r="D11" s="123"/>
      <c r="E11" s="123"/>
    </row>
    <row r="12" spans="2:6" ht="15.75" customHeight="1">
      <c r="B12" s="49" t="s">
        <v>115</v>
      </c>
      <c r="C12" s="734"/>
      <c r="D12" s="735"/>
      <c r="E12" s="736"/>
    </row>
    <row r="13" spans="2:6">
      <c r="B13" s="387" t="s">
        <v>54</v>
      </c>
      <c r="C13" s="734"/>
      <c r="D13" s="735"/>
      <c r="E13" s="736"/>
    </row>
    <row r="14" spans="2:6">
      <c r="B14" s="124"/>
      <c r="C14" s="51"/>
      <c r="D14" s="126"/>
      <c r="E14" s="403"/>
    </row>
    <row r="15" spans="2:6" ht="16">
      <c r="B15" s="49" t="s">
        <v>155</v>
      </c>
      <c r="C15" s="51"/>
      <c r="D15" s="389"/>
      <c r="E15" s="390" t="s">
        <v>203</v>
      </c>
    </row>
    <row r="16" spans="2:6">
      <c r="B16" s="124" t="s">
        <v>120</v>
      </c>
      <c r="C16" s="51"/>
      <c r="D16" s="51"/>
      <c r="E16" s="391">
        <v>0</v>
      </c>
    </row>
    <row r="17" spans="2:5">
      <c r="B17" s="124" t="s">
        <v>59</v>
      </c>
      <c r="C17" s="51"/>
      <c r="D17" s="51"/>
      <c r="E17" s="391">
        <v>0</v>
      </c>
    </row>
    <row r="18" spans="2:5">
      <c r="B18" s="124" t="s">
        <v>189</v>
      </c>
      <c r="C18" s="51"/>
      <c r="D18" s="51"/>
      <c r="E18" s="480">
        <f>E16-E17</f>
        <v>0</v>
      </c>
    </row>
    <row r="19" spans="2:5">
      <c r="B19" s="124" t="s">
        <v>145</v>
      </c>
      <c r="C19" s="51"/>
      <c r="D19" s="51"/>
      <c r="E19" s="487">
        <v>0</v>
      </c>
    </row>
    <row r="20" spans="2:5">
      <c r="B20" s="124" t="s">
        <v>191</v>
      </c>
      <c r="C20" s="51"/>
      <c r="D20" s="51"/>
      <c r="E20" s="391">
        <v>0</v>
      </c>
    </row>
    <row r="21" spans="2:5">
      <c r="B21" s="124"/>
      <c r="C21" s="51"/>
      <c r="D21" s="126"/>
      <c r="E21" s="393"/>
    </row>
    <row r="22" spans="2:5">
      <c r="B22" s="49" t="s">
        <v>102</v>
      </c>
      <c r="C22" s="51"/>
      <c r="D22" s="51"/>
      <c r="E22" s="394"/>
    </row>
    <row r="23" spans="2:5">
      <c r="B23" s="124" t="s">
        <v>196</v>
      </c>
      <c r="C23" s="51"/>
      <c r="D23" s="51"/>
      <c r="E23" s="481">
        <f>IF(E19=0,0,(E18-E20)/E19)</f>
        <v>0</v>
      </c>
    </row>
    <row r="24" spans="2:5">
      <c r="B24" s="124" t="s">
        <v>212</v>
      </c>
      <c r="C24" s="51"/>
      <c r="D24" s="51"/>
      <c r="E24" s="391">
        <v>0</v>
      </c>
    </row>
    <row r="25" spans="2:5">
      <c r="B25" s="124" t="s">
        <v>51</v>
      </c>
      <c r="C25" s="388" t="s">
        <v>45</v>
      </c>
      <c r="D25" s="392">
        <v>0</v>
      </c>
      <c r="E25" s="482">
        <f>D25*E18</f>
        <v>0</v>
      </c>
    </row>
    <row r="26" spans="2:5">
      <c r="B26" s="124" t="s">
        <v>127</v>
      </c>
      <c r="C26" s="388" t="s">
        <v>45</v>
      </c>
      <c r="D26" s="392">
        <v>0</v>
      </c>
      <c r="E26" s="483">
        <f>D26*E18</f>
        <v>0</v>
      </c>
    </row>
    <row r="27" spans="2:5">
      <c r="B27" s="124"/>
      <c r="C27" s="51"/>
      <c r="D27" s="126"/>
      <c r="E27" s="388"/>
    </row>
    <row r="28" spans="2:5">
      <c r="B28" s="49" t="s">
        <v>93</v>
      </c>
      <c r="C28" s="51"/>
      <c r="D28" s="51"/>
      <c r="E28" s="484">
        <f>SUM(E23:E27)</f>
        <v>0</v>
      </c>
    </row>
    <row r="29" spans="2:5">
      <c r="B29" s="124"/>
      <c r="C29" s="51"/>
      <c r="D29" s="126"/>
      <c r="E29" s="388"/>
    </row>
    <row r="30" spans="2:5">
      <c r="B30" s="124" t="s">
        <v>193</v>
      </c>
      <c r="C30" s="51"/>
      <c r="D30" s="400">
        <v>0</v>
      </c>
      <c r="E30" s="484">
        <f>D30*E28</f>
        <v>0</v>
      </c>
    </row>
    <row r="31" spans="2:5" ht="16">
      <c r="B31" s="72"/>
      <c r="C31" s="122"/>
      <c r="D31" s="121"/>
      <c r="E31" s="121"/>
    </row>
    <row r="32" spans="2:5">
      <c r="B32" s="49" t="s">
        <v>115</v>
      </c>
      <c r="C32" s="734"/>
      <c r="D32" s="735"/>
      <c r="E32" s="736"/>
    </row>
    <row r="33" spans="2:9">
      <c r="B33" s="387" t="s">
        <v>54</v>
      </c>
      <c r="C33" s="734"/>
      <c r="D33" s="735"/>
      <c r="E33" s="736"/>
    </row>
    <row r="34" spans="2:9">
      <c r="B34" s="124"/>
      <c r="C34" s="51"/>
      <c r="D34" s="126"/>
      <c r="E34" s="403"/>
    </row>
    <row r="35" spans="2:9" ht="16">
      <c r="B35" s="49" t="s">
        <v>155</v>
      </c>
      <c r="C35" s="51"/>
      <c r="D35" s="389"/>
      <c r="E35" s="390" t="s">
        <v>203</v>
      </c>
    </row>
    <row r="36" spans="2:9">
      <c r="B36" s="124" t="s">
        <v>120</v>
      </c>
      <c r="C36" s="51"/>
      <c r="D36" s="51"/>
      <c r="E36" s="391">
        <v>0</v>
      </c>
      <c r="I36" s="94"/>
    </row>
    <row r="37" spans="2:9">
      <c r="B37" s="124" t="s">
        <v>59</v>
      </c>
      <c r="C37" s="51"/>
      <c r="D37" s="51"/>
      <c r="E37" s="391">
        <v>0</v>
      </c>
    </row>
    <row r="38" spans="2:9">
      <c r="B38" s="124" t="s">
        <v>189</v>
      </c>
      <c r="C38" s="51"/>
      <c r="D38" s="51"/>
      <c r="E38" s="480">
        <f>E36-E37</f>
        <v>0</v>
      </c>
    </row>
    <row r="39" spans="2:9">
      <c r="B39" s="124" t="s">
        <v>145</v>
      </c>
      <c r="C39" s="51"/>
      <c r="D39" s="51"/>
      <c r="E39" s="487">
        <v>0</v>
      </c>
    </row>
    <row r="40" spans="2:9">
      <c r="B40" s="124" t="s">
        <v>191</v>
      </c>
      <c r="C40" s="51"/>
      <c r="D40" s="51"/>
      <c r="E40" s="391">
        <v>0</v>
      </c>
    </row>
    <row r="41" spans="2:9">
      <c r="B41" s="124"/>
      <c r="C41" s="51"/>
      <c r="D41" s="126"/>
      <c r="E41" s="393"/>
    </row>
    <row r="42" spans="2:9">
      <c r="B42" s="49" t="s">
        <v>102</v>
      </c>
      <c r="C42" s="51"/>
      <c r="D42" s="51"/>
      <c r="E42" s="394"/>
    </row>
    <row r="43" spans="2:9">
      <c r="B43" s="124" t="s">
        <v>196</v>
      </c>
      <c r="C43" s="51"/>
      <c r="D43" s="51"/>
      <c r="E43" s="481">
        <f>IF(E39=0,0,(E38-E40)/E39)</f>
        <v>0</v>
      </c>
    </row>
    <row r="44" spans="2:9">
      <c r="B44" s="124" t="s">
        <v>212</v>
      </c>
      <c r="C44" s="51"/>
      <c r="D44" s="51"/>
      <c r="E44" s="391">
        <v>0</v>
      </c>
    </row>
    <row r="45" spans="2:9">
      <c r="B45" s="124" t="s">
        <v>51</v>
      </c>
      <c r="C45" s="388" t="s">
        <v>45</v>
      </c>
      <c r="D45" s="392">
        <v>0</v>
      </c>
      <c r="E45" s="482">
        <f>D45*E38</f>
        <v>0</v>
      </c>
    </row>
    <row r="46" spans="2:9">
      <c r="B46" s="124" t="s">
        <v>127</v>
      </c>
      <c r="C46" s="388" t="s">
        <v>45</v>
      </c>
      <c r="D46" s="392">
        <v>0</v>
      </c>
      <c r="E46" s="483">
        <f>D46*E38</f>
        <v>0</v>
      </c>
    </row>
    <row r="47" spans="2:9">
      <c r="B47" s="124"/>
      <c r="C47" s="51"/>
      <c r="D47" s="126"/>
      <c r="E47" s="388"/>
    </row>
    <row r="48" spans="2:9">
      <c r="B48" s="49" t="s">
        <v>93</v>
      </c>
      <c r="C48" s="51"/>
      <c r="D48" s="51"/>
      <c r="E48" s="484">
        <f>SUM(E43:E47)</f>
        <v>0</v>
      </c>
    </row>
    <row r="49" spans="2:5">
      <c r="B49" s="124"/>
      <c r="C49" s="51"/>
      <c r="D49" s="126"/>
      <c r="E49" s="388"/>
    </row>
    <row r="50" spans="2:5">
      <c r="B50" s="124" t="s">
        <v>193</v>
      </c>
      <c r="C50" s="51"/>
      <c r="D50" s="400">
        <v>0</v>
      </c>
      <c r="E50" s="484">
        <f>D50*E48</f>
        <v>0</v>
      </c>
    </row>
    <row r="51" spans="2:5" ht="16">
      <c r="B51" s="72"/>
      <c r="C51" s="122"/>
      <c r="D51" s="121"/>
      <c r="E51" s="121"/>
    </row>
    <row r="52" spans="2:5">
      <c r="B52" s="49" t="s">
        <v>115</v>
      </c>
      <c r="C52" s="734"/>
      <c r="D52" s="735"/>
      <c r="E52" s="736"/>
    </row>
    <row r="53" spans="2:5">
      <c r="B53" s="387" t="s">
        <v>54</v>
      </c>
      <c r="C53" s="734"/>
      <c r="D53" s="735"/>
      <c r="E53" s="736"/>
    </row>
    <row r="54" spans="2:5">
      <c r="B54" s="124"/>
      <c r="C54" s="51"/>
      <c r="D54" s="126"/>
      <c r="E54" s="403"/>
    </row>
    <row r="55" spans="2:5" ht="16">
      <c r="B55" s="49" t="s">
        <v>155</v>
      </c>
      <c r="C55" s="51"/>
      <c r="D55" s="389"/>
      <c r="E55" s="390" t="s">
        <v>203</v>
      </c>
    </row>
    <row r="56" spans="2:5">
      <c r="B56" s="124" t="s">
        <v>120</v>
      </c>
      <c r="C56" s="51"/>
      <c r="D56" s="51"/>
      <c r="E56" s="391"/>
    </row>
    <row r="57" spans="2:5">
      <c r="B57" s="124" t="s">
        <v>59</v>
      </c>
      <c r="C57" s="51"/>
      <c r="D57" s="51"/>
      <c r="E57" s="391"/>
    </row>
    <row r="58" spans="2:5">
      <c r="B58" s="124" t="s">
        <v>189</v>
      </c>
      <c r="C58" s="51"/>
      <c r="D58" s="51"/>
      <c r="E58" s="395">
        <f>E56-E57</f>
        <v>0</v>
      </c>
    </row>
    <row r="59" spans="2:5">
      <c r="B59" s="124" t="s">
        <v>145</v>
      </c>
      <c r="C59" s="51"/>
      <c r="D59" s="51"/>
      <c r="E59" s="487"/>
    </row>
    <row r="60" spans="2:5">
      <c r="B60" s="124" t="s">
        <v>191</v>
      </c>
      <c r="C60" s="51"/>
      <c r="D60" s="51"/>
      <c r="E60" s="391">
        <v>0</v>
      </c>
    </row>
    <row r="61" spans="2:5">
      <c r="B61" s="124"/>
      <c r="C61" s="51"/>
      <c r="D61" s="126"/>
      <c r="E61" s="393"/>
    </row>
    <row r="62" spans="2:5">
      <c r="B62" s="49" t="s">
        <v>102</v>
      </c>
      <c r="C62" s="51"/>
      <c r="D62" s="51"/>
      <c r="E62" s="394"/>
    </row>
    <row r="63" spans="2:5">
      <c r="B63" s="124" t="s">
        <v>196</v>
      </c>
      <c r="C63" s="51"/>
      <c r="D63" s="51"/>
      <c r="E63" s="396">
        <f>IF(E59=0,0,(E58-E60)/E59)</f>
        <v>0</v>
      </c>
    </row>
    <row r="64" spans="2:5">
      <c r="B64" s="124" t="s">
        <v>212</v>
      </c>
      <c r="C64" s="51"/>
      <c r="D64" s="51"/>
      <c r="E64" s="391"/>
    </row>
    <row r="65" spans="2:5">
      <c r="B65" s="124" t="s">
        <v>51</v>
      </c>
      <c r="C65" s="388" t="s">
        <v>45</v>
      </c>
      <c r="D65" s="392"/>
      <c r="E65" s="397">
        <f>D65*E58</f>
        <v>0</v>
      </c>
    </row>
    <row r="66" spans="2:5">
      <c r="B66" s="124" t="s">
        <v>127</v>
      </c>
      <c r="C66" s="388" t="s">
        <v>45</v>
      </c>
      <c r="D66" s="392"/>
      <c r="E66" s="398">
        <f>D66*E58</f>
        <v>0</v>
      </c>
    </row>
    <row r="67" spans="2:5">
      <c r="B67" s="124"/>
      <c r="C67" s="51"/>
      <c r="D67" s="126"/>
      <c r="E67" s="388"/>
    </row>
    <row r="68" spans="2:5">
      <c r="B68" s="49" t="s">
        <v>93</v>
      </c>
      <c r="C68" s="51"/>
      <c r="D68" s="51"/>
      <c r="E68" s="399">
        <f>SUM(E63:E67)</f>
        <v>0</v>
      </c>
    </row>
    <row r="69" spans="2:5">
      <c r="B69" s="124"/>
      <c r="C69" s="51"/>
      <c r="D69" s="126"/>
      <c r="E69" s="388"/>
    </row>
    <row r="70" spans="2:5">
      <c r="B70" s="124" t="s">
        <v>193</v>
      </c>
      <c r="C70" s="51"/>
      <c r="D70" s="400">
        <v>0</v>
      </c>
      <c r="E70" s="399">
        <f>D70*E68</f>
        <v>0</v>
      </c>
    </row>
    <row r="71" spans="2:5" ht="16">
      <c r="B71" s="72"/>
      <c r="C71" s="122"/>
      <c r="D71" s="121"/>
      <c r="E71" s="121"/>
    </row>
    <row r="72" spans="2:5">
      <c r="B72" s="49" t="s">
        <v>115</v>
      </c>
      <c r="C72" s="734">
        <v>0</v>
      </c>
      <c r="D72" s="735"/>
      <c r="E72" s="736"/>
    </row>
    <row r="73" spans="2:5">
      <c r="B73" s="387" t="s">
        <v>54</v>
      </c>
      <c r="C73" s="734">
        <v>0</v>
      </c>
      <c r="D73" s="735"/>
      <c r="E73" s="736"/>
    </row>
    <row r="74" spans="2:5">
      <c r="B74" s="124"/>
      <c r="C74" s="51"/>
      <c r="D74" s="126"/>
      <c r="E74" s="403"/>
    </row>
    <row r="75" spans="2:5" ht="16">
      <c r="B75" s="49" t="s">
        <v>155</v>
      </c>
      <c r="C75" s="51"/>
      <c r="D75" s="389"/>
      <c r="E75" s="390" t="s">
        <v>203</v>
      </c>
    </row>
    <row r="76" spans="2:5">
      <c r="B76" s="124" t="s">
        <v>120</v>
      </c>
      <c r="C76" s="51"/>
      <c r="D76" s="51"/>
      <c r="E76" s="391">
        <v>0</v>
      </c>
    </row>
    <row r="77" spans="2:5">
      <c r="B77" s="124" t="s">
        <v>59</v>
      </c>
      <c r="C77" s="51"/>
      <c r="D77" s="51"/>
      <c r="E77" s="391">
        <v>0</v>
      </c>
    </row>
    <row r="78" spans="2:5">
      <c r="B78" s="124" t="s">
        <v>189</v>
      </c>
      <c r="C78" s="51"/>
      <c r="D78" s="51"/>
      <c r="E78" s="395">
        <f>E76-E77</f>
        <v>0</v>
      </c>
    </row>
    <row r="79" spans="2:5">
      <c r="B79" s="124" t="s">
        <v>145</v>
      </c>
      <c r="C79" s="51"/>
      <c r="D79" s="51"/>
      <c r="E79" s="391">
        <v>0</v>
      </c>
    </row>
    <row r="80" spans="2:5">
      <c r="B80" s="124" t="s">
        <v>191</v>
      </c>
      <c r="C80" s="51"/>
      <c r="D80" s="51"/>
      <c r="E80" s="391">
        <v>0</v>
      </c>
    </row>
    <row r="81" spans="2:9">
      <c r="B81" s="124"/>
      <c r="C81" s="51"/>
      <c r="D81" s="126"/>
      <c r="E81" s="393"/>
    </row>
    <row r="82" spans="2:9">
      <c r="B82" s="49" t="s">
        <v>102</v>
      </c>
      <c r="C82" s="51"/>
      <c r="D82" s="51"/>
      <c r="E82" s="394"/>
    </row>
    <row r="83" spans="2:9">
      <c r="B83" s="124" t="s">
        <v>196</v>
      </c>
      <c r="C83" s="51"/>
      <c r="D83" s="51"/>
      <c r="E83" s="396">
        <f>IF(E79=0,0,(E78-E80)/E79)</f>
        <v>0</v>
      </c>
    </row>
    <row r="84" spans="2:9">
      <c r="B84" s="124" t="s">
        <v>212</v>
      </c>
      <c r="C84" s="51"/>
      <c r="D84" s="51"/>
      <c r="E84" s="391">
        <v>0</v>
      </c>
    </row>
    <row r="85" spans="2:9">
      <c r="B85" s="124" t="s">
        <v>51</v>
      </c>
      <c r="C85" s="388" t="s">
        <v>45</v>
      </c>
      <c r="D85" s="392">
        <v>0</v>
      </c>
      <c r="E85" s="397">
        <f>D85*E78</f>
        <v>0</v>
      </c>
    </row>
    <row r="86" spans="2:9">
      <c r="B86" s="124" t="s">
        <v>127</v>
      </c>
      <c r="C86" s="388" t="s">
        <v>45</v>
      </c>
      <c r="D86" s="392">
        <v>0</v>
      </c>
      <c r="E86" s="398">
        <f>D86*E78</f>
        <v>0</v>
      </c>
    </row>
    <row r="87" spans="2:9">
      <c r="B87" s="124"/>
      <c r="C87" s="51"/>
      <c r="D87" s="126"/>
      <c r="E87" s="388"/>
    </row>
    <row r="88" spans="2:9">
      <c r="B88" s="49" t="s">
        <v>93</v>
      </c>
      <c r="C88" s="51"/>
      <c r="D88" s="51"/>
      <c r="E88" s="399">
        <f>SUM(E83:E87)</f>
        <v>0</v>
      </c>
    </row>
    <row r="89" spans="2:9">
      <c r="B89" s="124"/>
      <c r="C89" s="51"/>
      <c r="D89" s="126"/>
      <c r="E89" s="388"/>
    </row>
    <row r="90" spans="2:9">
      <c r="B90" s="124" t="s">
        <v>193</v>
      </c>
      <c r="C90" s="51"/>
      <c r="D90" s="400">
        <v>0</v>
      </c>
      <c r="E90" s="399">
        <f>D90*E88</f>
        <v>0</v>
      </c>
    </row>
    <row r="91" spans="2:9" ht="16">
      <c r="B91" s="72"/>
      <c r="C91" s="122"/>
      <c r="D91" s="121"/>
      <c r="E91" s="121"/>
    </row>
    <row r="92" spans="2:9">
      <c r="B92" s="124"/>
      <c r="C92" s="51"/>
      <c r="D92" s="51"/>
      <c r="E92" s="127"/>
    </row>
    <row r="93" spans="2:9">
      <c r="B93" s="49" t="s">
        <v>166</v>
      </c>
      <c r="C93" s="617" t="s">
        <v>100</v>
      </c>
      <c r="D93" s="125"/>
      <c r="E93" s="406">
        <f>(E90+E70+E50+E30)</f>
        <v>0</v>
      </c>
    </row>
    <row r="94" spans="2:9"/>
    <row r="95" spans="2:9">
      <c r="G95" s="614" t="s">
        <v>604</v>
      </c>
    </row>
    <row r="96" spans="2:9" ht="26">
      <c r="B96" s="613" t="s">
        <v>41</v>
      </c>
      <c r="C96" s="612" t="s">
        <v>605</v>
      </c>
      <c r="D96" s="611"/>
      <c r="E96" s="612" t="s">
        <v>606</v>
      </c>
      <c r="F96" s="611"/>
      <c r="G96" s="615">
        <f>'1.0-Contractblad'!H29</f>
        <v>0</v>
      </c>
      <c r="I96" s="611"/>
    </row>
    <row r="97" spans="2:8">
      <c r="B97" s="118" t="str">
        <f>'1.1a-Jaarprijzen'!B11</f>
        <v>Stellingmolen 19-21</v>
      </c>
      <c r="C97" s="610">
        <f>IF($G$96=0,0,G97/$G$96)</f>
        <v>0</v>
      </c>
      <c r="E97" s="405">
        <f>C97*E$93</f>
        <v>0</v>
      </c>
      <c r="G97" s="616">
        <f ca="1">'1.1a-Jaarprijzen'!H11+'1.1a-Jaarprijzen'!I11</f>
        <v>0</v>
      </c>
      <c r="H97" s="730" t="s">
        <v>607</v>
      </c>
    </row>
    <row r="98" spans="2:8">
      <c r="B98" s="118" t="str">
        <f>'1.1a-Jaarprijzen'!B12</f>
        <v>Gasinjetstraat 1-3</v>
      </c>
      <c r="C98" s="610">
        <f t="shared" ref="C98:C113" si="0">IF($G$96=0,0,G98/$G$96)</f>
        <v>0</v>
      </c>
      <c r="E98" s="405">
        <f t="shared" ref="E98:E112" si="1">C98*E$93</f>
        <v>0</v>
      </c>
      <c r="G98" s="616">
        <f ca="1">'1.1a-Jaarprijzen'!H12+'1.1a-Jaarprijzen'!I12</f>
        <v>0</v>
      </c>
      <c r="H98" s="731"/>
    </row>
    <row r="99" spans="2:8">
      <c r="B99" s="118" t="str">
        <f>'1.1a-Jaarprijzen'!B13</f>
        <v>Hoefsmidhof 1-4</v>
      </c>
      <c r="C99" s="610">
        <f t="shared" si="0"/>
        <v>0</v>
      </c>
      <c r="E99" s="405">
        <f t="shared" si="1"/>
        <v>0</v>
      </c>
      <c r="G99" s="616">
        <f ca="1">'1.1a-Jaarprijzen'!H13+'1.1a-Jaarprijzen'!I13</f>
        <v>0</v>
      </c>
      <c r="H99" s="731"/>
    </row>
    <row r="100" spans="2:8">
      <c r="B100" s="118" t="str">
        <f>'1.1a-Jaarprijzen'!B14</f>
        <v>Karekietpark 28</v>
      </c>
      <c r="C100" s="610">
        <f t="shared" si="0"/>
        <v>0</v>
      </c>
      <c r="E100" s="405">
        <f t="shared" si="1"/>
        <v>0</v>
      </c>
      <c r="G100" s="616">
        <f ca="1">'1.1a-Jaarprijzen'!H14+'1.1a-Jaarprijzen'!I14</f>
        <v>0</v>
      </c>
      <c r="H100" s="731"/>
    </row>
    <row r="101" spans="2:8">
      <c r="B101" s="118">
        <f>'1.1a-Jaarprijzen'!B15</f>
        <v>0</v>
      </c>
      <c r="C101" s="610">
        <f t="shared" si="0"/>
        <v>0</v>
      </c>
      <c r="E101" s="405">
        <f t="shared" si="1"/>
        <v>0</v>
      </c>
      <c r="G101" s="616">
        <f ca="1">'1.1a-Jaarprijzen'!H15+'1.1a-Jaarprijzen'!I15</f>
        <v>0</v>
      </c>
      <c r="H101" s="731"/>
    </row>
    <row r="102" spans="2:8">
      <c r="B102" s="118">
        <f>'1.1a-Jaarprijzen'!B16</f>
        <v>0</v>
      </c>
      <c r="C102" s="610">
        <f t="shared" si="0"/>
        <v>0</v>
      </c>
      <c r="E102" s="405">
        <f t="shared" si="1"/>
        <v>0</v>
      </c>
      <c r="G102" s="616">
        <f ca="1">'1.1a-Jaarprijzen'!H16+'1.1a-Jaarprijzen'!I16</f>
        <v>0</v>
      </c>
      <c r="H102" s="731"/>
    </row>
    <row r="103" spans="2:8">
      <c r="B103" s="118">
        <f>'1.1a-Jaarprijzen'!B17</f>
        <v>0</v>
      </c>
      <c r="C103" s="610">
        <f t="shared" si="0"/>
        <v>0</v>
      </c>
      <c r="E103" s="405">
        <f t="shared" si="1"/>
        <v>0</v>
      </c>
      <c r="G103" s="616">
        <f ca="1">'1.1a-Jaarprijzen'!H17+'1.1a-Jaarprijzen'!I17</f>
        <v>0</v>
      </c>
      <c r="H103" s="731"/>
    </row>
    <row r="104" spans="2:8">
      <c r="B104" s="118">
        <f>'1.1a-Jaarprijzen'!B18</f>
        <v>0</v>
      </c>
      <c r="C104" s="610">
        <f t="shared" si="0"/>
        <v>0</v>
      </c>
      <c r="E104" s="405">
        <f t="shared" si="1"/>
        <v>0</v>
      </c>
      <c r="G104" s="616">
        <f ca="1">'1.1a-Jaarprijzen'!H18+'1.1a-Jaarprijzen'!I18</f>
        <v>0</v>
      </c>
      <c r="H104" s="731"/>
    </row>
    <row r="105" spans="2:8">
      <c r="B105" s="118">
        <f>'1.1a-Jaarprijzen'!B19</f>
        <v>0</v>
      </c>
      <c r="C105" s="610">
        <f t="shared" si="0"/>
        <v>0</v>
      </c>
      <c r="E105" s="405">
        <f t="shared" si="1"/>
        <v>0</v>
      </c>
      <c r="G105" s="616">
        <f ca="1">'1.1a-Jaarprijzen'!H19+'1.1a-Jaarprijzen'!I19</f>
        <v>0</v>
      </c>
      <c r="H105" s="731"/>
    </row>
    <row r="106" spans="2:8">
      <c r="B106" s="118">
        <f>'1.1a-Jaarprijzen'!B20</f>
        <v>0</v>
      </c>
      <c r="C106" s="610">
        <f t="shared" si="0"/>
        <v>0</v>
      </c>
      <c r="E106" s="405">
        <f t="shared" si="1"/>
        <v>0</v>
      </c>
      <c r="G106" s="616">
        <f ca="1">'1.1a-Jaarprijzen'!H20+'1.1a-Jaarprijzen'!I20</f>
        <v>0</v>
      </c>
      <c r="H106" s="731"/>
    </row>
    <row r="107" spans="2:8">
      <c r="B107" s="118">
        <f>'1.1a-Jaarprijzen'!B21</f>
        <v>0</v>
      </c>
      <c r="C107" s="610">
        <f t="shared" si="0"/>
        <v>0</v>
      </c>
      <c r="E107" s="405">
        <f t="shared" si="1"/>
        <v>0</v>
      </c>
      <c r="G107" s="616">
        <f ca="1">'1.1a-Jaarprijzen'!H21+'1.1a-Jaarprijzen'!I21</f>
        <v>0</v>
      </c>
      <c r="H107" s="731"/>
    </row>
    <row r="108" spans="2:8">
      <c r="B108" s="118">
        <f>'1.1a-Jaarprijzen'!B22</f>
        <v>0</v>
      </c>
      <c r="C108" s="610">
        <f t="shared" si="0"/>
        <v>0</v>
      </c>
      <c r="E108" s="405">
        <f t="shared" si="1"/>
        <v>0</v>
      </c>
      <c r="G108" s="616">
        <f ca="1">'1.1a-Jaarprijzen'!H22+'1.1a-Jaarprijzen'!I22</f>
        <v>0</v>
      </c>
      <c r="H108" s="731"/>
    </row>
    <row r="109" spans="2:8">
      <c r="B109" s="118">
        <f>'1.1a-Jaarprijzen'!B23</f>
        <v>0</v>
      </c>
      <c r="C109" s="610">
        <f t="shared" si="0"/>
        <v>0</v>
      </c>
      <c r="E109" s="405">
        <f t="shared" si="1"/>
        <v>0</v>
      </c>
      <c r="G109" s="616">
        <f ca="1">'1.1a-Jaarprijzen'!H23+'1.1a-Jaarprijzen'!I23</f>
        <v>0</v>
      </c>
      <c r="H109" s="731"/>
    </row>
    <row r="110" spans="2:8">
      <c r="B110" s="118">
        <f>'1.1a-Jaarprijzen'!B24</f>
        <v>0</v>
      </c>
      <c r="C110" s="610">
        <f t="shared" si="0"/>
        <v>0</v>
      </c>
      <c r="E110" s="405">
        <f t="shared" si="1"/>
        <v>0</v>
      </c>
      <c r="G110" s="616">
        <f ca="1">'1.1a-Jaarprijzen'!H24+'1.1a-Jaarprijzen'!I24</f>
        <v>0</v>
      </c>
      <c r="H110" s="731"/>
    </row>
    <row r="111" spans="2:8">
      <c r="B111" s="118">
        <f>'1.1a-Jaarprijzen'!B25</f>
        <v>0</v>
      </c>
      <c r="C111" s="610">
        <f t="shared" si="0"/>
        <v>0</v>
      </c>
      <c r="E111" s="405">
        <f t="shared" si="1"/>
        <v>0</v>
      </c>
      <c r="G111" s="616">
        <f ca="1">'1.1a-Jaarprijzen'!H25+'1.1a-Jaarprijzen'!I25</f>
        <v>0</v>
      </c>
      <c r="H111" s="731"/>
    </row>
    <row r="112" spans="2:8">
      <c r="B112" s="118">
        <f>'1.1a-Jaarprijzen'!B26</f>
        <v>0</v>
      </c>
      <c r="C112" s="610">
        <f t="shared" si="0"/>
        <v>0</v>
      </c>
      <c r="E112" s="405">
        <f t="shared" si="1"/>
        <v>0</v>
      </c>
      <c r="G112" s="616">
        <f ca="1">'1.1a-Jaarprijzen'!H26+'1.1a-Jaarprijzen'!I26</f>
        <v>0</v>
      </c>
      <c r="H112" s="731"/>
    </row>
    <row r="113" spans="2:8">
      <c r="B113" s="118">
        <f>'1.1a-Jaarprijzen'!B27</f>
        <v>0</v>
      </c>
      <c r="C113" s="610">
        <f t="shared" si="0"/>
        <v>0</v>
      </c>
      <c r="E113" s="405"/>
      <c r="G113" s="616">
        <f>'1.1a-Jaarprijzen'!H27+'1.1a-Jaarprijzen'!I27</f>
        <v>0</v>
      </c>
      <c r="H113" s="732"/>
    </row>
    <row r="114" spans="2:8">
      <c r="B114" s="118"/>
      <c r="C114" s="442">
        <f>SUM(C97:C113)</f>
        <v>0</v>
      </c>
      <c r="G114" s="609"/>
    </row>
    <row r="115" spans="2:8"/>
    <row r="116" spans="2:8">
      <c r="E116" s="406">
        <f>SUM(E97:E114)</f>
        <v>0</v>
      </c>
    </row>
    <row r="117" spans="2:8"/>
    <row r="118" spans="2:8"/>
    <row r="119" spans="2:8"/>
    <row r="120" spans="2:8"/>
    <row r="121" spans="2:8">
      <c r="B121" s="118"/>
    </row>
    <row r="122" spans="2:8">
      <c r="B122" s="118"/>
    </row>
    <row r="123" spans="2:8"/>
    <row r="124" spans="2:8"/>
    <row r="125" spans="2:8"/>
    <row r="126" spans="2:8"/>
    <row r="127" spans="2:8"/>
    <row r="128" spans="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sheetData>
  <mergeCells count="10">
    <mergeCell ref="H97:H113"/>
    <mergeCell ref="C10:E10"/>
    <mergeCell ref="C13:E13"/>
    <mergeCell ref="C33:E33"/>
    <mergeCell ref="C53:E53"/>
    <mergeCell ref="C73:E73"/>
    <mergeCell ref="C12:E12"/>
    <mergeCell ref="C32:E32"/>
    <mergeCell ref="C52:E52"/>
    <mergeCell ref="C72:E72"/>
  </mergeCells>
  <phoneticPr fontId="9"/>
  <conditionalFormatting sqref="C114">
    <cfRule type="cellIs" dxfId="0" priority="1" stopIfTrue="1" operator="greaterThan">
      <formula>1</formula>
    </cfRule>
  </conditionalFormatting>
  <printOptions horizontalCentered="1"/>
  <pageMargins left="0.2" right="0.2" top="0.39000000000000007" bottom="0.59314960629921254" header="0.39000000000000007" footer="0.2"/>
  <pageSetup paperSize="9" scale="45" orientation="portrait"/>
  <headerFooter>
    <oddHeader>&amp;L&amp;C&amp;R</oddHeader>
    <oddFooter>&amp;L&amp;"Verdana,Regular"&amp;F-&amp;A_x000D_ICCA b.v. ©&amp;R&amp;"Verdana,Regular"printversie &amp;D</oddFooter>
  </headerFooter>
  <drawing r:id="rId1"/>
  <extLst>
    <ext xmlns:mx="http://schemas.microsoft.com/office/mac/excel/2008/main" uri="{64002731-A6B0-56B0-2670-7721B7C09600}">
      <mx:PLV Mode="0" OnePage="0" WScale="41"/>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 enableFormatConditionsCalculation="0">
    <pageSetUpPr fitToPage="1"/>
  </sheetPr>
  <dimension ref="A1:N115"/>
  <sheetViews>
    <sheetView showGridLines="0" showRowColHeaders="0" showZeros="0" showOutlineSymbols="0" zoomScaleSheetLayoutView="75" workbookViewId="0"/>
  </sheetViews>
  <sheetFormatPr baseColWidth="10" defaultColWidth="0" defaultRowHeight="13" zeroHeight="1" x14ac:dyDescent="0"/>
  <cols>
    <col min="1" max="1" width="5" style="61" customWidth="1"/>
    <col min="2" max="2" width="41.42578125" style="147" customWidth="1"/>
    <col min="3" max="3" width="16.5703125" style="137" customWidth="1"/>
    <col min="4" max="4" width="17.28515625" style="137" customWidth="1"/>
    <col min="5" max="5" width="16.140625" style="138" customWidth="1"/>
    <col min="6" max="8" width="16.140625" style="139" customWidth="1"/>
    <col min="9" max="9" width="10.7109375" style="61" customWidth="1"/>
    <col min="10" max="14" width="0" style="61" hidden="1" customWidth="1"/>
    <col min="15" max="16384" width="10.7109375" style="61" hidden="1"/>
  </cols>
  <sheetData>
    <row r="1" spans="2:14" ht="27" customHeight="1">
      <c r="B1" s="404" t="s">
        <v>32</v>
      </c>
    </row>
    <row r="2" spans="2:14" ht="27" customHeight="1">
      <c r="B2" s="416"/>
    </row>
    <row r="3" spans="2:14">
      <c r="B3" s="137"/>
    </row>
    <row r="4" spans="2:14" ht="16">
      <c r="B4" s="140" t="str">
        <f>'1.6-Machine-investeringskosten'!B3</f>
        <v>Naam opdrachtgever</v>
      </c>
      <c r="C4" s="141" t="str">
        <f>'1.6-Machine-investeringskosten'!C3</f>
        <v>Stichting CPOW</v>
      </c>
      <c r="D4" s="142"/>
      <c r="E4" s="139"/>
    </row>
    <row r="5" spans="2:14" ht="16">
      <c r="B5" s="140" t="str">
        <f>'1.6-Machine-investeringskosten'!B4</f>
        <v>Omschrijving blad</v>
      </c>
      <c r="C5" s="140" t="s">
        <v>37</v>
      </c>
      <c r="D5" s="128"/>
      <c r="E5" s="139"/>
    </row>
    <row r="6" spans="2:14" ht="15.75" customHeight="1">
      <c r="B6" s="140" t="str">
        <f>'1.6-Machine-investeringskosten'!B5</f>
        <v>Adres/plaats</v>
      </c>
      <c r="C6" s="141" t="str">
        <f>'1.6-Machine-investeringskosten'!C5</f>
        <v>Primair onderwijs Purmerend e.o.</v>
      </c>
      <c r="D6" s="143"/>
      <c r="E6" s="139"/>
    </row>
    <row r="7" spans="2:14" ht="16">
      <c r="B7" s="140" t="str">
        <f>'1.6-Machine-investeringskosten'!B6</f>
        <v>Besteknummer</v>
      </c>
      <c r="C7" s="141" t="str">
        <f>'1.6-Machine-investeringskosten'!C6</f>
        <v>0302-52-2015 V1</v>
      </c>
      <c r="D7" s="128"/>
      <c r="E7" s="139"/>
    </row>
    <row r="8" spans="2:14" ht="16">
      <c r="B8" s="140" t="str">
        <f>'1.6-Machine-investeringskosten'!B7</f>
        <v>Naam leverancier</v>
      </c>
      <c r="C8" s="141" t="str">
        <f>'1.6-Machine-investeringskosten'!C7</f>
        <v>[NAAM LEVERANCIER]</v>
      </c>
      <c r="D8" s="128"/>
      <c r="E8" s="700">
        <v>42370</v>
      </c>
    </row>
    <row r="9" spans="2:14" ht="16">
      <c r="B9" s="140">
        <f>'1.6-Machine-investeringskosten'!B8</f>
        <v>0</v>
      </c>
      <c r="C9" s="141">
        <f>'1.6-Machine-investeringskosten'!C8</f>
        <v>0</v>
      </c>
      <c r="D9" s="128"/>
      <c r="E9" s="139"/>
    </row>
    <row r="10" spans="2:14" ht="16">
      <c r="B10" s="140" t="s">
        <v>23</v>
      </c>
      <c r="C10" s="129" t="s">
        <v>92</v>
      </c>
      <c r="D10" s="128"/>
      <c r="E10" s="139"/>
    </row>
    <row r="11" spans="2:14" ht="16">
      <c r="B11" s="140"/>
      <c r="C11" s="129"/>
      <c r="D11" s="128"/>
      <c r="E11" s="133"/>
    </row>
    <row r="12" spans="2:14">
      <c r="B12" s="144"/>
      <c r="C12" s="145"/>
      <c r="D12" s="145"/>
      <c r="E12" s="146"/>
    </row>
    <row r="13" spans="2:14" ht="18.75" customHeight="1">
      <c r="B13" s="738" t="s">
        <v>185</v>
      </c>
      <c r="C13" s="738"/>
      <c r="D13" s="738"/>
      <c r="E13" s="738"/>
      <c r="F13" s="738"/>
      <c r="G13" s="738"/>
      <c r="H13" s="738"/>
    </row>
    <row r="14" spans="2:14"/>
    <row r="15" spans="2:14">
      <c r="B15" s="408"/>
      <c r="C15" s="408"/>
      <c r="D15" s="408"/>
      <c r="E15" s="740" t="s">
        <v>152</v>
      </c>
      <c r="F15" s="740"/>
      <c r="G15" s="740"/>
      <c r="H15" s="740"/>
      <c r="J15" s="737" t="s">
        <v>152</v>
      </c>
      <c r="K15" s="737"/>
      <c r="L15" s="737"/>
      <c r="M15" s="737"/>
      <c r="N15" s="737"/>
    </row>
    <row r="16" spans="2:14">
      <c r="B16" s="409" t="s">
        <v>108</v>
      </c>
      <c r="C16" s="409" t="s">
        <v>116</v>
      </c>
      <c r="D16" s="410"/>
      <c r="E16" s="411" t="s">
        <v>117</v>
      </c>
      <c r="F16" s="411" t="s">
        <v>46</v>
      </c>
      <c r="G16" s="411" t="s">
        <v>232</v>
      </c>
      <c r="H16" s="411" t="s">
        <v>109</v>
      </c>
      <c r="J16" s="519" t="s">
        <v>117</v>
      </c>
      <c r="K16" s="519" t="s">
        <v>46</v>
      </c>
      <c r="L16" s="519" t="s">
        <v>232</v>
      </c>
      <c r="M16" s="519" t="s">
        <v>109</v>
      </c>
      <c r="N16" s="519" t="s">
        <v>110</v>
      </c>
    </row>
    <row r="17" spans="2:14">
      <c r="B17" s="413" t="s">
        <v>106</v>
      </c>
      <c r="C17" s="413" t="s">
        <v>201</v>
      </c>
      <c r="D17" s="414"/>
      <c r="E17" s="407"/>
      <c r="F17" s="407"/>
      <c r="G17" s="407"/>
      <c r="H17" s="407"/>
      <c r="J17" s="520">
        <f>35.04/40</f>
        <v>0.876</v>
      </c>
      <c r="K17" s="520">
        <f>35.04/110</f>
        <v>0.31854545454545452</v>
      </c>
      <c r="L17" s="520">
        <f>35.04/140</f>
        <v>0.25028571428571428</v>
      </c>
      <c r="M17" s="520">
        <f>35.04/175</f>
        <v>0.20022857142857142</v>
      </c>
      <c r="N17" s="520">
        <f>35.04/180</f>
        <v>0.19466666666666665</v>
      </c>
    </row>
    <row r="18" spans="2:14">
      <c r="B18" s="413" t="s">
        <v>106</v>
      </c>
      <c r="C18" s="413" t="s">
        <v>202</v>
      </c>
      <c r="D18" s="414"/>
      <c r="E18" s="407"/>
      <c r="F18" s="407"/>
      <c r="G18" s="407"/>
      <c r="H18" s="407"/>
      <c r="J18" s="520">
        <f>35.04/10</f>
        <v>3.504</v>
      </c>
      <c r="K18" s="520">
        <f>35.04/12</f>
        <v>2.92</v>
      </c>
      <c r="L18" s="520">
        <f>35.04/15</f>
        <v>2.3359999999999999</v>
      </c>
      <c r="M18" s="520">
        <f>35.04/17</f>
        <v>2.0611764705882352</v>
      </c>
      <c r="N18" s="520">
        <f>35.04/18</f>
        <v>1.9466666666666665</v>
      </c>
    </row>
    <row r="19" spans="2:14">
      <c r="B19" s="413" t="s">
        <v>84</v>
      </c>
      <c r="C19" s="413" t="s">
        <v>135</v>
      </c>
      <c r="D19" s="150"/>
      <c r="E19" s="407"/>
      <c r="F19" s="407"/>
      <c r="G19" s="407"/>
      <c r="H19" s="407"/>
      <c r="J19" s="520">
        <f>35.04/40</f>
        <v>0.876</v>
      </c>
      <c r="K19" s="520">
        <f>35.04/70</f>
        <v>0.50057142857142856</v>
      </c>
      <c r="L19" s="520">
        <f>35.04/85</f>
        <v>0.41223529411764703</v>
      </c>
      <c r="M19" s="520">
        <f>35.04/95</f>
        <v>0.36884210526315786</v>
      </c>
      <c r="N19" s="520">
        <f>35.04/100</f>
        <v>0.35039999999999999</v>
      </c>
    </row>
    <row r="20" spans="2:14">
      <c r="B20" s="413" t="s">
        <v>76</v>
      </c>
      <c r="C20" s="413" t="s">
        <v>77</v>
      </c>
      <c r="D20" s="150"/>
      <c r="E20" s="407"/>
      <c r="F20" s="407"/>
      <c r="G20" s="407"/>
      <c r="H20" s="407"/>
      <c r="J20" s="520">
        <f>35.04/10</f>
        <v>3.504</v>
      </c>
      <c r="K20" s="520">
        <f>35.04/13</f>
        <v>2.6953846153846155</v>
      </c>
      <c r="L20" s="520">
        <f>35.04/16</f>
        <v>2.19</v>
      </c>
      <c r="M20" s="520">
        <f>35.04/18</f>
        <v>1.9466666666666665</v>
      </c>
      <c r="N20" s="520">
        <f>35.04/20</f>
        <v>1.752</v>
      </c>
    </row>
    <row r="21" spans="2:14">
      <c r="B21" s="413" t="s">
        <v>76</v>
      </c>
      <c r="C21" s="413" t="s">
        <v>146</v>
      </c>
      <c r="D21" s="147"/>
      <c r="E21" s="407"/>
      <c r="F21" s="407"/>
      <c r="G21" s="407"/>
      <c r="H21" s="407"/>
      <c r="J21" s="520">
        <f>35.04/10</f>
        <v>3.504</v>
      </c>
      <c r="K21" s="520">
        <f>35.04/15</f>
        <v>2.3359999999999999</v>
      </c>
      <c r="L21" s="520">
        <f>35.04/18</f>
        <v>1.9466666666666665</v>
      </c>
      <c r="M21" s="520">
        <f>35.04/20</f>
        <v>1.752</v>
      </c>
      <c r="N21" s="520">
        <f>35.04/22</f>
        <v>1.5927272727272728</v>
      </c>
    </row>
    <row r="22" spans="2:14">
      <c r="E22" s="148"/>
      <c r="F22" s="132"/>
      <c r="G22" s="132"/>
      <c r="H22" s="132"/>
      <c r="J22" s="148"/>
      <c r="K22" s="132"/>
      <c r="L22" s="132"/>
      <c r="M22" s="132"/>
      <c r="N22" s="132"/>
    </row>
    <row r="23" spans="2:14">
      <c r="B23" s="131"/>
      <c r="C23" s="131"/>
      <c r="D23" s="131"/>
      <c r="E23" s="131"/>
      <c r="F23" s="131"/>
      <c r="G23" s="131"/>
      <c r="H23" s="131"/>
      <c r="J23" s="131"/>
      <c r="K23" s="131"/>
      <c r="L23" s="131"/>
      <c r="M23" s="131"/>
      <c r="N23" s="131"/>
    </row>
    <row r="24" spans="2:14">
      <c r="B24" s="408"/>
      <c r="C24" s="408"/>
      <c r="D24" s="408"/>
      <c r="E24" s="412" t="s">
        <v>147</v>
      </c>
      <c r="F24" s="412" t="s">
        <v>147</v>
      </c>
      <c r="G24" s="131"/>
      <c r="H24" s="131"/>
      <c r="J24" s="521" t="s">
        <v>147</v>
      </c>
      <c r="K24" s="521" t="s">
        <v>147</v>
      </c>
      <c r="L24" s="131"/>
      <c r="M24" s="131"/>
      <c r="N24" s="131"/>
    </row>
    <row r="25" spans="2:14">
      <c r="B25" s="409" t="s">
        <v>148</v>
      </c>
      <c r="C25" s="409" t="s">
        <v>116</v>
      </c>
      <c r="D25" s="408"/>
      <c r="E25" s="412" t="s">
        <v>149</v>
      </c>
      <c r="F25" s="412" t="s">
        <v>150</v>
      </c>
      <c r="G25" s="131"/>
      <c r="H25" s="61"/>
      <c r="J25" s="521" t="s">
        <v>149</v>
      </c>
      <c r="K25" s="521" t="s">
        <v>150</v>
      </c>
      <c r="L25" s="131"/>
      <c r="N25" s="131"/>
    </row>
    <row r="26" spans="2:14">
      <c r="B26" s="413" t="s">
        <v>151</v>
      </c>
      <c r="C26" s="413" t="s">
        <v>3</v>
      </c>
      <c r="D26" s="413"/>
      <c r="E26" s="407"/>
      <c r="F26" s="415"/>
      <c r="G26" s="131"/>
      <c r="H26" s="61"/>
      <c r="J26" s="520">
        <v>0.27</v>
      </c>
      <c r="K26" s="522"/>
      <c r="L26" s="131"/>
      <c r="N26" s="131"/>
    </row>
    <row r="27" spans="2:14">
      <c r="B27" s="413" t="s">
        <v>138</v>
      </c>
      <c r="C27" s="413" t="s">
        <v>88</v>
      </c>
      <c r="D27" s="413"/>
      <c r="E27" s="407"/>
      <c r="F27" s="415"/>
      <c r="G27" s="131"/>
      <c r="H27" s="61"/>
      <c r="J27" s="520">
        <v>0.44</v>
      </c>
      <c r="K27" s="522"/>
      <c r="L27" s="131"/>
      <c r="N27" s="131"/>
    </row>
    <row r="28" spans="2:14">
      <c r="B28" s="413" t="s">
        <v>89</v>
      </c>
      <c r="C28" s="413" t="s">
        <v>216</v>
      </c>
      <c r="D28" s="413"/>
      <c r="E28" s="415"/>
      <c r="F28" s="407"/>
      <c r="G28" s="131"/>
      <c r="H28" s="61"/>
      <c r="J28" s="523"/>
      <c r="K28" s="520">
        <v>2.95</v>
      </c>
      <c r="L28" s="131"/>
      <c r="N28" s="131"/>
    </row>
    <row r="29" spans="2:14">
      <c r="B29" s="413" t="s">
        <v>124</v>
      </c>
      <c r="C29" s="413" t="s">
        <v>216</v>
      </c>
      <c r="D29" s="413"/>
      <c r="E29" s="415"/>
      <c r="F29" s="407"/>
      <c r="G29" s="131"/>
      <c r="H29" s="61"/>
      <c r="J29" s="523"/>
      <c r="K29" s="520">
        <v>3.48</v>
      </c>
      <c r="L29" s="131"/>
      <c r="N29" s="131"/>
    </row>
    <row r="30" spans="2:14">
      <c r="B30" s="131"/>
      <c r="C30" s="131"/>
      <c r="D30" s="131"/>
      <c r="E30" s="131"/>
      <c r="F30" s="131"/>
      <c r="G30" s="131"/>
      <c r="H30" s="131"/>
      <c r="J30" s="131"/>
      <c r="K30" s="131"/>
      <c r="L30" s="131"/>
      <c r="M30" s="131"/>
      <c r="N30" s="131"/>
    </row>
    <row r="31" spans="2:14">
      <c r="B31" s="61"/>
      <c r="C31" s="131"/>
      <c r="D31" s="131"/>
      <c r="E31" s="131"/>
      <c r="F31" s="131"/>
      <c r="G31" s="131"/>
      <c r="H31" s="131"/>
      <c r="J31" s="131"/>
      <c r="K31" s="131"/>
      <c r="L31" s="131"/>
      <c r="M31" s="131"/>
      <c r="N31" s="131"/>
    </row>
    <row r="32" spans="2:14">
      <c r="B32" s="409" t="s">
        <v>200</v>
      </c>
      <c r="C32" s="408"/>
      <c r="D32" s="408"/>
      <c r="E32" s="740" t="s">
        <v>199</v>
      </c>
      <c r="F32" s="740"/>
      <c r="G32" s="740"/>
      <c r="H32" s="740"/>
      <c r="J32" s="737" t="s">
        <v>199</v>
      </c>
      <c r="K32" s="737"/>
      <c r="L32" s="737"/>
      <c r="M32" s="737"/>
      <c r="N32" s="149"/>
    </row>
    <row r="33" spans="2:14">
      <c r="B33" s="409" t="s">
        <v>226</v>
      </c>
      <c r="C33" s="409" t="s">
        <v>116</v>
      </c>
      <c r="D33" s="409"/>
      <c r="E33" s="411" t="s">
        <v>98</v>
      </c>
      <c r="F33" s="411" t="s">
        <v>99</v>
      </c>
      <c r="G33" s="411" t="s">
        <v>187</v>
      </c>
      <c r="H33" s="411" t="s">
        <v>188</v>
      </c>
      <c r="J33" s="519" t="s">
        <v>98</v>
      </c>
      <c r="K33" s="519" t="s">
        <v>99</v>
      </c>
      <c r="L33" s="519" t="s">
        <v>187</v>
      </c>
      <c r="M33" s="519" t="s">
        <v>188</v>
      </c>
    </row>
    <row r="34" spans="2:14">
      <c r="B34" s="413" t="s">
        <v>233</v>
      </c>
      <c r="C34" s="413" t="s">
        <v>234</v>
      </c>
      <c r="D34" s="413"/>
      <c r="E34" s="407"/>
      <c r="F34" s="407"/>
      <c r="G34" s="407"/>
      <c r="H34" s="407"/>
      <c r="J34" s="520">
        <v>8.34</v>
      </c>
      <c r="K34" s="520">
        <v>8.1</v>
      </c>
      <c r="L34" s="520">
        <v>7.95</v>
      </c>
      <c r="M34" s="520">
        <v>7.9</v>
      </c>
      <c r="N34" s="131"/>
    </row>
    <row r="35" spans="2:14">
      <c r="B35" s="413" t="s">
        <v>235</v>
      </c>
      <c r="C35" s="413" t="s">
        <v>234</v>
      </c>
      <c r="D35" s="413"/>
      <c r="E35" s="407"/>
      <c r="F35" s="407"/>
      <c r="G35" s="407"/>
      <c r="H35" s="407"/>
      <c r="J35" s="520">
        <v>5.82</v>
      </c>
      <c r="K35" s="520">
        <v>5.65</v>
      </c>
      <c r="L35" s="520">
        <v>5.4</v>
      </c>
      <c r="M35" s="520">
        <v>5.25</v>
      </c>
      <c r="N35" s="131"/>
    </row>
    <row r="36" spans="2:14">
      <c r="B36" s="131"/>
      <c r="C36" s="131"/>
      <c r="D36" s="131"/>
      <c r="E36" s="131"/>
      <c r="F36" s="131"/>
      <c r="G36" s="131"/>
      <c r="H36" s="131"/>
      <c r="J36" s="131"/>
      <c r="K36" s="131"/>
      <c r="L36" s="131"/>
      <c r="M36" s="131"/>
      <c r="N36" s="131"/>
    </row>
    <row r="37" spans="2:14">
      <c r="B37" s="131"/>
      <c r="C37" s="131"/>
      <c r="D37" s="131"/>
      <c r="E37" s="131"/>
      <c r="F37" s="131"/>
      <c r="G37" s="131"/>
      <c r="H37" s="131"/>
      <c r="J37" s="131"/>
      <c r="K37" s="131"/>
      <c r="L37" s="131"/>
      <c r="M37" s="131"/>
      <c r="N37" s="131"/>
    </row>
    <row r="38" spans="2:14">
      <c r="B38" s="131"/>
      <c r="C38" s="131"/>
      <c r="D38" s="131"/>
      <c r="E38" s="131"/>
      <c r="F38" s="131"/>
      <c r="G38" s="131"/>
      <c r="H38" s="131"/>
      <c r="J38" s="131"/>
      <c r="K38" s="131"/>
      <c r="L38" s="131"/>
      <c r="M38" s="131"/>
      <c r="N38" s="131"/>
    </row>
    <row r="39" spans="2:14">
      <c r="B39" s="131"/>
      <c r="C39" s="131"/>
      <c r="D39" s="131"/>
      <c r="E39" s="131"/>
      <c r="F39" s="131"/>
      <c r="G39" s="131"/>
      <c r="H39" s="131"/>
      <c r="J39" s="131"/>
      <c r="K39" s="131"/>
      <c r="L39" s="131"/>
      <c r="M39" s="131"/>
      <c r="N39" s="131"/>
    </row>
    <row r="40" spans="2:14">
      <c r="B40" s="131"/>
      <c r="C40" s="131"/>
      <c r="D40" s="131"/>
      <c r="E40" s="131"/>
      <c r="F40" s="131"/>
      <c r="G40" s="131"/>
      <c r="H40" s="131"/>
    </row>
    <row r="41" spans="2:14">
      <c r="B41" s="131"/>
      <c r="C41" s="131"/>
      <c r="D41" s="131"/>
      <c r="E41" s="131"/>
      <c r="F41" s="131"/>
      <c r="G41" s="131"/>
      <c r="H41" s="131"/>
    </row>
    <row r="42" spans="2:14">
      <c r="B42" s="131"/>
      <c r="C42" s="131"/>
      <c r="D42" s="131"/>
      <c r="E42" s="131"/>
      <c r="F42" s="131"/>
      <c r="G42" s="131"/>
      <c r="H42" s="131"/>
    </row>
    <row r="43" spans="2:14">
      <c r="B43" s="131"/>
      <c r="C43" s="131"/>
      <c r="D43" s="131"/>
      <c r="E43" s="131"/>
      <c r="F43" s="131"/>
      <c r="G43" s="131"/>
      <c r="H43" s="131"/>
    </row>
    <row r="44" spans="2:14">
      <c r="B44" s="131"/>
      <c r="C44" s="131"/>
      <c r="D44" s="131"/>
      <c r="E44" s="131"/>
      <c r="F44" s="131"/>
      <c r="G44" s="131"/>
      <c r="H44" s="131"/>
    </row>
    <row r="45" spans="2:14" ht="32" customHeight="1">
      <c r="B45" s="741" t="s">
        <v>86</v>
      </c>
      <c r="C45" s="741"/>
      <c r="D45" s="741"/>
      <c r="E45" s="741"/>
      <c r="F45" s="741"/>
      <c r="G45" s="741"/>
      <c r="H45" s="741"/>
    </row>
    <row r="46" spans="2:14" ht="12.75" customHeight="1">
      <c r="B46" s="739" t="s">
        <v>44</v>
      </c>
      <c r="C46" s="739"/>
      <c r="D46" s="739"/>
      <c r="E46" s="739"/>
      <c r="F46" s="739"/>
      <c r="G46" s="739"/>
      <c r="H46" s="739"/>
    </row>
    <row r="47" spans="2:14">
      <c r="B47" s="739"/>
      <c r="C47" s="739"/>
      <c r="D47" s="739"/>
      <c r="E47" s="739"/>
      <c r="F47" s="739"/>
      <c r="G47" s="739"/>
      <c r="H47" s="739"/>
    </row>
    <row r="48" spans="2:14">
      <c r="B48" s="739"/>
      <c r="C48" s="739"/>
      <c r="D48" s="739"/>
      <c r="E48" s="739"/>
      <c r="F48" s="739"/>
      <c r="G48" s="739"/>
      <c r="H48" s="739"/>
    </row>
    <row r="49" spans="2:10">
      <c r="B49" s="149"/>
      <c r="C49" s="149"/>
      <c r="D49" s="149"/>
      <c r="E49" s="149"/>
      <c r="F49" s="149"/>
      <c r="G49" s="149"/>
      <c r="H49" s="149"/>
    </row>
    <row r="50" spans="2:10">
      <c r="B50" s="149" t="s">
        <v>21</v>
      </c>
      <c r="C50" s="149" t="s">
        <v>57</v>
      </c>
      <c r="D50" s="149"/>
      <c r="E50" s="149"/>
      <c r="F50" s="149"/>
      <c r="G50" s="149"/>
      <c r="H50" s="149"/>
    </row>
    <row r="51" spans="2:10" ht="15.75" customHeight="1">
      <c r="B51" s="136" t="s">
        <v>225</v>
      </c>
      <c r="C51" s="131" t="s">
        <v>175</v>
      </c>
      <c r="D51" s="135"/>
      <c r="E51" s="407"/>
      <c r="F51" s="135"/>
      <c r="G51" s="135"/>
      <c r="H51" s="135"/>
      <c r="J51" s="524">
        <v>22.300299439885112</v>
      </c>
    </row>
    <row r="52" spans="2:10">
      <c r="B52" s="131" t="s">
        <v>35</v>
      </c>
      <c r="C52" s="131" t="s">
        <v>178</v>
      </c>
      <c r="D52" s="135"/>
      <c r="E52" s="407"/>
      <c r="F52" s="135"/>
      <c r="G52" s="135"/>
      <c r="H52" s="135"/>
      <c r="J52" s="524">
        <v>35.04</v>
      </c>
    </row>
    <row r="53" spans="2:10" ht="12.75" customHeight="1">
      <c r="B53" s="131" t="s">
        <v>225</v>
      </c>
      <c r="C53" s="131" t="s">
        <v>111</v>
      </c>
      <c r="D53" s="135"/>
      <c r="E53" s="407"/>
      <c r="F53" s="135"/>
      <c r="G53" s="135"/>
      <c r="H53" s="135"/>
      <c r="J53" s="524">
        <v>38.44</v>
      </c>
    </row>
    <row r="54" spans="2:10">
      <c r="B54" s="136" t="s">
        <v>35</v>
      </c>
      <c r="C54" s="136" t="s">
        <v>111</v>
      </c>
      <c r="D54" s="134"/>
      <c r="E54" s="407"/>
      <c r="F54" s="134"/>
      <c r="G54" s="135"/>
      <c r="H54" s="135"/>
      <c r="J54" s="524">
        <v>31.78409724752219</v>
      </c>
    </row>
    <row r="55" spans="2:10">
      <c r="B55" s="131" t="s">
        <v>225</v>
      </c>
      <c r="C55" s="131" t="s">
        <v>62</v>
      </c>
      <c r="D55" s="135"/>
      <c r="E55" s="407"/>
      <c r="F55" s="135"/>
      <c r="G55" s="134"/>
      <c r="H55" s="134"/>
      <c r="J55" s="524">
        <v>48.18</v>
      </c>
    </row>
    <row r="56" spans="2:10">
      <c r="B56" s="136" t="s">
        <v>35</v>
      </c>
      <c r="C56" s="136" t="s">
        <v>62</v>
      </c>
      <c r="D56" s="134"/>
      <c r="E56" s="407"/>
      <c r="F56" s="134"/>
      <c r="G56" s="135"/>
      <c r="H56" s="135"/>
      <c r="J56" s="524">
        <v>50.751692862796347</v>
      </c>
    </row>
    <row r="57" spans="2:10">
      <c r="B57" s="131"/>
      <c r="C57" s="131"/>
      <c r="D57" s="131"/>
      <c r="E57" s="131"/>
      <c r="F57" s="131"/>
      <c r="G57" s="134"/>
      <c r="H57" s="134"/>
      <c r="J57" s="524">
        <v>74.459999999999994</v>
      </c>
    </row>
    <row r="58" spans="2:10" ht="12.75" customHeight="1">
      <c r="B58" s="130" t="s">
        <v>68</v>
      </c>
      <c r="C58" s="150"/>
      <c r="D58" s="150"/>
      <c r="E58" s="151"/>
      <c r="G58" s="131"/>
      <c r="H58" s="131"/>
    </row>
    <row r="59" spans="2:10" ht="12.75" customHeight="1">
      <c r="B59" s="152" t="s">
        <v>73</v>
      </c>
      <c r="C59" s="150"/>
      <c r="D59" s="150"/>
      <c r="E59" s="151"/>
    </row>
    <row r="60" spans="2:10" ht="12.75" customHeight="1">
      <c r="B60" s="152" t="s">
        <v>123</v>
      </c>
      <c r="C60" s="150"/>
      <c r="D60" s="150"/>
      <c r="E60" s="151"/>
    </row>
    <row r="61" spans="2:10" ht="12.75" customHeight="1"/>
    <row r="62" spans="2:10" ht="12.75" customHeight="1"/>
    <row r="63" spans="2:10" ht="12.75" customHeight="1"/>
    <row r="64" spans="2:10" ht="12.75" customHeight="1"/>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sheetData>
  <mergeCells count="7">
    <mergeCell ref="J15:N15"/>
    <mergeCell ref="J32:M32"/>
    <mergeCell ref="B13:H13"/>
    <mergeCell ref="B46:H48"/>
    <mergeCell ref="E15:H15"/>
    <mergeCell ref="E32:H32"/>
    <mergeCell ref="B45:H45"/>
  </mergeCells>
  <phoneticPr fontId="12"/>
  <printOptions horizontalCentered="1"/>
  <pageMargins left="0.79000000000000015" right="0.59" top="1.3800000000000001" bottom="0.79000000000000015" header="0.39000000000000007" footer="0.2"/>
  <pageSetup paperSize="9" scale="55" orientation="portrait"/>
  <headerFooter>
    <oddHeader>&amp;L&amp;C&amp;R</oddHeader>
    <oddFooter>&amp;L&amp;"Verdana,Regular"&amp;F-&amp;A_x000D_ICCA b.v. ©&amp;R&amp;"Verdana,Regular"printversie &amp;D</oddFooter>
  </headerFooter>
  <drawing r:id="rId1"/>
  <extLst>
    <ext xmlns:mx="http://schemas.microsoft.com/office/mac/excel/2008/main" uri="{64002731-A6B0-56B0-2670-7721B7C09600}">
      <mx:PLV Mode="0" OnePage="0" WScale="52"/>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 enableFormatConditionsCalculation="0">
    <pageSetUpPr fitToPage="1"/>
  </sheetPr>
  <dimension ref="A1:AB119"/>
  <sheetViews>
    <sheetView showGridLines="0" showZeros="0" showOutlineSymbols="0" zoomScaleSheetLayoutView="75" workbookViewId="0">
      <selection activeCell="C69" sqref="C69"/>
    </sheetView>
  </sheetViews>
  <sheetFormatPr baseColWidth="10" defaultColWidth="10.7109375" defaultRowHeight="13" x14ac:dyDescent="0"/>
  <cols>
    <col min="1" max="1" width="5" style="61" customWidth="1"/>
    <col min="2" max="2" width="41.42578125" style="147" customWidth="1"/>
    <col min="3" max="3" width="36.85546875" style="137" customWidth="1"/>
    <col min="4" max="4" width="13.140625" style="138" customWidth="1"/>
    <col min="5" max="5" width="12.85546875" style="138" customWidth="1"/>
    <col min="6" max="6" width="9.85546875" style="138" customWidth="1"/>
    <col min="7" max="7" width="11.85546875" style="139" bestFit="1" customWidth="1"/>
    <col min="8" max="8" width="10" style="139" customWidth="1"/>
    <col min="9" max="9" width="11.85546875" style="139" bestFit="1" customWidth="1"/>
    <col min="10" max="10" width="9.5703125" style="139" customWidth="1"/>
    <col min="11" max="11" width="11.5703125" style="61" bestFit="1" customWidth="1"/>
    <col min="12" max="12" width="10.7109375" style="61" bestFit="1" customWidth="1"/>
    <col min="13" max="13" width="13.85546875" style="61" customWidth="1"/>
    <col min="14" max="14" width="10.28515625" style="61" bestFit="1" customWidth="1"/>
    <col min="15" max="15" width="15.5703125" style="61" bestFit="1" customWidth="1"/>
    <col min="16" max="16" width="13" style="61" bestFit="1" customWidth="1"/>
    <col min="17" max="17" width="11.42578125" style="61" bestFit="1" customWidth="1"/>
    <col min="18" max="18" width="13.140625" style="61" bestFit="1" customWidth="1"/>
    <col min="19" max="20" width="10.85546875" style="61" bestFit="1" customWidth="1"/>
    <col min="21" max="21" width="0" style="61" hidden="1" customWidth="1"/>
    <col min="22" max="22" width="7.85546875" style="61" bestFit="1" customWidth="1"/>
    <col min="23" max="23" width="8.140625" style="61" bestFit="1" customWidth="1"/>
    <col min="24" max="24" width="9.7109375" style="61" bestFit="1" customWidth="1"/>
    <col min="25" max="25" width="10.85546875" style="61" bestFit="1" customWidth="1"/>
    <col min="26" max="26" width="12.85546875" style="61" bestFit="1" customWidth="1"/>
    <col min="27" max="16384" width="10.7109375" style="61"/>
  </cols>
  <sheetData>
    <row r="1" spans="2:28" ht="27" customHeight="1">
      <c r="B1" s="404" t="s">
        <v>32</v>
      </c>
    </row>
    <row r="2" spans="2:28" ht="27" customHeight="1">
      <c r="B2" s="416"/>
    </row>
    <row r="3" spans="2:28">
      <c r="B3" s="137"/>
    </row>
    <row r="4" spans="2:28" ht="16">
      <c r="B4" s="140" t="s">
        <v>160</v>
      </c>
      <c r="C4" s="141" t="str">
        <f>'Uitleg calculatiemodule'!F2</f>
        <v>Stichting CPOW</v>
      </c>
      <c r="D4" s="449"/>
      <c r="E4" s="449"/>
      <c r="F4" s="139"/>
    </row>
    <row r="5" spans="2:28" ht="16">
      <c r="B5" s="140" t="s">
        <v>42</v>
      </c>
      <c r="C5" s="140" t="s">
        <v>66</v>
      </c>
      <c r="D5" s="133"/>
      <c r="E5" s="133"/>
      <c r="F5" s="139"/>
    </row>
    <row r="6" spans="2:28" ht="15.75" customHeight="1">
      <c r="B6" s="140" t="s">
        <v>52</v>
      </c>
      <c r="C6" s="141" t="str">
        <f>'Uitleg calculatiemodule'!F3</f>
        <v>Primair onderwijs Purmerend e.o.</v>
      </c>
      <c r="D6" s="448"/>
      <c r="E6" s="448"/>
      <c r="F6" s="139"/>
    </row>
    <row r="7" spans="2:28" ht="16">
      <c r="B7" s="140" t="s">
        <v>217</v>
      </c>
      <c r="C7" s="141" t="str">
        <f>'Uitleg calculatiemodule'!F4</f>
        <v>0302-52-2015 V1</v>
      </c>
      <c r="D7" s="133"/>
      <c r="E7" s="133"/>
      <c r="F7" s="139"/>
    </row>
    <row r="8" spans="2:28" ht="16">
      <c r="B8" s="140" t="s">
        <v>158</v>
      </c>
      <c r="C8" s="141" t="str">
        <f>'1.0-Contractblad'!E6</f>
        <v>[NAAM LEVERANCIER]</v>
      </c>
      <c r="D8" s="133"/>
      <c r="E8" s="700">
        <v>42370</v>
      </c>
      <c r="F8" s="139"/>
    </row>
    <row r="9" spans="2:28" ht="16">
      <c r="B9" s="140">
        <v>0</v>
      </c>
      <c r="C9" s="141">
        <v>0</v>
      </c>
      <c r="D9" s="133"/>
      <c r="E9" s="133"/>
      <c r="F9" s="139"/>
    </row>
    <row r="10" spans="2:28" ht="16">
      <c r="B10" s="140" t="s">
        <v>23</v>
      </c>
      <c r="C10" s="129" t="s">
        <v>92</v>
      </c>
      <c r="D10" s="133"/>
      <c r="E10" s="133"/>
      <c r="F10" s="139"/>
    </row>
    <row r="11" spans="2:28" ht="16">
      <c r="B11" s="140"/>
      <c r="C11" s="129"/>
      <c r="D11" s="133"/>
      <c r="E11" s="133"/>
      <c r="F11" s="133"/>
    </row>
    <row r="12" spans="2:28">
      <c r="B12" s="144"/>
      <c r="C12" s="145"/>
      <c r="D12" s="146"/>
      <c r="E12" s="146"/>
      <c r="F12" s="146"/>
    </row>
    <row r="13" spans="2:28" ht="18.75" customHeight="1">
      <c r="B13" s="738" t="s">
        <v>333</v>
      </c>
      <c r="C13" s="738"/>
      <c r="D13" s="738"/>
      <c r="E13" s="738"/>
      <c r="F13" s="738"/>
      <c r="G13" s="738"/>
      <c r="H13" s="738"/>
      <c r="I13" s="738"/>
      <c r="J13" s="738"/>
    </row>
    <row r="14" spans="2:28">
      <c r="D14" s="137"/>
      <c r="E14" s="137"/>
      <c r="F14" s="745" t="s">
        <v>420</v>
      </c>
      <c r="G14" s="745"/>
      <c r="H14" s="745"/>
      <c r="I14" s="745"/>
      <c r="J14" s="745"/>
      <c r="K14" s="139"/>
      <c r="L14" s="447" t="s">
        <v>421</v>
      </c>
      <c r="M14" s="447"/>
      <c r="N14" s="447"/>
      <c r="O14" s="447"/>
      <c r="P14" s="446"/>
      <c r="Q14" s="447"/>
    </row>
    <row r="15" spans="2:28" ht="51" customHeight="1">
      <c r="B15" s="466" t="s">
        <v>41</v>
      </c>
      <c r="C15" s="137" t="s">
        <v>54</v>
      </c>
      <c r="D15" s="446"/>
      <c r="E15" s="467" t="s">
        <v>332</v>
      </c>
      <c r="F15" s="467" t="s">
        <v>422</v>
      </c>
      <c r="G15" s="467" t="s">
        <v>332</v>
      </c>
      <c r="H15" s="491" t="s">
        <v>423</v>
      </c>
      <c r="I15" s="491" t="s">
        <v>332</v>
      </c>
      <c r="J15" s="491" t="s">
        <v>424</v>
      </c>
      <c r="K15" s="491" t="s">
        <v>425</v>
      </c>
      <c r="L15" s="467" t="s">
        <v>426</v>
      </c>
      <c r="M15" s="491" t="s">
        <v>427</v>
      </c>
      <c r="N15" s="491" t="s">
        <v>428</v>
      </c>
      <c r="O15" s="491" t="s">
        <v>429</v>
      </c>
      <c r="P15" s="491" t="s">
        <v>430</v>
      </c>
      <c r="Q15" s="492" t="s">
        <v>431</v>
      </c>
      <c r="R15" s="491" t="s">
        <v>649</v>
      </c>
      <c r="S15" s="491" t="s">
        <v>650</v>
      </c>
      <c r="T15" s="491" t="s">
        <v>651</v>
      </c>
      <c r="U15" s="493"/>
      <c r="V15" s="493" t="s">
        <v>432</v>
      </c>
      <c r="W15" s="493" t="s">
        <v>433</v>
      </c>
      <c r="X15" s="493" t="s">
        <v>434</v>
      </c>
      <c r="Y15" s="492" t="s">
        <v>435</v>
      </c>
      <c r="Z15" s="492" t="s">
        <v>198</v>
      </c>
      <c r="AA15" s="494"/>
      <c r="AB15" s="494"/>
    </row>
    <row r="16" spans="2:28">
      <c r="B16" s="302" t="str">
        <f>'1.1a-Jaarprijzen'!B11</f>
        <v>Stellingmolen 19-21</v>
      </c>
      <c r="C16" s="302" t="s">
        <v>345</v>
      </c>
      <c r="D16" s="445" t="str">
        <f>'1.1a-Jaarprijzen'!C11</f>
        <v>CPOW</v>
      </c>
      <c r="E16" s="488">
        <v>2</v>
      </c>
      <c r="F16" s="658">
        <v>587.9</v>
      </c>
      <c r="G16" s="488">
        <v>2</v>
      </c>
      <c r="H16" s="658">
        <v>587.9</v>
      </c>
      <c r="I16" s="488">
        <v>2</v>
      </c>
      <c r="J16" s="658">
        <v>314.89999999999998</v>
      </c>
      <c r="K16" s="490"/>
      <c r="L16" s="490"/>
      <c r="M16" s="490"/>
      <c r="N16" s="495">
        <f t="shared" ref="N16" si="0">IF(K16=0,0,F16/K16)*E16</f>
        <v>0</v>
      </c>
      <c r="O16" s="495">
        <f t="shared" ref="O16" si="1">IF(L16=0,0,H16/L16)*G16</f>
        <v>0</v>
      </c>
      <c r="P16" s="495">
        <f t="shared" ref="P16" si="2">IF(M16=0,0,J16/M16)*I16</f>
        <v>0</v>
      </c>
      <c r="Q16" s="496">
        <f>'1.0-Contractblad'!$L$137</f>
        <v>0</v>
      </c>
      <c r="R16" s="497">
        <f>IF(K16=0,0,N16*Q16)</f>
        <v>0</v>
      </c>
      <c r="S16" s="497">
        <f t="shared" ref="S16:S26" si="3">IF(L16=0,0,O16*Q16)</f>
        <v>0</v>
      </c>
      <c r="T16" s="497">
        <f t="shared" ref="T16:T26" si="4">IF(M16=0,0,P16*Q16)</f>
        <v>0</v>
      </c>
      <c r="U16" s="498"/>
      <c r="V16" s="499">
        <f t="shared" ref="V16:V26" si="5">IF(F16=0,0,R16/E16/F16)</f>
        <v>0</v>
      </c>
      <c r="W16" s="499">
        <f t="shared" ref="W16:W26" si="6">IF(H16=0,0,S16/G16/H16)</f>
        <v>0</v>
      </c>
      <c r="X16" s="500">
        <f t="shared" ref="X16:X26" si="7">IF(J16=0,0,T16/I16/J16)</f>
        <v>0</v>
      </c>
      <c r="Y16" s="501">
        <f t="shared" ref="Y16:Y31" si="8">E46</f>
        <v>0</v>
      </c>
      <c r="Z16" s="501">
        <f>IF(K16=0,0,R16+S16+T16)</f>
        <v>0</v>
      </c>
    </row>
    <row r="17" spans="2:26">
      <c r="B17" s="302" t="str">
        <f>'1.1a-Jaarprijzen'!B12</f>
        <v>Gasinjetstraat 1-3</v>
      </c>
      <c r="C17" s="302" t="s">
        <v>345</v>
      </c>
      <c r="D17" s="445" t="str">
        <f>'1.1a-Jaarprijzen'!C12</f>
        <v>CPOW</v>
      </c>
      <c r="E17" s="488">
        <v>2</v>
      </c>
      <c r="F17" s="658">
        <v>187.5</v>
      </c>
      <c r="G17" s="488">
        <v>2</v>
      </c>
      <c r="H17" s="658">
        <v>187.5</v>
      </c>
      <c r="I17" s="488">
        <v>2</v>
      </c>
      <c r="J17" s="658">
        <v>100</v>
      </c>
      <c r="K17" s="490"/>
      <c r="L17" s="490"/>
      <c r="M17" s="490"/>
      <c r="N17" s="495">
        <f t="shared" ref="N17:N31" si="9">IF(K17=0,0,F17/K17)*E17</f>
        <v>0</v>
      </c>
      <c r="O17" s="495">
        <f t="shared" ref="O17:O31" si="10">IF(L17=0,0,H17/L17)*G17</f>
        <v>0</v>
      </c>
      <c r="P17" s="495">
        <f t="shared" ref="P17:P31" si="11">IF(M17=0,0,J17/M17)*I17</f>
        <v>0</v>
      </c>
      <c r="Q17" s="496">
        <f>'1.0-Contractblad'!$L$137</f>
        <v>0</v>
      </c>
      <c r="R17" s="497">
        <f t="shared" ref="R17:R26" si="12">IF(K17=0,0,N17*Q17)</f>
        <v>0</v>
      </c>
      <c r="S17" s="497">
        <f t="shared" si="3"/>
        <v>0</v>
      </c>
      <c r="T17" s="497">
        <f t="shared" si="4"/>
        <v>0</v>
      </c>
      <c r="U17" s="498"/>
      <c r="V17" s="499">
        <f t="shared" si="5"/>
        <v>0</v>
      </c>
      <c r="W17" s="499">
        <f t="shared" si="6"/>
        <v>0</v>
      </c>
      <c r="X17" s="500">
        <f t="shared" si="7"/>
        <v>0</v>
      </c>
      <c r="Y17" s="501">
        <f t="shared" si="8"/>
        <v>0</v>
      </c>
      <c r="Z17" s="608">
        <f t="shared" ref="Z17:Z31" si="13">IF(K17=0,0,R17+S17+T17)</f>
        <v>0</v>
      </c>
    </row>
    <row r="18" spans="2:26">
      <c r="B18" s="302" t="str">
        <f>'1.1a-Jaarprijzen'!B13</f>
        <v>Hoefsmidhof 1-4</v>
      </c>
      <c r="C18" s="302" t="s">
        <v>345</v>
      </c>
      <c r="D18" s="445" t="str">
        <f>'1.1a-Jaarprijzen'!C13</f>
        <v>CPOW</v>
      </c>
      <c r="E18" s="488">
        <v>2</v>
      </c>
      <c r="F18" s="658">
        <v>375.9</v>
      </c>
      <c r="G18" s="488">
        <v>2</v>
      </c>
      <c r="H18" s="658">
        <v>375.9</v>
      </c>
      <c r="I18" s="488">
        <v>2</v>
      </c>
      <c r="J18" s="658">
        <v>324.5</v>
      </c>
      <c r="K18" s="490"/>
      <c r="L18" s="490"/>
      <c r="M18" s="490"/>
      <c r="N18" s="495">
        <f t="shared" si="9"/>
        <v>0</v>
      </c>
      <c r="O18" s="495">
        <f t="shared" si="10"/>
        <v>0</v>
      </c>
      <c r="P18" s="495">
        <f t="shared" si="11"/>
        <v>0</v>
      </c>
      <c r="Q18" s="496">
        <f>'1.0-Contractblad'!$L$137</f>
        <v>0</v>
      </c>
      <c r="R18" s="497">
        <f t="shared" si="12"/>
        <v>0</v>
      </c>
      <c r="S18" s="497">
        <f t="shared" si="3"/>
        <v>0</v>
      </c>
      <c r="T18" s="497">
        <f t="shared" si="4"/>
        <v>0</v>
      </c>
      <c r="U18" s="498"/>
      <c r="V18" s="499">
        <f t="shared" si="5"/>
        <v>0</v>
      </c>
      <c r="W18" s="499">
        <f t="shared" si="6"/>
        <v>0</v>
      </c>
      <c r="X18" s="500">
        <f t="shared" si="7"/>
        <v>0</v>
      </c>
      <c r="Y18" s="501">
        <f t="shared" si="8"/>
        <v>0</v>
      </c>
      <c r="Z18" s="608">
        <f t="shared" si="13"/>
        <v>0</v>
      </c>
    </row>
    <row r="19" spans="2:26">
      <c r="B19" s="302" t="str">
        <f>'1.1a-Jaarprijzen'!B14</f>
        <v>Karekietpark 28</v>
      </c>
      <c r="C19" s="302" t="s">
        <v>345</v>
      </c>
      <c r="D19" s="445" t="str">
        <f>'1.1a-Jaarprijzen'!C14</f>
        <v>CPOW</v>
      </c>
      <c r="E19" s="488">
        <v>2</v>
      </c>
      <c r="F19" s="658">
        <v>432</v>
      </c>
      <c r="G19" s="488">
        <v>2</v>
      </c>
      <c r="H19" s="658">
        <v>432</v>
      </c>
      <c r="I19" s="488">
        <v>2</v>
      </c>
      <c r="J19" s="658">
        <v>420</v>
      </c>
      <c r="K19" s="490"/>
      <c r="L19" s="490"/>
      <c r="M19" s="490"/>
      <c r="N19" s="495">
        <f t="shared" si="9"/>
        <v>0</v>
      </c>
      <c r="O19" s="495">
        <f t="shared" si="10"/>
        <v>0</v>
      </c>
      <c r="P19" s="495">
        <f t="shared" si="11"/>
        <v>0</v>
      </c>
      <c r="Q19" s="496">
        <f>'1.0-Contractblad'!$L$137</f>
        <v>0</v>
      </c>
      <c r="R19" s="497">
        <f t="shared" si="12"/>
        <v>0</v>
      </c>
      <c r="S19" s="497">
        <f t="shared" si="3"/>
        <v>0</v>
      </c>
      <c r="T19" s="497">
        <f t="shared" si="4"/>
        <v>0</v>
      </c>
      <c r="U19" s="498"/>
      <c r="V19" s="499">
        <f t="shared" si="5"/>
        <v>0</v>
      </c>
      <c r="W19" s="499">
        <f t="shared" si="6"/>
        <v>0</v>
      </c>
      <c r="X19" s="500">
        <f t="shared" si="7"/>
        <v>0</v>
      </c>
      <c r="Y19" s="501">
        <f t="shared" si="8"/>
        <v>0</v>
      </c>
      <c r="Z19" s="608">
        <f t="shared" si="13"/>
        <v>0</v>
      </c>
    </row>
    <row r="20" spans="2:26" hidden="1">
      <c r="B20" s="302">
        <f>'1.1a-Jaarprijzen'!B15</f>
        <v>0</v>
      </c>
      <c r="C20" s="302" t="s">
        <v>345</v>
      </c>
      <c r="D20" s="445">
        <f>'1.1a-Jaarprijzen'!C15</f>
        <v>0</v>
      </c>
      <c r="E20" s="488">
        <v>2</v>
      </c>
      <c r="F20" s="658">
        <v>130.19999999999999</v>
      </c>
      <c r="G20" s="488">
        <v>2</v>
      </c>
      <c r="H20" s="658">
        <v>130.19999999999999</v>
      </c>
      <c r="I20" s="488">
        <v>2</v>
      </c>
      <c r="J20" s="658">
        <v>99.8</v>
      </c>
      <c r="K20" s="490"/>
      <c r="L20" s="490"/>
      <c r="M20" s="490"/>
      <c r="N20" s="495">
        <f t="shared" si="9"/>
        <v>0</v>
      </c>
      <c r="O20" s="495">
        <f t="shared" si="10"/>
        <v>0</v>
      </c>
      <c r="P20" s="495">
        <f t="shared" si="11"/>
        <v>0</v>
      </c>
      <c r="Q20" s="496">
        <f>'1.0-Contractblad'!$L$137</f>
        <v>0</v>
      </c>
      <c r="R20" s="497">
        <f t="shared" si="12"/>
        <v>0</v>
      </c>
      <c r="S20" s="497">
        <f t="shared" si="3"/>
        <v>0</v>
      </c>
      <c r="T20" s="497">
        <f t="shared" si="4"/>
        <v>0</v>
      </c>
      <c r="U20" s="498"/>
      <c r="V20" s="499">
        <f t="shared" si="5"/>
        <v>0</v>
      </c>
      <c r="W20" s="499">
        <f t="shared" si="6"/>
        <v>0</v>
      </c>
      <c r="X20" s="500">
        <f t="shared" si="7"/>
        <v>0</v>
      </c>
      <c r="Y20" s="501">
        <f t="shared" si="8"/>
        <v>0</v>
      </c>
      <c r="Z20" s="608">
        <f t="shared" si="13"/>
        <v>0</v>
      </c>
    </row>
    <row r="21" spans="2:26" hidden="1">
      <c r="B21" s="302">
        <f>'1.1a-Jaarprijzen'!B16</f>
        <v>0</v>
      </c>
      <c r="C21" s="302" t="s">
        <v>345</v>
      </c>
      <c r="D21" s="445">
        <f>'1.1a-Jaarprijzen'!C16</f>
        <v>0</v>
      </c>
      <c r="E21" s="488">
        <v>2</v>
      </c>
      <c r="F21" s="658">
        <v>209</v>
      </c>
      <c r="G21" s="488">
        <v>2</v>
      </c>
      <c r="H21" s="658">
        <v>209</v>
      </c>
      <c r="I21" s="488">
        <v>2</v>
      </c>
      <c r="J21" s="658">
        <v>62.3</v>
      </c>
      <c r="K21" s="490"/>
      <c r="L21" s="490"/>
      <c r="M21" s="490"/>
      <c r="N21" s="495">
        <f t="shared" si="9"/>
        <v>0</v>
      </c>
      <c r="O21" s="495">
        <f t="shared" si="10"/>
        <v>0</v>
      </c>
      <c r="P21" s="495">
        <f t="shared" si="11"/>
        <v>0</v>
      </c>
      <c r="Q21" s="496">
        <f>'1.0-Contractblad'!$L$137</f>
        <v>0</v>
      </c>
      <c r="R21" s="497">
        <f t="shared" si="12"/>
        <v>0</v>
      </c>
      <c r="S21" s="497">
        <f t="shared" si="3"/>
        <v>0</v>
      </c>
      <c r="T21" s="497">
        <f t="shared" si="4"/>
        <v>0</v>
      </c>
      <c r="U21" s="498"/>
      <c r="V21" s="499">
        <f t="shared" si="5"/>
        <v>0</v>
      </c>
      <c r="W21" s="499">
        <f t="shared" si="6"/>
        <v>0</v>
      </c>
      <c r="X21" s="500">
        <f t="shared" si="7"/>
        <v>0</v>
      </c>
      <c r="Y21" s="501">
        <f t="shared" si="8"/>
        <v>0</v>
      </c>
      <c r="Z21" s="608">
        <f t="shared" si="13"/>
        <v>0</v>
      </c>
    </row>
    <row r="22" spans="2:26" hidden="1">
      <c r="B22" s="302">
        <f>'1.1a-Jaarprijzen'!B17</f>
        <v>0</v>
      </c>
      <c r="C22" s="302" t="s">
        <v>345</v>
      </c>
      <c r="D22" s="445">
        <f>'1.1a-Jaarprijzen'!C17</f>
        <v>0</v>
      </c>
      <c r="E22" s="488">
        <v>2</v>
      </c>
      <c r="F22" s="658">
        <v>217.4</v>
      </c>
      <c r="G22" s="488">
        <v>2</v>
      </c>
      <c r="H22" s="658">
        <v>217.4</v>
      </c>
      <c r="I22" s="488">
        <v>2</v>
      </c>
      <c r="J22" s="658">
        <v>202.7</v>
      </c>
      <c r="K22" s="490"/>
      <c r="L22" s="490"/>
      <c r="M22" s="490"/>
      <c r="N22" s="495">
        <f t="shared" si="9"/>
        <v>0</v>
      </c>
      <c r="O22" s="495">
        <f t="shared" si="10"/>
        <v>0</v>
      </c>
      <c r="P22" s="495">
        <f t="shared" si="11"/>
        <v>0</v>
      </c>
      <c r="Q22" s="496">
        <f>'1.0-Contractblad'!$L$137</f>
        <v>0</v>
      </c>
      <c r="R22" s="497">
        <f t="shared" si="12"/>
        <v>0</v>
      </c>
      <c r="S22" s="497">
        <f t="shared" si="3"/>
        <v>0</v>
      </c>
      <c r="T22" s="497">
        <f t="shared" si="4"/>
        <v>0</v>
      </c>
      <c r="U22" s="498"/>
      <c r="V22" s="499">
        <f t="shared" si="5"/>
        <v>0</v>
      </c>
      <c r="W22" s="499">
        <f t="shared" si="6"/>
        <v>0</v>
      </c>
      <c r="X22" s="500">
        <f t="shared" si="7"/>
        <v>0</v>
      </c>
      <c r="Y22" s="501">
        <f t="shared" si="8"/>
        <v>0</v>
      </c>
      <c r="Z22" s="608">
        <f t="shared" si="13"/>
        <v>0</v>
      </c>
    </row>
    <row r="23" spans="2:26" hidden="1">
      <c r="B23" s="302">
        <f>'1.1a-Jaarprijzen'!B18</f>
        <v>0</v>
      </c>
      <c r="C23" s="302" t="s">
        <v>345</v>
      </c>
      <c r="D23" s="445">
        <f>'1.1a-Jaarprijzen'!C18</f>
        <v>0</v>
      </c>
      <c r="E23" s="488">
        <v>2</v>
      </c>
      <c r="F23" s="658">
        <v>378</v>
      </c>
      <c r="G23" s="488">
        <v>2</v>
      </c>
      <c r="H23" s="658">
        <v>378</v>
      </c>
      <c r="I23" s="488">
        <v>2</v>
      </c>
      <c r="J23" s="658">
        <v>189</v>
      </c>
      <c r="K23" s="490"/>
      <c r="L23" s="490"/>
      <c r="M23" s="490"/>
      <c r="N23" s="495">
        <f t="shared" si="9"/>
        <v>0</v>
      </c>
      <c r="O23" s="495">
        <f t="shared" si="10"/>
        <v>0</v>
      </c>
      <c r="P23" s="495">
        <f t="shared" si="11"/>
        <v>0</v>
      </c>
      <c r="Q23" s="496">
        <f>'1.0-Contractblad'!$L$137</f>
        <v>0</v>
      </c>
      <c r="R23" s="497">
        <f t="shared" si="12"/>
        <v>0</v>
      </c>
      <c r="S23" s="497">
        <f t="shared" si="3"/>
        <v>0</v>
      </c>
      <c r="T23" s="497">
        <f t="shared" si="4"/>
        <v>0</v>
      </c>
      <c r="U23" s="498"/>
      <c r="V23" s="499">
        <f t="shared" si="5"/>
        <v>0</v>
      </c>
      <c r="W23" s="499">
        <f t="shared" si="6"/>
        <v>0</v>
      </c>
      <c r="X23" s="500">
        <f t="shared" si="7"/>
        <v>0</v>
      </c>
      <c r="Y23" s="501">
        <f t="shared" si="8"/>
        <v>0</v>
      </c>
      <c r="Z23" s="608">
        <f t="shared" si="13"/>
        <v>0</v>
      </c>
    </row>
    <row r="24" spans="2:26" hidden="1">
      <c r="B24" s="302">
        <f>'1.1a-Jaarprijzen'!B19</f>
        <v>0</v>
      </c>
      <c r="C24" s="302" t="s">
        <v>345</v>
      </c>
      <c r="D24" s="445">
        <f>'1.1a-Jaarprijzen'!C19</f>
        <v>0</v>
      </c>
      <c r="E24" s="488">
        <v>2</v>
      </c>
      <c r="F24" s="658">
        <v>733</v>
      </c>
      <c r="G24" s="488">
        <v>2</v>
      </c>
      <c r="H24" s="658">
        <v>502.6</v>
      </c>
      <c r="I24" s="488">
        <v>2</v>
      </c>
      <c r="J24" s="658">
        <v>254</v>
      </c>
      <c r="K24" s="490"/>
      <c r="L24" s="490"/>
      <c r="M24" s="490"/>
      <c r="N24" s="495">
        <f t="shared" si="9"/>
        <v>0</v>
      </c>
      <c r="O24" s="495">
        <f t="shared" si="10"/>
        <v>0</v>
      </c>
      <c r="P24" s="495">
        <f t="shared" si="11"/>
        <v>0</v>
      </c>
      <c r="Q24" s="496">
        <f>'1.0-Contractblad'!$L$137</f>
        <v>0</v>
      </c>
      <c r="R24" s="497">
        <f t="shared" si="12"/>
        <v>0</v>
      </c>
      <c r="S24" s="497">
        <f t="shared" si="3"/>
        <v>0</v>
      </c>
      <c r="T24" s="497">
        <f t="shared" si="4"/>
        <v>0</v>
      </c>
      <c r="U24" s="498"/>
      <c r="V24" s="499">
        <f t="shared" si="5"/>
        <v>0</v>
      </c>
      <c r="W24" s="499">
        <f t="shared" si="6"/>
        <v>0</v>
      </c>
      <c r="X24" s="500">
        <f t="shared" si="7"/>
        <v>0</v>
      </c>
      <c r="Y24" s="501">
        <f t="shared" si="8"/>
        <v>0</v>
      </c>
      <c r="Z24" s="608">
        <f t="shared" si="13"/>
        <v>0</v>
      </c>
    </row>
    <row r="25" spans="2:26" hidden="1">
      <c r="B25" s="302">
        <f>'1.1a-Jaarprijzen'!B20</f>
        <v>0</v>
      </c>
      <c r="C25" s="302" t="s">
        <v>345</v>
      </c>
      <c r="D25" s="445">
        <f>'1.1a-Jaarprijzen'!C20</f>
        <v>0</v>
      </c>
      <c r="E25" s="488">
        <v>2</v>
      </c>
      <c r="F25" s="658">
        <v>381.2</v>
      </c>
      <c r="G25" s="488">
        <v>2</v>
      </c>
      <c r="H25" s="658">
        <v>381.2</v>
      </c>
      <c r="I25" s="488">
        <v>2</v>
      </c>
      <c r="J25" s="658">
        <v>150.19999999999999</v>
      </c>
      <c r="K25" s="490"/>
      <c r="L25" s="490"/>
      <c r="M25" s="490"/>
      <c r="N25" s="495">
        <f t="shared" si="9"/>
        <v>0</v>
      </c>
      <c r="O25" s="495">
        <f t="shared" si="10"/>
        <v>0</v>
      </c>
      <c r="P25" s="495">
        <f t="shared" si="11"/>
        <v>0</v>
      </c>
      <c r="Q25" s="496">
        <f>'1.0-Contractblad'!$L$137</f>
        <v>0</v>
      </c>
      <c r="R25" s="497">
        <f t="shared" si="12"/>
        <v>0</v>
      </c>
      <c r="S25" s="497">
        <f t="shared" si="3"/>
        <v>0</v>
      </c>
      <c r="T25" s="497">
        <f t="shared" si="4"/>
        <v>0</v>
      </c>
      <c r="U25" s="498"/>
      <c r="V25" s="499">
        <f t="shared" si="5"/>
        <v>0</v>
      </c>
      <c r="W25" s="499">
        <f t="shared" si="6"/>
        <v>0</v>
      </c>
      <c r="X25" s="500">
        <f t="shared" si="7"/>
        <v>0</v>
      </c>
      <c r="Y25" s="501">
        <f t="shared" si="8"/>
        <v>0</v>
      </c>
      <c r="Z25" s="608">
        <f t="shared" si="13"/>
        <v>0</v>
      </c>
    </row>
    <row r="26" spans="2:26" hidden="1">
      <c r="B26" s="302">
        <f>'1.1a-Jaarprijzen'!B21</f>
        <v>0</v>
      </c>
      <c r="C26" s="302" t="s">
        <v>345</v>
      </c>
      <c r="D26" s="445">
        <f>'1.1a-Jaarprijzen'!C21</f>
        <v>0</v>
      </c>
      <c r="E26" s="488">
        <v>2</v>
      </c>
      <c r="F26" s="658">
        <v>381.2</v>
      </c>
      <c r="G26" s="488">
        <v>2</v>
      </c>
      <c r="H26" s="658">
        <v>381.2</v>
      </c>
      <c r="I26" s="488">
        <v>2</v>
      </c>
      <c r="J26" s="658">
        <v>150.19999999999999</v>
      </c>
      <c r="K26" s="490"/>
      <c r="L26" s="490"/>
      <c r="M26" s="490"/>
      <c r="N26" s="495">
        <f t="shared" si="9"/>
        <v>0</v>
      </c>
      <c r="O26" s="495">
        <f t="shared" si="10"/>
        <v>0</v>
      </c>
      <c r="P26" s="495">
        <f t="shared" si="11"/>
        <v>0</v>
      </c>
      <c r="Q26" s="496">
        <f>'1.0-Contractblad'!$L$137</f>
        <v>0</v>
      </c>
      <c r="R26" s="497">
        <f t="shared" si="12"/>
        <v>0</v>
      </c>
      <c r="S26" s="497">
        <f t="shared" si="3"/>
        <v>0</v>
      </c>
      <c r="T26" s="497">
        <f t="shared" si="4"/>
        <v>0</v>
      </c>
      <c r="U26" s="498"/>
      <c r="V26" s="499">
        <f t="shared" si="5"/>
        <v>0</v>
      </c>
      <c r="W26" s="499">
        <f t="shared" si="6"/>
        <v>0</v>
      </c>
      <c r="X26" s="500">
        <f t="shared" si="7"/>
        <v>0</v>
      </c>
      <c r="Y26" s="501">
        <f t="shared" si="8"/>
        <v>0</v>
      </c>
      <c r="Z26" s="608">
        <f t="shared" si="13"/>
        <v>0</v>
      </c>
    </row>
    <row r="27" spans="2:26" hidden="1">
      <c r="B27" s="302">
        <f>'1.1a-Jaarprijzen'!B22</f>
        <v>0</v>
      </c>
      <c r="C27" s="302" t="s">
        <v>345</v>
      </c>
      <c r="D27" s="445">
        <f>'1.1a-Jaarprijzen'!C22</f>
        <v>0</v>
      </c>
      <c r="E27" s="488">
        <v>2</v>
      </c>
      <c r="F27" s="658">
        <v>779</v>
      </c>
      <c r="G27" s="488">
        <v>2</v>
      </c>
      <c r="H27" s="658">
        <v>779</v>
      </c>
      <c r="I27" s="488">
        <v>2</v>
      </c>
      <c r="J27" s="658">
        <v>315</v>
      </c>
      <c r="K27" s="490"/>
      <c r="L27" s="490"/>
      <c r="M27" s="490"/>
      <c r="N27" s="495">
        <f t="shared" si="9"/>
        <v>0</v>
      </c>
      <c r="O27" s="495">
        <f t="shared" si="10"/>
        <v>0</v>
      </c>
      <c r="P27" s="495">
        <f t="shared" si="11"/>
        <v>0</v>
      </c>
      <c r="Q27" s="496">
        <f>'1.0-Contractblad'!$L$137</f>
        <v>0</v>
      </c>
      <c r="R27" s="607">
        <f>IF(K27=0,0,N27*Q27)</f>
        <v>0</v>
      </c>
      <c r="S27" s="607">
        <f>IF(L27=0,0,O27*Q27)</f>
        <v>0</v>
      </c>
      <c r="T27" s="607">
        <f>IF(M27=0,0,P27*Q27)</f>
        <v>0</v>
      </c>
      <c r="U27" s="498"/>
      <c r="V27" s="499">
        <f>IF(F27=0,0,R27/E27/F27)</f>
        <v>0</v>
      </c>
      <c r="W27" s="499">
        <f>IF(H27=0,0,S27/G27/H27)</f>
        <v>0</v>
      </c>
      <c r="X27" s="500">
        <f>IF(J27=0,0,T27/I27/J27)</f>
        <v>0</v>
      </c>
      <c r="Y27" s="501">
        <f t="shared" si="8"/>
        <v>0</v>
      </c>
      <c r="Z27" s="608">
        <f t="shared" si="13"/>
        <v>0</v>
      </c>
    </row>
    <row r="28" spans="2:26" hidden="1">
      <c r="B28" s="302">
        <f>'1.1a-Jaarprijzen'!B23</f>
        <v>0</v>
      </c>
      <c r="C28" s="302" t="s">
        <v>345</v>
      </c>
      <c r="D28" s="445">
        <f>'1.1a-Jaarprijzen'!C23</f>
        <v>0</v>
      </c>
      <c r="E28" s="488">
        <v>2</v>
      </c>
      <c r="F28" s="658">
        <v>285.16199999999998</v>
      </c>
      <c r="G28" s="488">
        <v>2</v>
      </c>
      <c r="H28" s="658">
        <v>285.16199999999998</v>
      </c>
      <c r="I28" s="488">
        <v>2</v>
      </c>
      <c r="J28" s="658">
        <v>190.88</v>
      </c>
      <c r="K28" s="490"/>
      <c r="L28" s="490"/>
      <c r="M28" s="490"/>
      <c r="N28" s="495">
        <f t="shared" si="9"/>
        <v>0</v>
      </c>
      <c r="O28" s="495">
        <f t="shared" si="10"/>
        <v>0</v>
      </c>
      <c r="P28" s="495">
        <f t="shared" si="11"/>
        <v>0</v>
      </c>
      <c r="Q28" s="496">
        <f>'1.0-Contractblad'!$L$137</f>
        <v>0</v>
      </c>
      <c r="R28" s="607">
        <f>IF(K28=0,0,N28*Q28)</f>
        <v>0</v>
      </c>
      <c r="S28" s="607">
        <f>IF(L28=0,0,O28*Q28)</f>
        <v>0</v>
      </c>
      <c r="T28" s="607">
        <f>IF(M28=0,0,P28*Q28)</f>
        <v>0</v>
      </c>
      <c r="U28" s="498"/>
      <c r="V28" s="499">
        <f>IF(F28=0,0,R28/E28/F28)</f>
        <v>0</v>
      </c>
      <c r="W28" s="499">
        <f>IF(H28=0,0,S28/G28/H28)</f>
        <v>0</v>
      </c>
      <c r="X28" s="500">
        <f>IF(J28=0,0,T28/I28/J28)</f>
        <v>0</v>
      </c>
      <c r="Y28" s="501">
        <f t="shared" si="8"/>
        <v>0</v>
      </c>
      <c r="Z28" s="608">
        <f t="shared" si="13"/>
        <v>0</v>
      </c>
    </row>
    <row r="29" spans="2:26" hidden="1">
      <c r="B29" s="302">
        <f>'1.1a-Jaarprijzen'!B24</f>
        <v>0</v>
      </c>
      <c r="C29" s="302" t="s">
        <v>345</v>
      </c>
      <c r="D29" s="445">
        <f>'1.1a-Jaarprijzen'!C24</f>
        <v>0</v>
      </c>
      <c r="E29" s="488">
        <v>2</v>
      </c>
      <c r="F29" s="658">
        <v>150.19999999999999</v>
      </c>
      <c r="G29" s="488">
        <v>2</v>
      </c>
      <c r="H29" s="658">
        <v>150.19999999999999</v>
      </c>
      <c r="I29" s="488">
        <v>2</v>
      </c>
      <c r="J29" s="658">
        <v>119.7</v>
      </c>
      <c r="K29" s="490"/>
      <c r="L29" s="490"/>
      <c r="M29" s="490"/>
      <c r="N29" s="495">
        <f t="shared" si="9"/>
        <v>0</v>
      </c>
      <c r="O29" s="495">
        <f t="shared" si="10"/>
        <v>0</v>
      </c>
      <c r="P29" s="495">
        <f t="shared" si="11"/>
        <v>0</v>
      </c>
      <c r="Q29" s="496">
        <f>'1.0-Contractblad'!$L$137</f>
        <v>0</v>
      </c>
      <c r="R29" s="607">
        <f t="shared" ref="R29:R31" si="14">IF(K29=0,0,N29*Q29)</f>
        <v>0</v>
      </c>
      <c r="S29" s="607">
        <f t="shared" ref="S29:S31" si="15">IF(L29=0,0,O29*Q29)</f>
        <v>0</v>
      </c>
      <c r="T29" s="607">
        <f t="shared" ref="T29:T31" si="16">IF(M29=0,0,P29*Q29)</f>
        <v>0</v>
      </c>
      <c r="U29" s="498"/>
      <c r="V29" s="499">
        <f t="shared" ref="V29:V31" si="17">IF(F29=0,0,R29/E29/F29)</f>
        <v>0</v>
      </c>
      <c r="W29" s="499">
        <f t="shared" ref="W29:W31" si="18">IF(H29=0,0,S29/G29/H29)</f>
        <v>0</v>
      </c>
      <c r="X29" s="500">
        <f t="shared" ref="X29:X31" si="19">IF(J29=0,0,T29/I29/J29)</f>
        <v>0</v>
      </c>
      <c r="Y29" s="501">
        <f t="shared" si="8"/>
        <v>0</v>
      </c>
      <c r="Z29" s="608">
        <f t="shared" si="13"/>
        <v>0</v>
      </c>
    </row>
    <row r="30" spans="2:26" hidden="1">
      <c r="B30" s="302">
        <f>'1.1a-Jaarprijzen'!B25</f>
        <v>0</v>
      </c>
      <c r="C30" s="302" t="s">
        <v>345</v>
      </c>
      <c r="D30" s="445">
        <f>'1.1a-Jaarprijzen'!C25</f>
        <v>0</v>
      </c>
      <c r="E30" s="488">
        <v>2</v>
      </c>
      <c r="F30" s="658">
        <v>262.64</v>
      </c>
      <c r="G30" s="488">
        <v>2</v>
      </c>
      <c r="H30" s="658">
        <v>262.64</v>
      </c>
      <c r="I30" s="488">
        <v>2</v>
      </c>
      <c r="J30" s="658">
        <v>69.739999999999995</v>
      </c>
      <c r="K30" s="490"/>
      <c r="L30" s="490"/>
      <c r="M30" s="490"/>
      <c r="N30" s="495">
        <f t="shared" si="9"/>
        <v>0</v>
      </c>
      <c r="O30" s="495">
        <f t="shared" si="10"/>
        <v>0</v>
      </c>
      <c r="P30" s="495">
        <f t="shared" si="11"/>
        <v>0</v>
      </c>
      <c r="Q30" s="496">
        <f>'1.0-Contractblad'!$L$137</f>
        <v>0</v>
      </c>
      <c r="R30" s="607">
        <f t="shared" si="14"/>
        <v>0</v>
      </c>
      <c r="S30" s="607">
        <f t="shared" si="15"/>
        <v>0</v>
      </c>
      <c r="T30" s="607">
        <f t="shared" si="16"/>
        <v>0</v>
      </c>
      <c r="U30" s="498"/>
      <c r="V30" s="499">
        <f t="shared" si="17"/>
        <v>0</v>
      </c>
      <c r="W30" s="499">
        <f t="shared" si="18"/>
        <v>0</v>
      </c>
      <c r="X30" s="500">
        <f t="shared" si="19"/>
        <v>0</v>
      </c>
      <c r="Y30" s="501">
        <f t="shared" si="8"/>
        <v>0</v>
      </c>
      <c r="Z30" s="608">
        <f t="shared" si="13"/>
        <v>0</v>
      </c>
    </row>
    <row r="31" spans="2:26" hidden="1">
      <c r="B31" s="302">
        <f>'1.1a-Jaarprijzen'!B26</f>
        <v>0</v>
      </c>
      <c r="C31" s="302" t="s">
        <v>345</v>
      </c>
      <c r="D31" s="445">
        <f>'1.1a-Jaarprijzen'!C26</f>
        <v>0</v>
      </c>
      <c r="E31" s="488">
        <v>2</v>
      </c>
      <c r="F31" s="658">
        <v>212.9</v>
      </c>
      <c r="G31" s="488">
        <v>2</v>
      </c>
      <c r="H31" s="658">
        <v>212.9</v>
      </c>
      <c r="I31" s="488">
        <v>2</v>
      </c>
      <c r="J31" s="658">
        <v>39.9</v>
      </c>
      <c r="K31" s="490"/>
      <c r="L31" s="490"/>
      <c r="M31" s="490"/>
      <c r="N31" s="495">
        <f t="shared" si="9"/>
        <v>0</v>
      </c>
      <c r="O31" s="495">
        <f t="shared" si="10"/>
        <v>0</v>
      </c>
      <c r="P31" s="495">
        <f t="shared" si="11"/>
        <v>0</v>
      </c>
      <c r="Q31" s="496">
        <f>'1.0-Contractblad'!$L$137</f>
        <v>0</v>
      </c>
      <c r="R31" s="607">
        <f t="shared" si="14"/>
        <v>0</v>
      </c>
      <c r="S31" s="607">
        <f t="shared" si="15"/>
        <v>0</v>
      </c>
      <c r="T31" s="607">
        <f t="shared" si="16"/>
        <v>0</v>
      </c>
      <c r="U31" s="498"/>
      <c r="V31" s="499">
        <f t="shared" si="17"/>
        <v>0</v>
      </c>
      <c r="W31" s="499">
        <f t="shared" si="18"/>
        <v>0</v>
      </c>
      <c r="X31" s="500">
        <f t="shared" si="19"/>
        <v>0</v>
      </c>
      <c r="Y31" s="501">
        <f t="shared" si="8"/>
        <v>0</v>
      </c>
      <c r="Z31" s="608">
        <f t="shared" si="13"/>
        <v>0</v>
      </c>
    </row>
    <row r="32" spans="2:26" hidden="1">
      <c r="B32" s="302">
        <f>'1.1a-Jaarprijzen'!B27</f>
        <v>0</v>
      </c>
      <c r="C32" s="302"/>
      <c r="D32" s="445"/>
      <c r="E32" s="488"/>
      <c r="F32" s="445"/>
      <c r="G32" s="488"/>
      <c r="H32" s="445"/>
      <c r="I32" s="488"/>
      <c r="J32" s="489"/>
      <c r="K32" s="490"/>
      <c r="L32" s="490"/>
      <c r="M32" s="490"/>
      <c r="N32" s="495"/>
      <c r="O32" s="495"/>
      <c r="P32" s="495"/>
      <c r="Q32" s="496"/>
      <c r="R32" s="607"/>
      <c r="S32" s="607"/>
      <c r="T32" s="607"/>
      <c r="U32" s="498"/>
      <c r="V32" s="499"/>
      <c r="W32" s="499"/>
      <c r="X32" s="500"/>
      <c r="Y32" s="501"/>
      <c r="Z32" s="608"/>
    </row>
    <row r="33" spans="1:25">
      <c r="B33" s="215"/>
    </row>
    <row r="34" spans="1:25" ht="12.75" customHeight="1">
      <c r="B34" s="130" t="s">
        <v>68</v>
      </c>
      <c r="C34" s="150"/>
      <c r="D34" s="444"/>
      <c r="E34" s="444"/>
      <c r="F34" s="151"/>
    </row>
    <row r="35" spans="1:25" ht="12.75" customHeight="1">
      <c r="B35" s="152" t="s">
        <v>73</v>
      </c>
      <c r="C35" s="150"/>
      <c r="D35" s="444"/>
      <c r="E35" s="444"/>
      <c r="F35" s="151"/>
      <c r="H35" s="151"/>
      <c r="J35" s="151"/>
    </row>
    <row r="36" spans="1:25" ht="12.75" customHeight="1">
      <c r="B36" s="152" t="s">
        <v>123</v>
      </c>
      <c r="C36" s="150"/>
      <c r="D36" s="444"/>
      <c r="E36" s="444"/>
      <c r="F36" s="151"/>
    </row>
    <row r="37" spans="1:25" ht="12.75" customHeight="1"/>
    <row r="38" spans="1:25" ht="12.75" customHeight="1"/>
    <row r="39" spans="1:25" ht="12.75" customHeight="1"/>
    <row r="42" spans="1:25" s="503" customFormat="1">
      <c r="A42" s="702" t="s">
        <v>436</v>
      </c>
      <c r="B42" s="502"/>
      <c r="C42" s="502"/>
      <c r="D42" s="502"/>
      <c r="E42" s="502"/>
      <c r="F42" s="502"/>
      <c r="G42" s="502"/>
      <c r="H42" s="502"/>
      <c r="M42" s="504"/>
      <c r="N42" s="504"/>
      <c r="O42" s="504"/>
      <c r="X42" s="505"/>
      <c r="Y42" s="505"/>
    </row>
    <row r="43" spans="1:25" s="503" customFormat="1">
      <c r="A43" s="502"/>
      <c r="B43" s="502"/>
      <c r="C43" s="502"/>
      <c r="D43" s="502"/>
      <c r="E43" s="502"/>
      <c r="F43" s="502"/>
      <c r="G43" s="502"/>
      <c r="H43" s="502"/>
      <c r="I43" s="506"/>
      <c r="J43" s="506"/>
      <c r="K43" s="506"/>
      <c r="L43" s="506"/>
      <c r="M43" s="506"/>
      <c r="N43" s="506"/>
      <c r="O43" s="506"/>
      <c r="P43" s="506"/>
      <c r="Q43" s="506"/>
      <c r="R43" s="506"/>
      <c r="S43" s="506"/>
      <c r="T43" s="506"/>
    </row>
    <row r="44" spans="1:25" s="503" customFormat="1">
      <c r="A44" s="502"/>
      <c r="B44" s="502"/>
      <c r="C44" s="502"/>
      <c r="D44" s="502"/>
      <c r="E44" s="502"/>
      <c r="F44" s="502"/>
      <c r="G44" s="502"/>
      <c r="H44" s="502"/>
      <c r="I44" s="506"/>
      <c r="J44" s="506"/>
      <c r="K44" s="506"/>
      <c r="L44" s="506"/>
      <c r="M44" s="506"/>
      <c r="N44" s="506"/>
      <c r="O44" s="506"/>
      <c r="P44" s="506"/>
      <c r="Q44" s="506"/>
      <c r="R44" s="506"/>
      <c r="S44" s="506"/>
      <c r="T44" s="506"/>
    </row>
    <row r="45" spans="1:25" s="503" customFormat="1" ht="26">
      <c r="A45" s="502"/>
      <c r="B45" s="466" t="s">
        <v>41</v>
      </c>
      <c r="C45" s="447" t="s">
        <v>437</v>
      </c>
      <c r="D45" s="446" t="s">
        <v>332</v>
      </c>
      <c r="E45" s="507" t="s">
        <v>438</v>
      </c>
      <c r="F45" s="502" t="s">
        <v>439</v>
      </c>
      <c r="G45" s="502"/>
      <c r="H45" s="502"/>
      <c r="I45" s="506"/>
      <c r="J45" s="506"/>
      <c r="K45" s="506"/>
      <c r="L45" s="506"/>
      <c r="M45" s="506"/>
      <c r="N45" s="506"/>
      <c r="O45" s="506"/>
      <c r="P45" s="506"/>
      <c r="Q45" s="506"/>
      <c r="R45" s="506"/>
    </row>
    <row r="46" spans="1:25" s="503" customFormat="1">
      <c r="A46" s="502"/>
      <c r="B46" s="302" t="str">
        <f t="shared" ref="B46:B58" si="20">B16</f>
        <v>Stellingmolen 19-21</v>
      </c>
      <c r="C46" s="302" t="s">
        <v>440</v>
      </c>
      <c r="D46" s="488">
        <f t="shared" ref="D46:D58" si="21">E16</f>
        <v>2</v>
      </c>
      <c r="E46" s="518"/>
      <c r="F46" s="743"/>
      <c r="G46" s="743"/>
      <c r="H46" s="743"/>
      <c r="I46" s="743"/>
      <c r="J46" s="744"/>
      <c r="K46" s="506"/>
      <c r="L46" s="506"/>
      <c r="M46" s="506"/>
      <c r="N46" s="506"/>
      <c r="O46" s="506"/>
      <c r="P46" s="506"/>
      <c r="Q46" s="506"/>
      <c r="R46" s="506"/>
    </row>
    <row r="47" spans="1:25" s="503" customFormat="1">
      <c r="A47" s="502"/>
      <c r="B47" s="302" t="str">
        <f t="shared" si="20"/>
        <v>Gasinjetstraat 1-3</v>
      </c>
      <c r="C47" s="508" t="s">
        <v>440</v>
      </c>
      <c r="D47" s="488">
        <f t="shared" si="21"/>
        <v>2</v>
      </c>
      <c r="E47" s="518"/>
      <c r="F47" s="743"/>
      <c r="G47" s="743"/>
      <c r="H47" s="743"/>
      <c r="I47" s="743"/>
      <c r="J47" s="744"/>
      <c r="K47" s="506"/>
      <c r="L47" s="506"/>
      <c r="M47" s="506"/>
      <c r="N47" s="506"/>
      <c r="O47" s="506"/>
      <c r="P47" s="506"/>
      <c r="Q47" s="506"/>
      <c r="R47" s="506"/>
    </row>
    <row r="48" spans="1:25" s="503" customFormat="1">
      <c r="A48" s="502"/>
      <c r="B48" s="302" t="str">
        <f t="shared" si="20"/>
        <v>Hoefsmidhof 1-4</v>
      </c>
      <c r="C48" s="508" t="s">
        <v>440</v>
      </c>
      <c r="D48" s="488">
        <f t="shared" si="21"/>
        <v>2</v>
      </c>
      <c r="E48" s="518"/>
      <c r="F48" s="743"/>
      <c r="G48" s="743"/>
      <c r="H48" s="743"/>
      <c r="I48" s="743"/>
      <c r="J48" s="744"/>
      <c r="K48" s="506"/>
      <c r="L48" s="506"/>
      <c r="M48" s="506"/>
      <c r="N48" s="506"/>
      <c r="O48" s="506"/>
      <c r="P48" s="506"/>
      <c r="Q48" s="506"/>
      <c r="R48" s="506"/>
    </row>
    <row r="49" spans="1:18" s="503" customFormat="1">
      <c r="A49" s="502"/>
      <c r="B49" s="302" t="str">
        <f t="shared" si="20"/>
        <v>Karekietpark 28</v>
      </c>
      <c r="C49" s="509" t="s">
        <v>440</v>
      </c>
      <c r="D49" s="488">
        <f t="shared" si="21"/>
        <v>2</v>
      </c>
      <c r="E49" s="518"/>
      <c r="F49" s="743"/>
      <c r="G49" s="743"/>
      <c r="H49" s="743"/>
      <c r="I49" s="743"/>
      <c r="J49" s="744"/>
      <c r="K49" s="506"/>
      <c r="L49" s="506"/>
      <c r="M49" s="506"/>
      <c r="N49" s="506"/>
      <c r="O49" s="506"/>
      <c r="P49" s="506"/>
      <c r="Q49" s="506"/>
      <c r="R49" s="506"/>
    </row>
    <row r="50" spans="1:18" s="503" customFormat="1" ht="51" hidden="1" customHeight="1">
      <c r="A50" s="502"/>
      <c r="B50" s="668">
        <f t="shared" si="20"/>
        <v>0</v>
      </c>
      <c r="C50" s="669" t="s">
        <v>440</v>
      </c>
      <c r="D50" s="670">
        <f t="shared" si="21"/>
        <v>2</v>
      </c>
      <c r="E50" s="671"/>
      <c r="F50" s="742"/>
      <c r="G50" s="743"/>
      <c r="H50" s="743"/>
      <c r="I50" s="743"/>
      <c r="J50" s="744"/>
      <c r="K50" s="506"/>
      <c r="L50" s="506"/>
      <c r="M50" s="506"/>
      <c r="N50" s="506"/>
      <c r="O50" s="506"/>
      <c r="P50" s="506"/>
      <c r="Q50" s="506"/>
      <c r="R50" s="506"/>
    </row>
    <row r="51" spans="1:18" hidden="1">
      <c r="B51" s="302">
        <f t="shared" si="20"/>
        <v>0</v>
      </c>
      <c r="C51" s="508" t="s">
        <v>440</v>
      </c>
      <c r="D51" s="488">
        <f t="shared" si="21"/>
        <v>2</v>
      </c>
      <c r="E51" s="547"/>
      <c r="F51" s="742"/>
      <c r="G51" s="743"/>
      <c r="H51" s="743"/>
      <c r="I51" s="743"/>
      <c r="J51" s="744"/>
      <c r="K51" s="506"/>
      <c r="L51" s="506"/>
    </row>
    <row r="52" spans="1:18" hidden="1">
      <c r="B52" s="302">
        <f t="shared" si="20"/>
        <v>0</v>
      </c>
      <c r="C52" s="508" t="s">
        <v>440</v>
      </c>
      <c r="D52" s="488">
        <f t="shared" si="21"/>
        <v>2</v>
      </c>
      <c r="E52" s="547"/>
      <c r="F52" s="742"/>
      <c r="G52" s="743"/>
      <c r="H52" s="743"/>
      <c r="I52" s="743"/>
      <c r="J52" s="744"/>
      <c r="K52" s="506"/>
      <c r="L52" s="506"/>
    </row>
    <row r="53" spans="1:18" hidden="1">
      <c r="B53" s="302">
        <f t="shared" si="20"/>
        <v>0</v>
      </c>
      <c r="C53" s="508" t="s">
        <v>440</v>
      </c>
      <c r="D53" s="488">
        <f t="shared" si="21"/>
        <v>2</v>
      </c>
      <c r="E53" s="547"/>
      <c r="F53" s="742"/>
      <c r="G53" s="743"/>
      <c r="H53" s="743"/>
      <c r="I53" s="743"/>
      <c r="J53" s="744"/>
      <c r="K53" s="506"/>
      <c r="L53" s="506"/>
    </row>
    <row r="54" spans="1:18" hidden="1">
      <c r="B54" s="302">
        <f t="shared" si="20"/>
        <v>0</v>
      </c>
      <c r="C54" s="508" t="s">
        <v>440</v>
      </c>
      <c r="D54" s="488">
        <f t="shared" si="21"/>
        <v>2</v>
      </c>
      <c r="E54" s="547"/>
      <c r="F54" s="742"/>
      <c r="G54" s="743"/>
      <c r="H54" s="743"/>
      <c r="I54" s="743"/>
      <c r="J54" s="744"/>
      <c r="K54" s="506"/>
      <c r="L54" s="506"/>
    </row>
    <row r="55" spans="1:18" hidden="1">
      <c r="B55" s="302">
        <f t="shared" si="20"/>
        <v>0</v>
      </c>
      <c r="C55" s="508" t="s">
        <v>440</v>
      </c>
      <c r="D55" s="488">
        <f t="shared" si="21"/>
        <v>2</v>
      </c>
      <c r="E55" s="547"/>
      <c r="F55" s="742"/>
      <c r="G55" s="743"/>
      <c r="H55" s="743"/>
      <c r="I55" s="743"/>
      <c r="J55" s="744"/>
      <c r="K55" s="506"/>
      <c r="L55" s="506"/>
    </row>
    <row r="56" spans="1:18" hidden="1">
      <c r="B56" s="302">
        <f t="shared" si="20"/>
        <v>0</v>
      </c>
      <c r="C56" s="508" t="s">
        <v>440</v>
      </c>
      <c r="D56" s="488">
        <f t="shared" si="21"/>
        <v>2</v>
      </c>
      <c r="E56" s="547"/>
      <c r="F56" s="742"/>
      <c r="G56" s="743"/>
      <c r="H56" s="743"/>
      <c r="I56" s="743"/>
      <c r="J56" s="744"/>
      <c r="K56" s="506"/>
      <c r="L56" s="506"/>
    </row>
    <row r="57" spans="1:18" hidden="1">
      <c r="B57" s="302">
        <f t="shared" si="20"/>
        <v>0</v>
      </c>
      <c r="C57" s="508" t="s">
        <v>440</v>
      </c>
      <c r="D57" s="488">
        <f t="shared" si="21"/>
        <v>2</v>
      </c>
      <c r="E57" s="547"/>
      <c r="F57" s="742"/>
      <c r="G57" s="743"/>
      <c r="H57" s="743"/>
      <c r="I57" s="743"/>
      <c r="J57" s="744"/>
      <c r="K57" s="506"/>
      <c r="L57" s="506"/>
    </row>
    <row r="58" spans="1:18" hidden="1">
      <c r="B58" s="302">
        <f t="shared" si="20"/>
        <v>0</v>
      </c>
      <c r="C58" s="508" t="s">
        <v>440</v>
      </c>
      <c r="D58" s="488">
        <f t="shared" si="21"/>
        <v>2</v>
      </c>
      <c r="E58" s="547"/>
      <c r="F58" s="742"/>
      <c r="G58" s="743"/>
      <c r="H58" s="743"/>
      <c r="I58" s="743"/>
      <c r="J58" s="744"/>
      <c r="K58" s="506"/>
      <c r="L58" s="506"/>
    </row>
    <row r="59" spans="1:18" hidden="1">
      <c r="B59" s="302">
        <f t="shared" ref="B59:B62" si="22">B29</f>
        <v>0</v>
      </c>
      <c r="C59" s="508" t="s">
        <v>440</v>
      </c>
      <c r="D59" s="488">
        <f t="shared" ref="D59:D62" si="23">E29</f>
        <v>2</v>
      </c>
      <c r="E59" s="547"/>
      <c r="F59" s="742"/>
      <c r="G59" s="743"/>
      <c r="H59" s="743"/>
      <c r="I59" s="743"/>
      <c r="J59" s="744"/>
      <c r="K59" s="506"/>
      <c r="L59" s="506"/>
    </row>
    <row r="60" spans="1:18" hidden="1">
      <c r="B60" s="302">
        <f t="shared" si="22"/>
        <v>0</v>
      </c>
      <c r="C60" s="508" t="s">
        <v>440</v>
      </c>
      <c r="D60" s="488">
        <f t="shared" si="23"/>
        <v>2</v>
      </c>
      <c r="E60" s="547"/>
      <c r="F60" s="742"/>
      <c r="G60" s="743"/>
      <c r="H60" s="743"/>
      <c r="I60" s="743"/>
      <c r="J60" s="744"/>
      <c r="K60" s="506"/>
      <c r="L60" s="506"/>
    </row>
    <row r="61" spans="1:18" hidden="1">
      <c r="B61" s="302">
        <f t="shared" si="22"/>
        <v>0</v>
      </c>
      <c r="C61" s="508" t="s">
        <v>440</v>
      </c>
      <c r="D61" s="488">
        <f t="shared" si="23"/>
        <v>2</v>
      </c>
      <c r="E61" s="547"/>
      <c r="F61" s="742"/>
      <c r="G61" s="743"/>
      <c r="H61" s="743"/>
      <c r="I61" s="743"/>
      <c r="J61" s="744"/>
      <c r="K61" s="506"/>
      <c r="L61" s="506"/>
    </row>
    <row r="62" spans="1:18" hidden="1">
      <c r="B62" s="302">
        <f t="shared" si="22"/>
        <v>0</v>
      </c>
      <c r="C62" s="508" t="s">
        <v>440</v>
      </c>
      <c r="D62" s="488">
        <f t="shared" si="23"/>
        <v>0</v>
      </c>
      <c r="E62" s="547"/>
      <c r="F62" s="742"/>
      <c r="G62" s="743"/>
      <c r="H62" s="743"/>
      <c r="I62" s="743"/>
      <c r="J62" s="744"/>
      <c r="K62" s="506"/>
      <c r="L62" s="506"/>
    </row>
    <row r="63" spans="1:18">
      <c r="B63" s="215"/>
      <c r="C63" s="147"/>
      <c r="D63" s="515"/>
      <c r="E63" s="516"/>
      <c r="F63" s="517"/>
      <c r="G63" s="517"/>
      <c r="H63" s="517"/>
      <c r="I63" s="517"/>
      <c r="J63" s="517"/>
      <c r="K63" s="506"/>
      <c r="L63" s="506"/>
    </row>
    <row r="64" spans="1:18">
      <c r="B64" s="215"/>
      <c r="C64" s="147"/>
      <c r="D64" s="515"/>
      <c r="E64" s="516"/>
      <c r="F64" s="517"/>
      <c r="G64" s="517"/>
      <c r="H64" s="517"/>
      <c r="I64" s="517"/>
      <c r="J64" s="517"/>
      <c r="K64" s="506"/>
      <c r="L64" s="506"/>
    </row>
    <row r="65" spans="2:12">
      <c r="B65" s="215"/>
      <c r="C65" s="147"/>
      <c r="D65" s="515"/>
      <c r="E65" s="516"/>
      <c r="F65" s="517"/>
      <c r="G65" s="517"/>
      <c r="H65" s="517"/>
      <c r="I65" s="517"/>
      <c r="J65" s="517"/>
      <c r="K65" s="506"/>
      <c r="L65" s="506"/>
    </row>
    <row r="66" spans="2:12">
      <c r="B66" s="215"/>
      <c r="C66" s="147"/>
      <c r="D66" s="515"/>
      <c r="E66" s="516"/>
      <c r="F66" s="517"/>
      <c r="G66" s="517"/>
      <c r="H66" s="517"/>
      <c r="I66" s="517"/>
      <c r="J66" s="517"/>
      <c r="K66" s="506"/>
      <c r="L66" s="506"/>
    </row>
    <row r="67" spans="2:12">
      <c r="B67" s="215"/>
      <c r="C67" s="147"/>
      <c r="D67" s="515"/>
      <c r="E67" s="672"/>
      <c r="F67" s="672"/>
      <c r="G67" s="517"/>
      <c r="H67" s="517"/>
      <c r="I67" s="517"/>
      <c r="J67" s="517"/>
      <c r="K67" s="506"/>
      <c r="L67" s="506"/>
    </row>
    <row r="68" spans="2:12">
      <c r="B68" s="215"/>
      <c r="C68" s="147"/>
      <c r="D68" s="515"/>
      <c r="E68" s="672"/>
      <c r="F68" s="672"/>
      <c r="G68" s="517"/>
      <c r="H68" s="517"/>
      <c r="I68" s="517"/>
      <c r="J68" s="517"/>
      <c r="K68" s="506"/>
      <c r="L68" s="506"/>
    </row>
    <row r="69" spans="2:12">
      <c r="B69" s="215"/>
      <c r="C69" s="147"/>
      <c r="D69" s="515"/>
      <c r="E69" s="672"/>
      <c r="F69" s="672"/>
      <c r="G69" s="517"/>
      <c r="H69" s="517"/>
      <c r="I69" s="517"/>
      <c r="J69" s="517"/>
      <c r="K69" s="506"/>
      <c r="L69" s="506"/>
    </row>
    <row r="70" spans="2:12">
      <c r="B70" s="215"/>
      <c r="C70" s="147"/>
      <c r="D70" s="515"/>
      <c r="E70" s="672"/>
      <c r="F70" s="672"/>
      <c r="G70" s="517"/>
      <c r="H70" s="517"/>
      <c r="I70" s="517"/>
      <c r="J70" s="517"/>
      <c r="K70" s="506"/>
      <c r="L70" s="506"/>
    </row>
    <row r="71" spans="2:12">
      <c r="B71" s="215"/>
      <c r="C71" s="147"/>
      <c r="D71" s="515"/>
      <c r="E71" s="516"/>
      <c r="F71" s="517"/>
      <c r="G71" s="517"/>
      <c r="H71" s="517"/>
      <c r="I71" s="517"/>
      <c r="J71" s="517"/>
      <c r="K71" s="506"/>
      <c r="L71" s="506"/>
    </row>
    <row r="72" spans="2:12">
      <c r="B72" s="215"/>
      <c r="C72" s="147"/>
      <c r="D72" s="515"/>
      <c r="E72" s="516"/>
      <c r="F72" s="517"/>
      <c r="G72" s="517"/>
      <c r="H72" s="517"/>
      <c r="I72" s="517"/>
      <c r="J72" s="517"/>
      <c r="K72" s="506"/>
      <c r="L72" s="506"/>
    </row>
    <row r="73" spans="2:12">
      <c r="B73" s="215"/>
      <c r="C73" s="147"/>
      <c r="D73" s="515"/>
      <c r="E73" s="516"/>
      <c r="F73" s="517"/>
      <c r="G73" s="517"/>
      <c r="H73" s="517"/>
      <c r="I73" s="517"/>
      <c r="J73" s="517"/>
      <c r="K73" s="506"/>
      <c r="L73" s="506"/>
    </row>
    <row r="74" spans="2:12">
      <c r="B74" s="215"/>
      <c r="C74" s="147"/>
      <c r="D74" s="515"/>
      <c r="E74" s="516"/>
      <c r="F74" s="517"/>
      <c r="G74" s="517"/>
      <c r="H74" s="517"/>
      <c r="I74" s="517"/>
      <c r="J74" s="517"/>
      <c r="K74" s="506"/>
      <c r="L74" s="506"/>
    </row>
    <row r="75" spans="2:12">
      <c r="B75" s="215"/>
      <c r="C75" s="147"/>
      <c r="D75" s="515"/>
      <c r="E75" s="516"/>
      <c r="F75" s="517"/>
      <c r="G75" s="517"/>
      <c r="H75" s="517"/>
      <c r="I75" s="517"/>
      <c r="J75" s="517"/>
      <c r="K75" s="506"/>
      <c r="L75" s="506"/>
    </row>
    <row r="76" spans="2:12">
      <c r="B76" s="215"/>
      <c r="C76" s="147"/>
      <c r="D76" s="515"/>
      <c r="E76" s="516"/>
      <c r="F76" s="517"/>
      <c r="G76" s="517"/>
      <c r="H76" s="517"/>
      <c r="I76" s="517"/>
      <c r="J76" s="517"/>
      <c r="K76" s="506"/>
      <c r="L76" s="506"/>
    </row>
    <row r="77" spans="2:12">
      <c r="B77" s="215"/>
      <c r="C77" s="147"/>
      <c r="D77" s="515"/>
      <c r="E77" s="516"/>
      <c r="F77" s="517"/>
      <c r="G77" s="517"/>
      <c r="H77" s="517"/>
      <c r="I77" s="517"/>
      <c r="J77" s="517"/>
      <c r="K77" s="506"/>
      <c r="L77" s="506"/>
    </row>
    <row r="78" spans="2:12">
      <c r="B78" s="215"/>
      <c r="C78" s="147"/>
      <c r="D78" s="515"/>
      <c r="E78" s="516"/>
      <c r="F78" s="517"/>
      <c r="G78" s="517"/>
      <c r="H78" s="517"/>
      <c r="I78" s="517"/>
      <c r="J78" s="517"/>
      <c r="K78" s="506"/>
      <c r="L78" s="506"/>
    </row>
    <row r="79" spans="2:12">
      <c r="B79" s="215"/>
      <c r="C79" s="147"/>
      <c r="D79" s="515"/>
      <c r="E79" s="516"/>
      <c r="F79" s="517"/>
      <c r="G79" s="517"/>
      <c r="H79" s="517"/>
      <c r="I79" s="517"/>
      <c r="J79" s="517"/>
      <c r="K79" s="506"/>
      <c r="L79" s="506"/>
    </row>
    <row r="80" spans="2:12">
      <c r="B80" s="215"/>
      <c r="C80" s="147"/>
      <c r="D80" s="515"/>
      <c r="E80" s="516"/>
      <c r="F80" s="517"/>
      <c r="G80" s="517"/>
      <c r="H80" s="517"/>
      <c r="I80" s="517"/>
      <c r="J80" s="517"/>
      <c r="K80" s="506"/>
      <c r="L80" s="506"/>
    </row>
    <row r="81" spans="2:12">
      <c r="B81" s="215"/>
      <c r="C81" s="147"/>
      <c r="D81" s="515"/>
      <c r="E81" s="516"/>
      <c r="F81" s="517"/>
      <c r="G81" s="517"/>
      <c r="H81" s="517"/>
      <c r="I81" s="517"/>
      <c r="J81" s="517"/>
      <c r="K81" s="506"/>
      <c r="L81" s="506"/>
    </row>
    <row r="82" spans="2:12">
      <c r="B82" s="215"/>
      <c r="C82" s="147"/>
      <c r="D82" s="515"/>
      <c r="E82" s="516"/>
      <c r="F82" s="517"/>
      <c r="G82" s="517"/>
      <c r="H82" s="517"/>
      <c r="I82" s="517"/>
      <c r="J82" s="517"/>
      <c r="K82" s="506"/>
      <c r="L82" s="506"/>
    </row>
    <row r="83" spans="2:12">
      <c r="B83" s="215"/>
      <c r="C83" s="147"/>
      <c r="D83" s="515"/>
      <c r="E83" s="516"/>
      <c r="F83" s="517"/>
      <c r="G83" s="517"/>
      <c r="H83" s="517"/>
      <c r="I83" s="517"/>
      <c r="J83" s="517"/>
      <c r="K83" s="506"/>
      <c r="L83" s="506"/>
    </row>
    <row r="84" spans="2:12">
      <c r="B84" s="215"/>
      <c r="C84" s="147"/>
      <c r="D84" s="515"/>
      <c r="E84" s="516"/>
      <c r="F84" s="517"/>
      <c r="G84" s="517"/>
      <c r="H84" s="517"/>
      <c r="I84" s="517"/>
      <c r="J84" s="517"/>
      <c r="K84" s="506"/>
      <c r="L84" s="506"/>
    </row>
    <row r="85" spans="2:12">
      <c r="B85" s="215"/>
      <c r="C85" s="147"/>
      <c r="D85" s="515"/>
      <c r="E85" s="516"/>
      <c r="F85" s="517"/>
      <c r="G85" s="517"/>
      <c r="H85" s="517"/>
      <c r="I85" s="517"/>
      <c r="J85" s="517"/>
      <c r="K85" s="506"/>
      <c r="L85" s="506"/>
    </row>
    <row r="86" spans="2:12">
      <c r="B86" s="215"/>
      <c r="C86" s="147"/>
      <c r="D86" s="515"/>
      <c r="E86" s="516"/>
      <c r="F86" s="517"/>
      <c r="G86" s="517"/>
      <c r="H86" s="517"/>
      <c r="I86" s="517"/>
      <c r="J86" s="517"/>
      <c r="K86" s="506"/>
      <c r="L86" s="506"/>
    </row>
    <row r="87" spans="2:12">
      <c r="B87" s="215"/>
      <c r="C87" s="147"/>
      <c r="D87" s="515"/>
      <c r="E87" s="516"/>
      <c r="F87" s="517"/>
      <c r="G87" s="517"/>
      <c r="H87" s="517"/>
      <c r="I87" s="517"/>
      <c r="J87" s="517"/>
      <c r="K87" s="506"/>
      <c r="L87" s="506"/>
    </row>
    <row r="88" spans="2:12">
      <c r="B88" s="215"/>
      <c r="C88" s="147"/>
      <c r="D88" s="515"/>
      <c r="E88" s="516"/>
      <c r="F88" s="517"/>
      <c r="G88" s="517"/>
      <c r="H88" s="517"/>
      <c r="I88" s="517"/>
      <c r="J88" s="517"/>
      <c r="K88" s="506"/>
      <c r="L88" s="506"/>
    </row>
    <row r="89" spans="2:12">
      <c r="B89" s="215"/>
      <c r="C89" s="147"/>
      <c r="D89" s="515"/>
      <c r="E89" s="516"/>
      <c r="F89" s="517"/>
      <c r="G89" s="517"/>
      <c r="H89" s="517"/>
      <c r="I89" s="517"/>
      <c r="J89" s="517"/>
      <c r="K89" s="506"/>
      <c r="L89" s="506"/>
    </row>
    <row r="90" spans="2:12">
      <c r="B90" s="215"/>
      <c r="C90" s="147"/>
      <c r="D90" s="515"/>
      <c r="E90" s="516"/>
      <c r="F90" s="517"/>
      <c r="G90" s="517"/>
      <c r="H90" s="517"/>
      <c r="I90" s="517"/>
      <c r="J90" s="517"/>
      <c r="K90" s="506"/>
      <c r="L90" s="506"/>
    </row>
    <row r="91" spans="2:12">
      <c r="B91" s="215"/>
      <c r="C91" s="147"/>
      <c r="D91" s="515"/>
      <c r="E91" s="516"/>
      <c r="F91" s="517"/>
      <c r="G91" s="517"/>
      <c r="H91" s="517"/>
      <c r="I91" s="517"/>
      <c r="J91" s="517"/>
      <c r="K91" s="506"/>
      <c r="L91" s="506"/>
    </row>
    <row r="92" spans="2:12">
      <c r="B92" s="215"/>
      <c r="C92" s="147"/>
      <c r="D92" s="515"/>
      <c r="E92" s="516"/>
      <c r="F92" s="517"/>
      <c r="G92" s="517"/>
      <c r="H92" s="517"/>
      <c r="I92" s="517"/>
      <c r="J92" s="517"/>
      <c r="K92" s="506"/>
      <c r="L92" s="506"/>
    </row>
    <row r="93" spans="2:12">
      <c r="B93" s="215"/>
      <c r="C93" s="147"/>
      <c r="D93" s="515"/>
      <c r="E93" s="516"/>
      <c r="F93" s="517"/>
      <c r="G93" s="517"/>
      <c r="H93" s="517"/>
      <c r="I93" s="517"/>
      <c r="J93" s="517"/>
      <c r="K93" s="506"/>
      <c r="L93" s="506"/>
    </row>
    <row r="94" spans="2:12">
      <c r="B94" s="215"/>
      <c r="C94" s="147"/>
      <c r="D94" s="515"/>
      <c r="E94" s="516"/>
      <c r="F94" s="517"/>
      <c r="G94" s="517"/>
      <c r="H94" s="517"/>
      <c r="I94" s="517"/>
      <c r="J94" s="517"/>
      <c r="K94" s="506"/>
      <c r="L94" s="506"/>
    </row>
    <row r="95" spans="2:12">
      <c r="B95" s="215"/>
      <c r="C95" s="147"/>
      <c r="D95" s="515"/>
      <c r="E95" s="516"/>
      <c r="F95" s="517"/>
      <c r="G95" s="517"/>
      <c r="H95" s="517"/>
      <c r="I95" s="517"/>
      <c r="J95" s="517"/>
      <c r="K95" s="506"/>
      <c r="L95" s="506"/>
    </row>
    <row r="96" spans="2:12">
      <c r="B96" s="215"/>
      <c r="C96" s="147"/>
      <c r="D96" s="515"/>
      <c r="E96" s="516"/>
      <c r="F96" s="517"/>
      <c r="G96" s="517"/>
      <c r="H96" s="517"/>
      <c r="I96" s="517"/>
      <c r="J96" s="517"/>
      <c r="K96" s="506"/>
      <c r="L96" s="506"/>
    </row>
    <row r="97" spans="2:12">
      <c r="B97" s="215"/>
      <c r="C97" s="147"/>
      <c r="D97" s="515"/>
      <c r="E97" s="516"/>
      <c r="F97" s="517"/>
      <c r="G97" s="517"/>
      <c r="H97" s="517"/>
      <c r="I97" s="517"/>
      <c r="J97" s="517"/>
      <c r="K97" s="506"/>
      <c r="L97" s="506"/>
    </row>
    <row r="98" spans="2:12">
      <c r="B98" s="215"/>
      <c r="C98" s="147"/>
      <c r="D98" s="515"/>
      <c r="E98" s="516"/>
      <c r="F98" s="517"/>
      <c r="G98" s="517"/>
      <c r="H98" s="517"/>
      <c r="I98" s="517"/>
      <c r="J98" s="517"/>
      <c r="K98" s="506"/>
      <c r="L98" s="506"/>
    </row>
    <row r="99" spans="2:12">
      <c r="B99" s="215"/>
      <c r="C99" s="147"/>
      <c r="D99" s="515"/>
      <c r="E99" s="516"/>
      <c r="F99" s="517"/>
      <c r="G99" s="517"/>
      <c r="H99" s="517"/>
      <c r="I99" s="517"/>
      <c r="J99" s="517"/>
      <c r="K99" s="506"/>
      <c r="L99" s="506"/>
    </row>
    <row r="100" spans="2:12">
      <c r="B100" s="215"/>
      <c r="C100" s="147"/>
      <c r="D100" s="515"/>
      <c r="E100" s="516"/>
      <c r="F100" s="517"/>
      <c r="G100" s="517"/>
      <c r="H100" s="517"/>
      <c r="I100" s="517"/>
      <c r="J100" s="517"/>
      <c r="K100" s="506"/>
      <c r="L100" s="506"/>
    </row>
    <row r="101" spans="2:12">
      <c r="B101" s="215"/>
      <c r="C101" s="147"/>
      <c r="D101" s="515"/>
      <c r="E101" s="516"/>
      <c r="F101" s="517"/>
      <c r="G101" s="517"/>
      <c r="H101" s="517"/>
      <c r="I101" s="517"/>
      <c r="J101" s="517"/>
      <c r="K101" s="506"/>
      <c r="L101" s="506"/>
    </row>
    <row r="102" spans="2:12">
      <c r="B102" s="215"/>
      <c r="C102" s="147"/>
      <c r="D102" s="515"/>
      <c r="E102" s="516"/>
      <c r="F102" s="517"/>
      <c r="G102" s="517"/>
      <c r="H102" s="517"/>
      <c r="I102" s="517"/>
      <c r="J102" s="517"/>
      <c r="K102" s="506"/>
      <c r="L102" s="506"/>
    </row>
    <row r="103" spans="2:12">
      <c r="B103" s="215"/>
      <c r="C103" s="147"/>
      <c r="D103" s="515"/>
      <c r="E103" s="516"/>
      <c r="F103" s="517"/>
      <c r="G103" s="517"/>
      <c r="H103" s="517"/>
      <c r="I103" s="517"/>
      <c r="J103" s="517"/>
      <c r="K103" s="506"/>
      <c r="L103" s="506"/>
    </row>
    <row r="104" spans="2:12">
      <c r="B104" s="215"/>
      <c r="C104" s="147"/>
      <c r="D104" s="515"/>
      <c r="E104" s="516"/>
      <c r="F104" s="517"/>
      <c r="G104" s="517"/>
      <c r="H104" s="517"/>
      <c r="I104" s="517"/>
      <c r="J104" s="517"/>
      <c r="K104" s="506"/>
      <c r="L104" s="506"/>
    </row>
    <row r="105" spans="2:12">
      <c r="B105" s="215"/>
      <c r="C105" s="147"/>
      <c r="D105" s="515"/>
      <c r="E105" s="516"/>
      <c r="F105" s="517"/>
      <c r="G105" s="517"/>
      <c r="H105" s="517"/>
      <c r="I105" s="517"/>
      <c r="J105" s="517"/>
      <c r="K105" s="506"/>
      <c r="L105" s="506"/>
    </row>
    <row r="106" spans="2:12" ht="16">
      <c r="B106" s="130" t="s">
        <v>68</v>
      </c>
    </row>
    <row r="107" spans="2:12">
      <c r="B107" s="152" t="s">
        <v>73</v>
      </c>
    </row>
    <row r="108" spans="2:12">
      <c r="B108" s="152" t="s">
        <v>123</v>
      </c>
    </row>
    <row r="111" spans="2:12">
      <c r="B111" s="510"/>
      <c r="C111" s="510"/>
      <c r="D111" s="510"/>
      <c r="E111" s="511"/>
      <c r="F111" s="511"/>
      <c r="G111" s="511"/>
      <c r="H111" s="511"/>
      <c r="I111" s="511"/>
      <c r="J111" s="511"/>
      <c r="K111" s="511"/>
    </row>
    <row r="112" spans="2:12">
      <c r="B112" s="511" t="s">
        <v>23</v>
      </c>
      <c r="C112" s="511"/>
      <c r="D112" s="512"/>
      <c r="E112" s="513"/>
      <c r="F112" s="513"/>
      <c r="G112" s="513"/>
      <c r="H112" s="513"/>
      <c r="I112" s="513"/>
      <c r="J112" s="513"/>
      <c r="K112" s="513"/>
    </row>
    <row r="113" spans="2:9">
      <c r="B113" s="514" t="s">
        <v>441</v>
      </c>
      <c r="C113" s="739" t="s">
        <v>442</v>
      </c>
      <c r="D113" s="739"/>
      <c r="E113" s="739"/>
      <c r="F113" s="739"/>
      <c r="G113" s="739"/>
      <c r="H113" s="739"/>
      <c r="I113" s="739"/>
    </row>
    <row r="114" spans="2:9">
      <c r="B114" s="514"/>
      <c r="C114" s="739"/>
      <c r="D114" s="739"/>
      <c r="E114" s="739"/>
      <c r="F114" s="739"/>
      <c r="G114" s="739"/>
      <c r="H114" s="739"/>
      <c r="I114" s="739"/>
    </row>
    <row r="115" spans="2:9">
      <c r="B115" s="514"/>
      <c r="C115" s="131" t="s">
        <v>443</v>
      </c>
      <c r="D115" s="131"/>
      <c r="E115" s="131"/>
      <c r="F115" s="131"/>
      <c r="G115" s="131"/>
      <c r="H115" s="131"/>
      <c r="I115" s="131"/>
    </row>
    <row r="116" spans="2:9">
      <c r="B116" s="514"/>
      <c r="C116" s="131"/>
      <c r="D116" s="131"/>
      <c r="E116" s="131"/>
      <c r="F116" s="131"/>
      <c r="G116" s="131"/>
      <c r="H116" s="131"/>
      <c r="I116" s="131"/>
    </row>
    <row r="117" spans="2:9">
      <c r="B117" s="514" t="s">
        <v>444</v>
      </c>
      <c r="C117" s="131" t="s">
        <v>445</v>
      </c>
      <c r="D117" s="131"/>
      <c r="E117" s="131"/>
      <c r="F117" s="131"/>
      <c r="G117" s="131"/>
      <c r="H117" s="131"/>
      <c r="I117" s="131"/>
    </row>
    <row r="118" spans="2:9">
      <c r="B118" s="514"/>
      <c r="C118" s="131" t="s">
        <v>446</v>
      </c>
      <c r="D118" s="131"/>
      <c r="E118" s="131"/>
      <c r="F118" s="131"/>
      <c r="G118" s="131"/>
      <c r="H118" s="131"/>
      <c r="I118" s="131"/>
    </row>
    <row r="119" spans="2:9">
      <c r="B119" s="514"/>
      <c r="C119" s="131" t="s">
        <v>447</v>
      </c>
      <c r="D119" s="131"/>
      <c r="E119" s="131"/>
      <c r="F119" s="131"/>
      <c r="G119" s="131"/>
      <c r="H119" s="131"/>
      <c r="I119" s="131"/>
    </row>
  </sheetData>
  <mergeCells count="20">
    <mergeCell ref="F49:J49"/>
    <mergeCell ref="F51:J51"/>
    <mergeCell ref="F52:J52"/>
    <mergeCell ref="F53:J53"/>
    <mergeCell ref="F54:J54"/>
    <mergeCell ref="B13:J13"/>
    <mergeCell ref="F14:J14"/>
    <mergeCell ref="F46:J46"/>
    <mergeCell ref="F47:J47"/>
    <mergeCell ref="F48:J48"/>
    <mergeCell ref="F60:J60"/>
    <mergeCell ref="F61:J61"/>
    <mergeCell ref="F62:J62"/>
    <mergeCell ref="F50:J50"/>
    <mergeCell ref="C113:I114"/>
    <mergeCell ref="F55:J55"/>
    <mergeCell ref="F56:J56"/>
    <mergeCell ref="F57:J57"/>
    <mergeCell ref="F58:J58"/>
    <mergeCell ref="F59:J59"/>
  </mergeCells>
  <printOptions horizontalCentered="1"/>
  <pageMargins left="0.78740157480314965" right="0.59055118110236227" top="1.3779527559055118" bottom="0.78740157480314965" header="0.39370078740157483" footer="0.19685039370078741"/>
  <pageSetup paperSize="9" scale="55" orientation="landscape"/>
  <headerFooter>
    <oddHeader>&amp;L&amp;C&amp;R</oddHeader>
    <oddFooter>&amp;L&amp;"Verdana,Regular"&amp;F-&amp;A_x000D_ICCA b.v. ©&amp;R&amp;"Verdana,Regular"printversie &amp;D</oddFooter>
  </headerFooter>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150"/>
  <sheetViews>
    <sheetView showGridLines="0" tabSelected="1" workbookViewId="0">
      <selection activeCell="E57" sqref="E57"/>
    </sheetView>
  </sheetViews>
  <sheetFormatPr baseColWidth="10" defaultRowHeight="13" x14ac:dyDescent="0"/>
  <cols>
    <col min="1" max="1" width="42.7109375" style="693" customWidth="1"/>
    <col min="2" max="16384" width="10.7109375" style="1"/>
  </cols>
  <sheetData>
    <row r="3" spans="1:3">
      <c r="A3" s="692" t="s">
        <v>656</v>
      </c>
    </row>
    <row r="5" spans="1:3">
      <c r="B5" s="706" t="s">
        <v>658</v>
      </c>
      <c r="C5" s="707"/>
    </row>
    <row r="6" spans="1:3">
      <c r="B6" s="708"/>
      <c r="C6" s="709"/>
    </row>
    <row r="7" spans="1:3">
      <c r="B7" s="708"/>
      <c r="C7" s="709"/>
    </row>
    <row r="8" spans="1:3">
      <c r="B8" s="708"/>
      <c r="C8" s="709"/>
    </row>
    <row r="9" spans="1:3">
      <c r="B9" s="708"/>
      <c r="C9" s="709"/>
    </row>
    <row r="10" spans="1:3">
      <c r="B10" s="708"/>
      <c r="C10" s="709"/>
    </row>
    <row r="11" spans="1:3">
      <c r="B11" s="708"/>
      <c r="C11" s="709"/>
    </row>
    <row r="12" spans="1:3">
      <c r="B12" s="708"/>
      <c r="C12" s="709"/>
    </row>
    <row r="13" spans="1:3">
      <c r="B13" s="708"/>
      <c r="C13" s="709"/>
    </row>
    <row r="14" spans="1:3">
      <c r="B14" s="708"/>
      <c r="C14" s="709"/>
    </row>
    <row r="15" spans="1:3">
      <c r="B15" s="710"/>
      <c r="C15" s="711"/>
    </row>
    <row r="18" spans="1:3">
      <c r="A18" s="692" t="s">
        <v>657</v>
      </c>
    </row>
    <row r="20" spans="1:3">
      <c r="B20" s="706" t="s">
        <v>659</v>
      </c>
      <c r="C20" s="707"/>
    </row>
    <row r="21" spans="1:3">
      <c r="B21" s="708"/>
      <c r="C21" s="709"/>
    </row>
    <row r="22" spans="1:3">
      <c r="B22" s="708"/>
      <c r="C22" s="709"/>
    </row>
    <row r="23" spans="1:3">
      <c r="B23" s="708"/>
      <c r="C23" s="709"/>
    </row>
    <row r="24" spans="1:3">
      <c r="B24" s="708"/>
      <c r="C24" s="709"/>
    </row>
    <row r="25" spans="1:3">
      <c r="B25" s="708"/>
      <c r="C25" s="709"/>
    </row>
    <row r="26" spans="1:3">
      <c r="B26" s="708"/>
      <c r="C26" s="709"/>
    </row>
    <row r="27" spans="1:3">
      <c r="B27" s="708"/>
      <c r="C27" s="709"/>
    </row>
    <row r="28" spans="1:3">
      <c r="B28" s="708"/>
      <c r="C28" s="709"/>
    </row>
    <row r="29" spans="1:3">
      <c r="B29" s="708"/>
      <c r="C29" s="709"/>
    </row>
    <row r="30" spans="1:3">
      <c r="B30" s="710"/>
      <c r="C30" s="711"/>
    </row>
    <row r="33" spans="1:3">
      <c r="A33" s="692" t="s">
        <v>660</v>
      </c>
    </row>
    <row r="35" spans="1:3">
      <c r="B35" s="706" t="s">
        <v>661</v>
      </c>
      <c r="C35" s="707"/>
    </row>
    <row r="36" spans="1:3">
      <c r="B36" s="708"/>
      <c r="C36" s="709"/>
    </row>
    <row r="37" spans="1:3">
      <c r="B37" s="708"/>
      <c r="C37" s="709"/>
    </row>
    <row r="38" spans="1:3">
      <c r="B38" s="708"/>
      <c r="C38" s="709"/>
    </row>
    <row r="39" spans="1:3">
      <c r="B39" s="708"/>
      <c r="C39" s="709"/>
    </row>
    <row r="40" spans="1:3">
      <c r="B40" s="708"/>
      <c r="C40" s="709"/>
    </row>
    <row r="41" spans="1:3">
      <c r="B41" s="708"/>
      <c r="C41" s="709"/>
    </row>
    <row r="42" spans="1:3">
      <c r="B42" s="708"/>
      <c r="C42" s="709"/>
    </row>
    <row r="43" spans="1:3">
      <c r="B43" s="708"/>
      <c r="C43" s="709"/>
    </row>
    <row r="44" spans="1:3">
      <c r="B44" s="708"/>
      <c r="C44" s="709"/>
    </row>
    <row r="45" spans="1:3">
      <c r="B45" s="710"/>
      <c r="C45" s="711"/>
    </row>
    <row r="47" spans="1:3">
      <c r="A47" s="692" t="s">
        <v>662</v>
      </c>
    </row>
    <row r="49" spans="1:3">
      <c r="B49" s="706" t="s">
        <v>664</v>
      </c>
      <c r="C49" s="707"/>
    </row>
    <row r="50" spans="1:3">
      <c r="B50" s="708"/>
      <c r="C50" s="709"/>
    </row>
    <row r="51" spans="1:3">
      <c r="B51" s="708"/>
      <c r="C51" s="709"/>
    </row>
    <row r="52" spans="1:3">
      <c r="B52" s="708"/>
      <c r="C52" s="709"/>
    </row>
    <row r="53" spans="1:3">
      <c r="B53" s="708"/>
      <c r="C53" s="709"/>
    </row>
    <row r="54" spans="1:3">
      <c r="B54" s="708"/>
      <c r="C54" s="709"/>
    </row>
    <row r="55" spans="1:3">
      <c r="B55" s="708"/>
      <c r="C55" s="709"/>
    </row>
    <row r="56" spans="1:3">
      <c r="B56" s="708"/>
      <c r="C56" s="709"/>
    </row>
    <row r="57" spans="1:3">
      <c r="B57" s="708"/>
      <c r="C57" s="709"/>
    </row>
    <row r="58" spans="1:3">
      <c r="B58" s="708"/>
      <c r="C58" s="709"/>
    </row>
    <row r="59" spans="1:3">
      <c r="B59" s="710"/>
      <c r="C59" s="711"/>
    </row>
    <row r="61" spans="1:3">
      <c r="A61" s="692" t="s">
        <v>669</v>
      </c>
    </row>
    <row r="64" spans="1:3">
      <c r="B64" s="706" t="s">
        <v>663</v>
      </c>
      <c r="C64" s="707"/>
    </row>
    <row r="65" spans="1:3">
      <c r="B65" s="708"/>
      <c r="C65" s="709"/>
    </row>
    <row r="66" spans="1:3">
      <c r="B66" s="708"/>
      <c r="C66" s="709"/>
    </row>
    <row r="67" spans="1:3">
      <c r="B67" s="708"/>
      <c r="C67" s="709"/>
    </row>
    <row r="68" spans="1:3">
      <c r="B68" s="708"/>
      <c r="C68" s="709"/>
    </row>
    <row r="69" spans="1:3">
      <c r="B69" s="708"/>
      <c r="C69" s="709"/>
    </row>
    <row r="70" spans="1:3">
      <c r="B70" s="708"/>
      <c r="C70" s="709"/>
    </row>
    <row r="71" spans="1:3">
      <c r="B71" s="708"/>
      <c r="C71" s="709"/>
    </row>
    <row r="72" spans="1:3">
      <c r="B72" s="708"/>
      <c r="C72" s="709"/>
    </row>
    <row r="73" spans="1:3">
      <c r="B73" s="708"/>
      <c r="C73" s="709"/>
    </row>
    <row r="74" spans="1:3">
      <c r="B74" s="710"/>
      <c r="C74" s="711"/>
    </row>
    <row r="76" spans="1:3">
      <c r="A76" s="692" t="s">
        <v>665</v>
      </c>
    </row>
    <row r="78" spans="1:3">
      <c r="B78" s="706" t="s">
        <v>667</v>
      </c>
      <c r="C78" s="707"/>
    </row>
    <row r="79" spans="1:3">
      <c r="B79" s="708"/>
      <c r="C79" s="709"/>
    </row>
    <row r="80" spans="1:3">
      <c r="B80" s="708"/>
      <c r="C80" s="709"/>
    </row>
    <row r="81" spans="1:3">
      <c r="B81" s="708"/>
      <c r="C81" s="709"/>
    </row>
    <row r="82" spans="1:3">
      <c r="B82" s="708"/>
      <c r="C82" s="709"/>
    </row>
    <row r="83" spans="1:3">
      <c r="B83" s="708"/>
      <c r="C83" s="709"/>
    </row>
    <row r="84" spans="1:3">
      <c r="B84" s="708"/>
      <c r="C84" s="709"/>
    </row>
    <row r="85" spans="1:3">
      <c r="B85" s="708"/>
      <c r="C85" s="709"/>
    </row>
    <row r="86" spans="1:3">
      <c r="B86" s="708"/>
      <c r="C86" s="709"/>
    </row>
    <row r="87" spans="1:3">
      <c r="B87" s="708"/>
      <c r="C87" s="709"/>
    </row>
    <row r="88" spans="1:3">
      <c r="B88" s="710"/>
      <c r="C88" s="711"/>
    </row>
    <row r="96" spans="1:3">
      <c r="A96" s="692" t="s">
        <v>666</v>
      </c>
    </row>
    <row r="98" spans="1:3">
      <c r="B98" s="706" t="s">
        <v>668</v>
      </c>
      <c r="C98" s="707"/>
    </row>
    <row r="99" spans="1:3">
      <c r="B99" s="708"/>
      <c r="C99" s="709"/>
    </row>
    <row r="100" spans="1:3">
      <c r="B100" s="708"/>
      <c r="C100" s="709"/>
    </row>
    <row r="101" spans="1:3">
      <c r="B101" s="708"/>
      <c r="C101" s="709"/>
    </row>
    <row r="102" spans="1:3">
      <c r="B102" s="708"/>
      <c r="C102" s="709"/>
    </row>
    <row r="103" spans="1:3">
      <c r="B103" s="708"/>
      <c r="C103" s="709"/>
    </row>
    <row r="104" spans="1:3">
      <c r="B104" s="708"/>
      <c r="C104" s="709"/>
    </row>
    <row r="105" spans="1:3">
      <c r="B105" s="708"/>
      <c r="C105" s="709"/>
    </row>
    <row r="106" spans="1:3">
      <c r="B106" s="708"/>
      <c r="C106" s="709"/>
    </row>
    <row r="107" spans="1:3">
      <c r="B107" s="708"/>
      <c r="C107" s="709"/>
    </row>
    <row r="108" spans="1:3">
      <c r="B108" s="710"/>
      <c r="C108" s="711"/>
    </row>
    <row r="111" spans="1:3">
      <c r="A111" s="692" t="s">
        <v>670</v>
      </c>
    </row>
    <row r="113" spans="1:3">
      <c r="B113" s="706" t="s">
        <v>671</v>
      </c>
      <c r="C113" s="707"/>
    </row>
    <row r="114" spans="1:3">
      <c r="B114" s="708"/>
      <c r="C114" s="709"/>
    </row>
    <row r="115" spans="1:3">
      <c r="B115" s="708"/>
      <c r="C115" s="709"/>
    </row>
    <row r="116" spans="1:3">
      <c r="B116" s="708"/>
      <c r="C116" s="709"/>
    </row>
    <row r="117" spans="1:3">
      <c r="B117" s="708"/>
      <c r="C117" s="709"/>
    </row>
    <row r="118" spans="1:3">
      <c r="B118" s="708"/>
      <c r="C118" s="709"/>
    </row>
    <row r="119" spans="1:3">
      <c r="B119" s="708"/>
      <c r="C119" s="709"/>
    </row>
    <row r="120" spans="1:3">
      <c r="B120" s="708"/>
      <c r="C120" s="709"/>
    </row>
    <row r="121" spans="1:3">
      <c r="B121" s="708"/>
      <c r="C121" s="709"/>
    </row>
    <row r="122" spans="1:3">
      <c r="B122" s="708"/>
      <c r="C122" s="709"/>
    </row>
    <row r="123" spans="1:3">
      <c r="B123" s="710"/>
      <c r="C123" s="711"/>
    </row>
    <row r="125" spans="1:3">
      <c r="A125" s="692" t="s">
        <v>672</v>
      </c>
    </row>
    <row r="127" spans="1:3">
      <c r="B127" s="706" t="s">
        <v>673</v>
      </c>
      <c r="C127" s="707"/>
    </row>
    <row r="128" spans="1:3">
      <c r="B128" s="708"/>
      <c r="C128" s="709"/>
    </row>
    <row r="129" spans="1:3">
      <c r="B129" s="708"/>
      <c r="C129" s="709"/>
    </row>
    <row r="130" spans="1:3">
      <c r="B130" s="708"/>
      <c r="C130" s="709"/>
    </row>
    <row r="131" spans="1:3">
      <c r="B131" s="708"/>
      <c r="C131" s="709"/>
    </row>
    <row r="132" spans="1:3">
      <c r="B132" s="708"/>
      <c r="C132" s="709"/>
    </row>
    <row r="133" spans="1:3">
      <c r="B133" s="708"/>
      <c r="C133" s="709"/>
    </row>
    <row r="134" spans="1:3">
      <c r="B134" s="708"/>
      <c r="C134" s="709"/>
    </row>
    <row r="135" spans="1:3">
      <c r="B135" s="708"/>
      <c r="C135" s="709"/>
    </row>
    <row r="136" spans="1:3">
      <c r="B136" s="708"/>
      <c r="C136" s="709"/>
    </row>
    <row r="137" spans="1:3">
      <c r="B137" s="710"/>
      <c r="C137" s="711"/>
    </row>
    <row r="144" spans="1:3">
      <c r="A144" s="692" t="s">
        <v>68</v>
      </c>
    </row>
    <row r="145" spans="1:1">
      <c r="A145" s="693" t="s">
        <v>674</v>
      </c>
    </row>
    <row r="147" spans="1:1">
      <c r="A147" s="693" t="s">
        <v>675</v>
      </c>
    </row>
    <row r="148" spans="1:1">
      <c r="A148" s="693" t="s">
        <v>676</v>
      </c>
    </row>
    <row r="150" spans="1:1">
      <c r="A150" s="693" t="s">
        <v>677</v>
      </c>
    </row>
  </sheetData>
  <mergeCells count="9">
    <mergeCell ref="B98:C108"/>
    <mergeCell ref="B113:C123"/>
    <mergeCell ref="B127:C137"/>
    <mergeCell ref="B5:C15"/>
    <mergeCell ref="B20:C30"/>
    <mergeCell ref="B35:C45"/>
    <mergeCell ref="B49:C59"/>
    <mergeCell ref="B64:C74"/>
    <mergeCell ref="B78:C88"/>
  </mergeCells>
  <phoneticPr fontId="9" type="noConversion"/>
  <pageMargins left="0.75" right="0.75" top="1" bottom="1" header="0.5" footer="0.5"/>
  <pageSetup paperSize="9" scale="94" orientation="portrait" horizontalDpi="4294967292" verticalDpi="4294967292"/>
  <rowBreaks count="2" manualBreakCount="2">
    <brk id="46" max="2" man="1"/>
    <brk id="94" max="2" man="1"/>
  </rowBreaks>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enableFormatConditionsCalculation="0">
    <pageSetUpPr fitToPage="1"/>
  </sheetPr>
  <dimension ref="A1:I56"/>
  <sheetViews>
    <sheetView showGridLines="0" showRowColHeaders="0" workbookViewId="0"/>
  </sheetViews>
  <sheetFormatPr baseColWidth="10" defaultColWidth="0" defaultRowHeight="0" customHeight="1" zeroHeight="1" x14ac:dyDescent="0"/>
  <cols>
    <col min="1" max="9" width="10.7109375" customWidth="1"/>
    <col min="10" max="16384" width="10.7109375" hidden="1"/>
  </cols>
  <sheetData>
    <row r="1" spans="4:6" ht="13"/>
    <row r="2" spans="4:6" ht="20">
      <c r="E2" s="427"/>
    </row>
    <row r="3" spans="4:6" ht="20">
      <c r="E3" s="427" t="s">
        <v>286</v>
      </c>
    </row>
    <row r="4" spans="4:6" ht="20">
      <c r="E4" s="427"/>
    </row>
    <row r="5" spans="4:6" ht="20">
      <c r="E5" s="427" t="s">
        <v>287</v>
      </c>
    </row>
    <row r="6" spans="4:6" ht="20">
      <c r="E6" s="427" t="s">
        <v>456</v>
      </c>
    </row>
    <row r="7" spans="4:6" ht="20">
      <c r="E7" s="427" t="s">
        <v>66</v>
      </c>
    </row>
    <row r="8" spans="4:6" ht="13"/>
    <row r="9" spans="4:6" ht="20">
      <c r="E9" s="427" t="s">
        <v>679</v>
      </c>
    </row>
    <row r="10" spans="4:6" ht="13"/>
    <row r="11" spans="4:6" ht="13"/>
    <row r="12" spans="4:6" ht="18">
      <c r="D12" s="533"/>
      <c r="E12" s="534" t="str">
        <f>'1.0-Contractblad'!E6</f>
        <v>[NAAM LEVERANCIER]</v>
      </c>
      <c r="F12" s="533"/>
    </row>
    <row r="13" spans="4:6" ht="13"/>
    <row r="14" spans="4:6" ht="13"/>
    <row r="15" spans="4:6" ht="13">
      <c r="E15" s="584">
        <v>42370</v>
      </c>
    </row>
    <row r="16" spans="4:6" ht="13"/>
    <row r="17" ht="13"/>
    <row r="18" ht="13"/>
    <row r="19" ht="13"/>
    <row r="20" ht="13"/>
    <row r="21" ht="13"/>
    <row r="22" ht="13"/>
    <row r="23" ht="13"/>
    <row r="24" ht="13"/>
    <row r="25" ht="13"/>
    <row r="26" ht="13"/>
    <row r="27" ht="13"/>
    <row r="28" ht="13"/>
    <row r="29" ht="13"/>
    <row r="30" ht="13"/>
    <row r="31" ht="13"/>
    <row r="32" ht="13"/>
    <row r="33" spans="5:5" ht="13"/>
    <row r="34" spans="5:5" ht="13"/>
    <row r="35" spans="5:5" ht="13"/>
    <row r="36" spans="5:5" ht="13"/>
    <row r="37" spans="5:5" ht="13"/>
    <row r="38" spans="5:5" ht="13"/>
    <row r="39" spans="5:5" ht="13"/>
    <row r="40" spans="5:5" ht="13"/>
    <row r="41" spans="5:5" ht="13"/>
    <row r="42" spans="5:5" ht="13"/>
    <row r="43" spans="5:5" ht="13"/>
    <row r="44" spans="5:5" ht="13"/>
    <row r="45" spans="5:5" ht="13">
      <c r="E45" s="275" t="s">
        <v>654</v>
      </c>
    </row>
    <row r="46" spans="5:5" ht="13">
      <c r="E46" s="588" t="s">
        <v>477</v>
      </c>
    </row>
    <row r="47" spans="5:5" ht="13"/>
    <row r="48" spans="5:5" ht="13"/>
    <row r="49" ht="13"/>
    <row r="50" ht="13"/>
    <row r="51" ht="13"/>
    <row r="52" ht="13"/>
    <row r="53" ht="13"/>
    <row r="54" ht="13"/>
    <row r="55" ht="13"/>
    <row r="56" ht="13"/>
  </sheetData>
  <pageMargins left="0.75000000000000011" right="0.75000000000000011" top="1" bottom="1" header="0.5" footer="0.5"/>
  <pageSetup paperSize="9" scale="96" orientation="portrait"/>
  <drawing r:id="rId1"/>
  <extLst>
    <ext xmlns:mx="http://schemas.microsoft.com/office/mac/excel/2008/main" uri="{64002731-A6B0-56B0-2670-7721B7C09600}">
      <mx:PLV Mode="0" OnePage="0" WScale="10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enableFormatConditionsCalculation="0">
    <pageSetUpPr fitToPage="1"/>
  </sheetPr>
  <dimension ref="C1:Z96"/>
  <sheetViews>
    <sheetView showGridLines="0" showRowColHeaders="0" showZeros="0" topLeftCell="C16" workbookViewId="0">
      <selection activeCell="E59" sqref="E59:L65"/>
    </sheetView>
  </sheetViews>
  <sheetFormatPr baseColWidth="10" defaultColWidth="0" defaultRowHeight="0" customHeight="1" zeroHeight="1" x14ac:dyDescent="0"/>
  <cols>
    <col min="1" max="2" width="10.7109375" style="1" hidden="1" customWidth="1"/>
    <col min="3" max="3" width="2.42578125" style="1" customWidth="1"/>
    <col min="4" max="11" width="10.7109375" style="1" customWidth="1"/>
    <col min="12" max="12" width="33.5703125" style="1" customWidth="1"/>
    <col min="13" max="13" width="10.7109375" style="1" customWidth="1"/>
    <col min="14" max="14" width="2.42578125" style="1" customWidth="1"/>
    <col min="15" max="26" width="0" style="1" hidden="1" customWidth="1"/>
    <col min="27" max="16384" width="10.7109375" style="1" hidden="1"/>
  </cols>
  <sheetData>
    <row r="1" spans="4:13" ht="13"/>
    <row r="2" spans="4:13" ht="16">
      <c r="D2" s="428" t="str">
        <f>'1.0-Contractblad'!D2</f>
        <v>Naam opdrachtgever</v>
      </c>
      <c r="E2" s="158"/>
      <c r="F2" s="428" t="str">
        <f>'1.0-Contractblad'!E2</f>
        <v>Stichting CPOW</v>
      </c>
      <c r="G2" s="158"/>
    </row>
    <row r="3" spans="4:13" ht="16">
      <c r="D3" s="428" t="str">
        <f>'1.0-Contractblad'!D4</f>
        <v>Adres/plaats</v>
      </c>
      <c r="E3" s="158"/>
      <c r="F3" s="428" t="str">
        <f>'1.0-Contractblad'!E4</f>
        <v>Primair onderwijs Purmerend e.o.</v>
      </c>
      <c r="G3" s="158"/>
    </row>
    <row r="4" spans="4:13" ht="16">
      <c r="D4" s="428" t="str">
        <f>'1.0-Contractblad'!D5</f>
        <v>Besteknummer</v>
      </c>
      <c r="E4" s="158"/>
      <c r="F4" s="428" t="str">
        <f>'1.0-Contractblad'!E5</f>
        <v>0302-52-2015 V1</v>
      </c>
      <c r="G4" s="158"/>
    </row>
    <row r="5" spans="4:13" ht="13"/>
    <row r="6" spans="4:13" ht="13">
      <c r="D6" s="429"/>
      <c r="E6" s="429"/>
    </row>
    <row r="7" spans="4:13" ht="18">
      <c r="D7" s="198" t="s">
        <v>33</v>
      </c>
      <c r="E7" s="177"/>
      <c r="F7" s="15"/>
      <c r="G7" s="15"/>
      <c r="H7" s="15"/>
      <c r="I7" s="5"/>
      <c r="J7" s="5"/>
      <c r="K7" s="5"/>
    </row>
    <row r="8" spans="4:13" ht="18">
      <c r="D8" s="198" t="s">
        <v>224</v>
      </c>
      <c r="E8" s="15"/>
      <c r="F8" s="15"/>
      <c r="G8" s="15"/>
      <c r="H8" s="15"/>
      <c r="I8" s="13"/>
      <c r="J8" s="12"/>
      <c r="K8" s="5"/>
    </row>
    <row r="9" spans="4:13" ht="13"/>
    <row r="10" spans="4:13" ht="13"/>
    <row r="11" spans="4:13" ht="13"/>
    <row r="12" spans="4:13" ht="16">
      <c r="D12" s="156" t="s">
        <v>288</v>
      </c>
      <c r="E12" s="430"/>
      <c r="F12" s="430"/>
      <c r="G12" s="430"/>
      <c r="H12" s="430"/>
      <c r="I12" s="430"/>
      <c r="J12" s="430"/>
      <c r="K12" s="430"/>
    </row>
    <row r="13" spans="4:13" ht="13">
      <c r="D13" s="430"/>
      <c r="E13" s="430"/>
      <c r="F13" s="430"/>
      <c r="G13" s="430"/>
      <c r="H13" s="430"/>
      <c r="I13" s="430"/>
      <c r="J13" s="430"/>
      <c r="K13" s="430"/>
    </row>
    <row r="14" spans="4:13" ht="15.75" customHeight="1">
      <c r="D14" s="431">
        <v>1</v>
      </c>
      <c r="E14" s="156" t="s">
        <v>289</v>
      </c>
      <c r="F14" s="3"/>
      <c r="G14" s="430"/>
      <c r="H14" s="430"/>
      <c r="I14" s="430"/>
      <c r="J14" s="430"/>
      <c r="K14" s="430"/>
    </row>
    <row r="15" spans="4:13" ht="13">
      <c r="D15" s="430"/>
      <c r="E15" s="155" t="s">
        <v>137</v>
      </c>
      <c r="F15" s="274"/>
      <c r="G15" s="430"/>
      <c r="H15" s="430"/>
      <c r="I15" s="430"/>
      <c r="J15" s="430"/>
      <c r="K15" s="430"/>
      <c r="M15" s="386" t="s">
        <v>32</v>
      </c>
    </row>
    <row r="16" spans="4:13" ht="13">
      <c r="D16" s="430"/>
      <c r="E16" s="430"/>
      <c r="F16" s="430"/>
      <c r="G16" s="430"/>
      <c r="H16" s="430"/>
      <c r="I16" s="430"/>
      <c r="J16" s="430"/>
      <c r="K16" s="430"/>
    </row>
    <row r="17" spans="4:13" ht="13">
      <c r="D17" s="430"/>
      <c r="E17" s="430"/>
      <c r="F17" s="430"/>
      <c r="G17" s="430"/>
      <c r="H17" s="430"/>
      <c r="I17" s="430"/>
      <c r="J17" s="430"/>
      <c r="K17" s="430"/>
    </row>
    <row r="18" spans="4:13" ht="15.75" customHeight="1">
      <c r="D18" s="431">
        <v>2</v>
      </c>
      <c r="E18" s="156" t="s">
        <v>290</v>
      </c>
      <c r="F18" s="4"/>
      <c r="G18" s="4"/>
      <c r="H18" s="4"/>
      <c r="I18" s="13"/>
      <c r="J18" s="12"/>
      <c r="K18" s="5"/>
    </row>
    <row r="19" spans="4:13" ht="15.75" customHeight="1">
      <c r="D19" s="19"/>
      <c r="E19" s="712" t="s">
        <v>291</v>
      </c>
      <c r="F19" s="712"/>
      <c r="G19" s="712"/>
      <c r="H19" s="712"/>
      <c r="I19" s="712"/>
      <c r="J19" s="712"/>
      <c r="K19" s="712"/>
      <c r="L19" s="712"/>
      <c r="M19" s="386" t="s">
        <v>32</v>
      </c>
    </row>
    <row r="20" spans="4:13" ht="16">
      <c r="D20" s="19"/>
      <c r="E20" s="712"/>
      <c r="F20" s="712"/>
      <c r="G20" s="712"/>
      <c r="H20" s="712"/>
      <c r="I20" s="712"/>
      <c r="J20" s="712"/>
      <c r="K20" s="712"/>
      <c r="L20" s="712"/>
      <c r="M20" s="432" t="s">
        <v>292</v>
      </c>
    </row>
    <row r="21" spans="4:13" ht="15.75" customHeight="1">
      <c r="D21" s="19"/>
      <c r="E21" s="712"/>
      <c r="F21" s="712"/>
      <c r="G21" s="712"/>
      <c r="H21" s="712"/>
      <c r="I21" s="712"/>
      <c r="J21" s="712"/>
      <c r="K21" s="712"/>
      <c r="L21" s="712"/>
    </row>
    <row r="22" spans="4:13" ht="16">
      <c r="D22" s="19"/>
      <c r="E22" s="433"/>
      <c r="F22" s="433"/>
      <c r="G22" s="433"/>
      <c r="H22" s="433"/>
      <c r="I22" s="433"/>
      <c r="J22" s="433"/>
      <c r="K22" s="433"/>
    </row>
    <row r="23" spans="4:13" ht="16">
      <c r="D23" s="431">
        <v>3</v>
      </c>
      <c r="E23" s="156" t="s">
        <v>293</v>
      </c>
      <c r="F23" s="4"/>
      <c r="G23" s="4"/>
      <c r="H23" s="4"/>
      <c r="I23" s="13"/>
      <c r="J23" s="12"/>
      <c r="K23" s="5"/>
    </row>
    <row r="24" spans="4:13" ht="26" customHeight="1">
      <c r="D24" s="19"/>
      <c r="E24" s="712" t="s">
        <v>294</v>
      </c>
      <c r="F24" s="712"/>
      <c r="G24" s="712"/>
      <c r="H24" s="712"/>
      <c r="I24" s="712"/>
      <c r="J24" s="712"/>
      <c r="K24" s="712"/>
      <c r="L24" s="712"/>
      <c r="M24" s="386" t="s">
        <v>32</v>
      </c>
    </row>
    <row r="25" spans="4:13" ht="16">
      <c r="D25" s="19"/>
      <c r="E25" s="712"/>
      <c r="F25" s="712"/>
      <c r="G25" s="712"/>
      <c r="H25" s="712"/>
      <c r="I25" s="712"/>
      <c r="J25" s="712"/>
      <c r="K25" s="712"/>
      <c r="L25" s="712"/>
      <c r="M25" s="434" t="s">
        <v>32</v>
      </c>
    </row>
    <row r="26" spans="4:13" ht="15.75" customHeight="1">
      <c r="D26" s="19"/>
      <c r="E26" s="712"/>
      <c r="F26" s="712"/>
      <c r="G26" s="712"/>
      <c r="H26" s="712"/>
      <c r="I26" s="712"/>
      <c r="J26" s="712"/>
      <c r="K26" s="712"/>
      <c r="L26" s="712"/>
      <c r="M26" s="432" t="s">
        <v>292</v>
      </c>
    </row>
    <row r="27" spans="4:13" ht="16">
      <c r="D27" s="19"/>
      <c r="E27" s="433"/>
      <c r="F27" s="433"/>
      <c r="G27" s="433"/>
      <c r="H27" s="433"/>
      <c r="I27" s="433"/>
      <c r="J27" s="433"/>
      <c r="K27" s="433"/>
    </row>
    <row r="28" spans="4:13" ht="15.75" customHeight="1">
      <c r="D28" s="431">
        <v>4</v>
      </c>
      <c r="E28" s="724" t="s">
        <v>295</v>
      </c>
      <c r="F28" s="724"/>
      <c r="G28" s="724"/>
      <c r="H28" s="724"/>
      <c r="I28" s="724"/>
      <c r="J28" s="724"/>
      <c r="K28" s="724"/>
      <c r="L28" s="724"/>
    </row>
    <row r="29" spans="4:13" ht="15.75" customHeight="1">
      <c r="E29" s="724"/>
      <c r="F29" s="724"/>
      <c r="G29" s="724"/>
      <c r="H29" s="724"/>
      <c r="I29" s="724"/>
      <c r="J29" s="724"/>
      <c r="K29" s="724"/>
      <c r="L29" s="724"/>
      <c r="M29" s="386" t="s">
        <v>32</v>
      </c>
    </row>
    <row r="30" spans="4:13" ht="15.75" customHeight="1">
      <c r="E30" s="712" t="s">
        <v>296</v>
      </c>
      <c r="F30" s="712"/>
      <c r="G30" s="712"/>
      <c r="H30" s="712"/>
      <c r="I30" s="712"/>
      <c r="J30" s="712"/>
      <c r="K30" s="712"/>
      <c r="L30" s="712"/>
    </row>
    <row r="31" spans="4:13" ht="15.75" customHeight="1">
      <c r="E31" s="712"/>
      <c r="F31" s="712"/>
      <c r="G31" s="712"/>
      <c r="H31" s="712"/>
      <c r="I31" s="712"/>
      <c r="J31" s="712"/>
      <c r="K31" s="712"/>
      <c r="L31" s="712"/>
    </row>
    <row r="32" spans="4:13" ht="12.75" customHeight="1">
      <c r="E32" s="712"/>
      <c r="F32" s="712"/>
      <c r="G32" s="712"/>
      <c r="H32" s="712"/>
      <c r="I32" s="712"/>
      <c r="J32" s="712"/>
      <c r="K32" s="712"/>
      <c r="L32" s="712"/>
    </row>
    <row r="33" spans="4:13" ht="16">
      <c r="E33" s="156" t="s">
        <v>297</v>
      </c>
      <c r="F33" s="435"/>
      <c r="G33" s="435"/>
      <c r="H33" s="435"/>
      <c r="I33" s="435"/>
      <c r="J33" s="435"/>
      <c r="K33" s="435"/>
    </row>
    <row r="34" spans="4:13" ht="16">
      <c r="E34" s="156"/>
      <c r="F34" s="435"/>
      <c r="G34" s="435"/>
      <c r="H34" s="435"/>
      <c r="I34" s="435"/>
      <c r="J34" s="435"/>
      <c r="K34" s="435"/>
    </row>
    <row r="35" spans="4:13" ht="13">
      <c r="E35" s="436">
        <v>0</v>
      </c>
      <c r="F35" s="435"/>
      <c r="G35" s="437">
        <f>E35</f>
        <v>0</v>
      </c>
      <c r="H35" s="249"/>
      <c r="I35" s="435"/>
      <c r="J35" s="435"/>
      <c r="K35" s="435"/>
    </row>
    <row r="36" spans="4:13" ht="16">
      <c r="E36" s="156"/>
      <c r="F36" s="435"/>
      <c r="G36" s="435"/>
      <c r="H36" s="435"/>
      <c r="I36" s="435"/>
      <c r="J36" s="435"/>
      <c r="K36" s="435"/>
    </row>
    <row r="37" spans="4:13" ht="13">
      <c r="E37" s="712" t="s">
        <v>298</v>
      </c>
      <c r="F37" s="712"/>
      <c r="G37" s="712"/>
      <c r="H37" s="712"/>
      <c r="I37" s="712"/>
      <c r="J37" s="712"/>
      <c r="K37" s="712"/>
      <c r="L37" s="712"/>
    </row>
    <row r="38" spans="4:13" ht="13">
      <c r="E38" s="712"/>
      <c r="F38" s="712"/>
      <c r="G38" s="712"/>
      <c r="H38" s="712"/>
      <c r="I38" s="712"/>
      <c r="J38" s="712"/>
      <c r="K38" s="712"/>
      <c r="L38" s="712"/>
    </row>
    <row r="39" spans="4:13" ht="12.75" customHeight="1">
      <c r="E39" s="712"/>
      <c r="F39" s="712"/>
      <c r="G39" s="712"/>
      <c r="H39" s="712"/>
      <c r="I39" s="712"/>
      <c r="J39" s="712"/>
      <c r="K39" s="712"/>
      <c r="L39" s="712"/>
    </row>
    <row r="40" spans="4:13" ht="16">
      <c r="D40" s="19"/>
      <c r="E40" s="438" t="s">
        <v>299</v>
      </c>
      <c r="F40" s="439"/>
      <c r="G40" s="439"/>
      <c r="H40" s="439"/>
      <c r="I40" s="439"/>
      <c r="J40" s="439"/>
      <c r="K40" s="439"/>
    </row>
    <row r="41" spans="4:13" ht="9" customHeight="1">
      <c r="D41" s="19"/>
      <c r="E41" s="435"/>
      <c r="F41" s="435"/>
      <c r="G41" s="435"/>
      <c r="H41" s="435"/>
      <c r="I41" s="435"/>
      <c r="J41" s="435"/>
      <c r="K41" s="435"/>
    </row>
    <row r="42" spans="4:13" ht="16">
      <c r="D42" s="431">
        <v>5</v>
      </c>
      <c r="E42" s="156" t="s">
        <v>300</v>
      </c>
    </row>
    <row r="43" spans="4:13" ht="38" customHeight="1">
      <c r="D43" s="19"/>
      <c r="E43" s="722" t="s">
        <v>306</v>
      </c>
      <c r="F43" s="722"/>
      <c r="G43" s="722"/>
      <c r="H43" s="722"/>
      <c r="I43" s="722"/>
      <c r="J43" s="722"/>
      <c r="K43" s="722"/>
      <c r="L43" s="723"/>
      <c r="M43" s="386" t="s">
        <v>32</v>
      </c>
    </row>
    <row r="44" spans="4:13" ht="16">
      <c r="D44" s="19"/>
      <c r="E44" s="722" t="s">
        <v>307</v>
      </c>
      <c r="F44" s="722"/>
      <c r="G44" s="722"/>
      <c r="H44" s="722"/>
      <c r="I44" s="722"/>
      <c r="J44" s="722"/>
      <c r="K44" s="722"/>
      <c r="L44" s="722"/>
      <c r="M44" s="440"/>
    </row>
    <row r="45" spans="4:13" ht="16">
      <c r="D45" s="19"/>
      <c r="E45" s="433"/>
      <c r="F45" s="433"/>
      <c r="G45" s="433"/>
      <c r="H45" s="433"/>
      <c r="I45" s="433"/>
      <c r="J45" s="433"/>
      <c r="K45" s="433"/>
    </row>
    <row r="46" spans="4:13" ht="16">
      <c r="D46" s="431">
        <v>6</v>
      </c>
      <c r="E46" s="156" t="s">
        <v>303</v>
      </c>
    </row>
    <row r="47" spans="4:13" ht="16">
      <c r="D47" s="156"/>
      <c r="E47" s="155" t="s">
        <v>304</v>
      </c>
      <c r="F47" s="4"/>
      <c r="G47" s="4"/>
      <c r="H47" s="4"/>
      <c r="I47" s="13"/>
      <c r="J47" s="12"/>
      <c r="K47" s="5"/>
      <c r="M47" s="386" t="s">
        <v>32</v>
      </c>
    </row>
    <row r="48" spans="4:13" ht="16">
      <c r="D48" s="156"/>
      <c r="E48" s="155"/>
      <c r="F48" s="4"/>
      <c r="G48" s="4"/>
      <c r="H48" s="4"/>
      <c r="I48" s="13"/>
      <c r="J48" s="12"/>
      <c r="K48" s="5"/>
    </row>
    <row r="49" spans="4:13" ht="16">
      <c r="D49" s="156"/>
      <c r="E49" s="155"/>
      <c r="F49" s="4"/>
      <c r="G49" s="4"/>
      <c r="H49" s="4"/>
      <c r="I49" s="13"/>
      <c r="J49" s="12"/>
      <c r="K49" s="5"/>
    </row>
    <row r="50" spans="4:13" ht="15.75" customHeight="1">
      <c r="D50" s="431">
        <v>7</v>
      </c>
      <c r="E50" s="156" t="s">
        <v>305</v>
      </c>
    </row>
    <row r="51" spans="4:13" ht="16">
      <c r="D51" s="19"/>
      <c r="E51" s="712" t="s">
        <v>301</v>
      </c>
      <c r="F51" s="712"/>
      <c r="G51" s="712"/>
      <c r="H51" s="712"/>
      <c r="I51" s="712"/>
      <c r="J51" s="712"/>
      <c r="K51" s="712"/>
      <c r="L51" s="712"/>
      <c r="M51" s="386" t="s">
        <v>302</v>
      </c>
    </row>
    <row r="52" spans="4:13" ht="13">
      <c r="E52" s="712"/>
      <c r="F52" s="712"/>
      <c r="G52" s="712"/>
      <c r="H52" s="712"/>
      <c r="I52" s="712"/>
      <c r="J52" s="712"/>
      <c r="K52" s="712"/>
      <c r="L52" s="712"/>
    </row>
    <row r="53" spans="4:13" ht="13">
      <c r="D53" s="61"/>
      <c r="E53" s="712"/>
      <c r="F53" s="712"/>
      <c r="G53" s="712"/>
      <c r="H53" s="712"/>
      <c r="I53" s="712"/>
      <c r="J53" s="712"/>
      <c r="K53" s="712"/>
      <c r="L53" s="712"/>
    </row>
    <row r="54" spans="4:13" ht="16">
      <c r="D54" s="431">
        <v>8</v>
      </c>
      <c r="E54" s="156" t="s">
        <v>218</v>
      </c>
      <c r="F54" s="156"/>
      <c r="G54" s="156"/>
      <c r="H54" s="156"/>
      <c r="I54" s="156"/>
      <c r="J54" s="156"/>
      <c r="K54" s="156"/>
      <c r="L54" s="156"/>
      <c r="M54" s="156"/>
    </row>
    <row r="55" spans="4:13" ht="16">
      <c r="D55" s="156"/>
      <c r="F55" s="4"/>
      <c r="G55" s="4"/>
      <c r="H55" s="4"/>
      <c r="I55" s="13"/>
      <c r="J55" s="12"/>
      <c r="K55" s="5"/>
    </row>
    <row r="56" spans="4:13" ht="16">
      <c r="D56" s="431">
        <v>9</v>
      </c>
      <c r="E56" s="156" t="s">
        <v>60</v>
      </c>
    </row>
    <row r="57" spans="4:13" ht="12.75" customHeight="1">
      <c r="D57" s="156"/>
    </row>
    <row r="58" spans="4:13" ht="14" thickBot="1"/>
    <row r="59" spans="4:13" ht="14" thickTop="1">
      <c r="E59" s="713" t="s">
        <v>343</v>
      </c>
      <c r="F59" s="714"/>
      <c r="G59" s="714"/>
      <c r="H59" s="714"/>
      <c r="I59" s="714"/>
      <c r="J59" s="714"/>
      <c r="K59" s="714"/>
      <c r="L59" s="715"/>
    </row>
    <row r="60" spans="4:13" ht="13">
      <c r="E60" s="716"/>
      <c r="F60" s="717"/>
      <c r="G60" s="717"/>
      <c r="H60" s="717"/>
      <c r="I60" s="717"/>
      <c r="J60" s="717"/>
      <c r="K60" s="717"/>
      <c r="L60" s="718"/>
    </row>
    <row r="61" spans="4:13" ht="16">
      <c r="D61" s="19"/>
      <c r="E61" s="716"/>
      <c r="F61" s="717"/>
      <c r="G61" s="717"/>
      <c r="H61" s="717"/>
      <c r="I61" s="717"/>
      <c r="J61" s="717"/>
      <c r="K61" s="717"/>
      <c r="L61" s="718"/>
    </row>
    <row r="62" spans="4:13" ht="13">
      <c r="E62" s="716"/>
      <c r="F62" s="717"/>
      <c r="G62" s="717"/>
      <c r="H62" s="717"/>
      <c r="I62" s="717"/>
      <c r="J62" s="717"/>
      <c r="K62" s="717"/>
      <c r="L62" s="718"/>
    </row>
    <row r="63" spans="4:13" ht="16">
      <c r="D63" s="19"/>
      <c r="E63" s="716"/>
      <c r="F63" s="717"/>
      <c r="G63" s="717"/>
      <c r="H63" s="717"/>
      <c r="I63" s="717"/>
      <c r="J63" s="717"/>
      <c r="K63" s="717"/>
      <c r="L63" s="718"/>
    </row>
    <row r="64" spans="4:13" ht="15.75" customHeight="1">
      <c r="D64" s="156"/>
      <c r="E64" s="716"/>
      <c r="F64" s="717"/>
      <c r="G64" s="717"/>
      <c r="H64" s="717"/>
      <c r="I64" s="717"/>
      <c r="J64" s="717"/>
      <c r="K64" s="717"/>
      <c r="L64" s="718"/>
    </row>
    <row r="65" spans="4:12" ht="14" thickBot="1">
      <c r="E65" s="719"/>
      <c r="F65" s="720"/>
      <c r="G65" s="720"/>
      <c r="H65" s="720"/>
      <c r="I65" s="720"/>
      <c r="J65" s="720"/>
      <c r="K65" s="720"/>
      <c r="L65" s="721"/>
    </row>
    <row r="66" spans="4:12" ht="15" customHeight="1" thickTop="1"/>
    <row r="67" spans="4:12" ht="16">
      <c r="D67" s="22"/>
    </row>
    <row r="68" spans="4:12" ht="13"/>
    <row r="69" spans="4:12" ht="13">
      <c r="D69" s="24"/>
    </row>
    <row r="70" spans="4:12" ht="13"/>
    <row r="71" spans="4:12" ht="12.75" customHeight="1"/>
    <row r="72" spans="4:12" ht="13"/>
    <row r="73" spans="4:12" ht="13"/>
    <row r="74" spans="4:12" ht="12.75" hidden="1" customHeight="1"/>
    <row r="75" spans="4:12" ht="16" hidden="1">
      <c r="D75" s="158"/>
    </row>
    <row r="76" spans="4:12" ht="13" hidden="1">
      <c r="D76" s="61"/>
    </row>
    <row r="77" spans="4:12" ht="13" hidden="1">
      <c r="D77" s="61"/>
    </row>
    <row r="78" spans="4:12" ht="15" hidden="1" customHeight="1">
      <c r="D78" s="61"/>
    </row>
    <row r="79" spans="4:12" ht="13" hidden="1">
      <c r="D79" s="61"/>
    </row>
    <row r="80" spans="4:12" ht="13" hidden="1">
      <c r="D80" s="61"/>
    </row>
    <row r="81" spans="4:13" ht="13" hidden="1">
      <c r="D81" s="274"/>
      <c r="M81" s="274"/>
    </row>
    <row r="82" spans="4:13" ht="13" hidden="1">
      <c r="D82" s="61"/>
    </row>
    <row r="83" spans="4:13" ht="13" hidden="1">
      <c r="D83" s="61"/>
    </row>
    <row r="84" spans="4:13" ht="12.75" hidden="1" customHeight="1">
      <c r="D84" s="61"/>
    </row>
    <row r="85" spans="4:13" ht="12.75" hidden="1" customHeight="1">
      <c r="D85" s="61"/>
    </row>
    <row r="86" spans="4:13" ht="12.75" hidden="1" customHeight="1"/>
    <row r="87" spans="4:13" ht="13" hidden="1"/>
    <row r="88" spans="4:13" ht="13" hidden="1">
      <c r="D88" s="61"/>
    </row>
    <row r="89" spans="4:13" ht="13" hidden="1">
      <c r="D89" s="61"/>
    </row>
    <row r="90" spans="4:13" ht="13" hidden="1"/>
    <row r="91" spans="4:13" ht="13" hidden="1">
      <c r="D91" s="61"/>
    </row>
    <row r="92" spans="4:13" ht="13" hidden="1"/>
    <row r="93" spans="4:13" ht="13" hidden="1"/>
    <row r="94" spans="4:13" ht="13" hidden="1"/>
    <row r="95" spans="4:13" ht="13" hidden="1"/>
    <row r="96" spans="4:13" ht="13" hidden="1"/>
  </sheetData>
  <mergeCells count="9">
    <mergeCell ref="E51:L53"/>
    <mergeCell ref="E59:L65"/>
    <mergeCell ref="E43:L43"/>
    <mergeCell ref="E44:L44"/>
    <mergeCell ref="E19:L21"/>
    <mergeCell ref="E24:L26"/>
    <mergeCell ref="E28:L29"/>
    <mergeCell ref="E30:L32"/>
    <mergeCell ref="E37:L39"/>
  </mergeCells>
  <phoneticPr fontId="9" type="noConversion"/>
  <conditionalFormatting sqref="M25">
    <cfRule type="cellIs" dxfId="160" priority="1" stopIfTrue="1" operator="lessThanOrEqual">
      <formula>0</formula>
    </cfRule>
  </conditionalFormatting>
  <pageMargins left="0.2" right="0.2" top="1" bottom="1" header="0.5" footer="0.5"/>
  <pageSetup paperSize="9" scale="70" orientation="portrait"/>
  <drawing r:id="rId1"/>
  <extLst>
    <ext xmlns:mx="http://schemas.microsoft.com/office/mac/excel/2008/main" uri="{64002731-A6B0-56B0-2670-7721B7C09600}">
      <mx:PLV Mode="0" OnePage="0" WScale="10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enableFormatConditionsCalculation="0"/>
  <dimension ref="A1:IV65536"/>
  <sheetViews>
    <sheetView showGridLines="0" showZeros="0" showOutlineSymbols="0" zoomScaleSheetLayoutView="75" workbookViewId="0">
      <selection activeCell="A3" sqref="A3"/>
    </sheetView>
  </sheetViews>
  <sheetFormatPr baseColWidth="10" defaultColWidth="0" defaultRowHeight="13" zeroHeight="1" x14ac:dyDescent="0"/>
  <cols>
    <col min="1" max="1" width="17.85546875" style="254" customWidth="1"/>
    <col min="2" max="2" width="0.7109375" style="254" customWidth="1"/>
    <col min="3" max="3" width="1.42578125" style="222" customWidth="1"/>
    <col min="4" max="4" width="32.85546875" style="35" customWidth="1"/>
    <col min="5" max="5" width="12.7109375" style="27" customWidth="1"/>
    <col min="6" max="6" width="16" style="27" bestFit="1" customWidth="1"/>
    <col min="7" max="8" width="12.7109375" style="27" customWidth="1"/>
    <col min="9" max="9" width="16.7109375" style="27" bestFit="1" customWidth="1"/>
    <col min="10" max="10" width="17.140625" style="27" bestFit="1" customWidth="1"/>
    <col min="11" max="11" width="6" style="263" customWidth="1"/>
    <col min="12" max="12" width="15.85546875" style="27" hidden="1" customWidth="1"/>
    <col min="13" max="13" width="14.42578125" style="27" hidden="1" customWidth="1"/>
    <col min="14" max="14" width="9.28515625" style="27" hidden="1" customWidth="1"/>
    <col min="15" max="15" width="11.85546875" style="27" hidden="1" customWidth="1"/>
    <col min="16" max="256" width="0" style="27" hidden="1" customWidth="1"/>
    <col min="257" max="16384" width="10.7109375" style="27" hidden="1"/>
  </cols>
  <sheetData>
    <row r="1" spans="1:11" ht="6" customHeight="1">
      <c r="D1" s="28"/>
      <c r="E1" s="26"/>
    </row>
    <row r="2" spans="1:11" s="33" customFormat="1" ht="16">
      <c r="A2" s="255"/>
      <c r="B2" s="254"/>
      <c r="C2" s="258"/>
      <c r="D2" s="227" t="s">
        <v>160</v>
      </c>
      <c r="E2" s="228" t="s">
        <v>346</v>
      </c>
      <c r="F2" s="31"/>
      <c r="G2" s="31"/>
      <c r="H2" s="32"/>
      <c r="I2" s="31"/>
      <c r="J2" s="31"/>
      <c r="K2" s="264"/>
    </row>
    <row r="3" spans="1:11" s="33" customFormat="1" ht="16">
      <c r="A3" s="255"/>
      <c r="B3" s="254"/>
      <c r="C3" s="258"/>
      <c r="D3" s="227" t="s">
        <v>42</v>
      </c>
      <c r="E3" s="532" t="s">
        <v>181</v>
      </c>
      <c r="F3" s="31"/>
      <c r="G3" s="31"/>
      <c r="H3" s="31"/>
      <c r="I3" s="31"/>
      <c r="J3" s="31"/>
      <c r="K3" s="264"/>
    </row>
    <row r="4" spans="1:11" s="33" customFormat="1" ht="16">
      <c r="A4" s="255"/>
      <c r="B4" s="254"/>
      <c r="C4" s="258"/>
      <c r="D4" s="227" t="s">
        <v>52</v>
      </c>
      <c r="E4" s="228" t="s">
        <v>347</v>
      </c>
      <c r="F4" s="31"/>
      <c r="G4" s="31"/>
      <c r="H4" s="31"/>
      <c r="I4" s="31"/>
      <c r="J4" s="31"/>
      <c r="K4" s="264"/>
    </row>
    <row r="5" spans="1:11" s="33" customFormat="1" ht="16">
      <c r="A5" s="255"/>
      <c r="B5" s="254"/>
      <c r="C5" s="258"/>
      <c r="D5" s="227" t="s">
        <v>217</v>
      </c>
      <c r="E5" s="228" t="str">
        <f>Voorblad!E46</f>
        <v>0302-52-2015 V1</v>
      </c>
      <c r="F5" s="31"/>
      <c r="G5" s="31"/>
      <c r="H5" s="31"/>
      <c r="I5" s="31"/>
      <c r="J5" s="31"/>
      <c r="K5" s="264"/>
    </row>
    <row r="6" spans="1:11" s="33" customFormat="1" ht="16">
      <c r="A6" s="255"/>
      <c r="B6" s="254"/>
      <c r="C6" s="258"/>
      <c r="D6" s="227" t="s">
        <v>158</v>
      </c>
      <c r="E6" s="228" t="s">
        <v>476</v>
      </c>
      <c r="F6" s="31"/>
      <c r="G6" s="31"/>
      <c r="H6" s="31"/>
      <c r="I6" s="31"/>
      <c r="J6" s="31"/>
      <c r="K6" s="264"/>
    </row>
    <row r="7" spans="1:11" s="33" customFormat="1" ht="16">
      <c r="A7" s="255"/>
      <c r="B7" s="254"/>
      <c r="C7" s="258"/>
      <c r="D7" s="227" t="s">
        <v>8</v>
      </c>
      <c r="E7" s="229">
        <v>42370</v>
      </c>
      <c r="F7" s="31"/>
      <c r="G7" s="31"/>
      <c r="H7" s="31"/>
      <c r="I7" s="31"/>
      <c r="J7" s="31"/>
      <c r="K7" s="264"/>
    </row>
    <row r="8" spans="1:11" s="33" customFormat="1" ht="16">
      <c r="A8" s="255"/>
      <c r="B8" s="254"/>
      <c r="C8" s="258"/>
      <c r="D8" s="227" t="s">
        <v>41</v>
      </c>
      <c r="E8" s="532" t="s">
        <v>679</v>
      </c>
      <c r="F8" s="31"/>
      <c r="G8" s="31"/>
      <c r="H8" s="31"/>
      <c r="I8" s="585">
        <f>Voorblad!$E$15</f>
        <v>42370</v>
      </c>
      <c r="J8" s="31"/>
      <c r="K8" s="264"/>
    </row>
    <row r="9" spans="1:11" s="33" customFormat="1" ht="24" customHeight="1">
      <c r="A9" s="255"/>
      <c r="B9" s="254"/>
      <c r="C9" s="258"/>
      <c r="D9" s="29"/>
      <c r="K9" s="264"/>
    </row>
    <row r="10" spans="1:11" s="33" customFormat="1" ht="16">
      <c r="A10" s="255"/>
      <c r="B10" s="254"/>
      <c r="C10" s="258"/>
      <c r="D10" s="28"/>
      <c r="F10" s="34"/>
      <c r="K10" s="264"/>
    </row>
    <row r="11" spans="1:11" s="33" customFormat="1" ht="16">
      <c r="A11" s="255"/>
      <c r="B11" s="254"/>
      <c r="C11" s="258"/>
      <c r="D11" s="220" t="s">
        <v>204</v>
      </c>
      <c r="E11" s="220"/>
      <c r="F11" s="220"/>
      <c r="G11" s="220"/>
      <c r="H11" s="220"/>
      <c r="I11" s="220"/>
      <c r="J11" s="221"/>
      <c r="K11" s="264"/>
    </row>
    <row r="12" spans="1:11">
      <c r="E12" s="222"/>
      <c r="F12" s="222"/>
      <c r="G12" s="222"/>
      <c r="H12" s="222"/>
      <c r="I12" s="222"/>
      <c r="J12" s="222"/>
    </row>
    <row r="13" spans="1:11" s="223" customFormat="1" ht="26">
      <c r="A13" s="256"/>
      <c r="B13" s="254"/>
      <c r="C13" s="259"/>
      <c r="D13" s="224" t="s">
        <v>211</v>
      </c>
      <c r="E13" s="225" t="s">
        <v>129</v>
      </c>
      <c r="F13" s="226" t="s">
        <v>113</v>
      </c>
      <c r="G13" s="226" t="s">
        <v>245</v>
      </c>
      <c r="H13" s="226" t="s">
        <v>209</v>
      </c>
      <c r="I13" s="226" t="s">
        <v>63</v>
      </c>
      <c r="J13" s="226" t="s">
        <v>90</v>
      </c>
      <c r="K13" s="265"/>
    </row>
    <row r="14" spans="1:11" s="62" customFormat="1" ht="21" customHeight="1">
      <c r="A14" s="257"/>
      <c r="B14" s="254"/>
      <c r="C14" s="260"/>
      <c r="D14" s="232" t="s">
        <v>26</v>
      </c>
      <c r="E14" s="233"/>
      <c r="F14" s="233"/>
      <c r="G14" s="234"/>
      <c r="H14" s="234"/>
      <c r="I14" s="234"/>
      <c r="J14" s="234"/>
      <c r="K14" s="266"/>
    </row>
    <row r="15" spans="1:11" s="62" customFormat="1" ht="39.75" customHeight="1">
      <c r="A15" s="262" t="s">
        <v>417</v>
      </c>
      <c r="B15" s="261"/>
      <c r="C15" s="260"/>
      <c r="D15" s="249" t="str">
        <f>VLOOKUP(A15,'1.5 Opbouw uurtarieven'!$A$12:$C$36,2,FALSE)</f>
        <v>11.01 Werknemer algemeen schoonmaakonderhoud 19 jaar 0 t/m 7 jaar</v>
      </c>
      <c r="J15" s="250"/>
      <c r="K15" s="266"/>
    </row>
    <row r="16" spans="1:11">
      <c r="D16" s="38" t="s">
        <v>219</v>
      </c>
      <c r="E16" s="154">
        <v>0.05</v>
      </c>
      <c r="F16" s="39">
        <f>H16/G16</f>
        <v>0</v>
      </c>
      <c r="G16" s="40">
        <v>200</v>
      </c>
      <c r="H16" s="39">
        <f>$H$29*E16</f>
        <v>0</v>
      </c>
      <c r="I16" s="41">
        <f>(VLOOKUP(A15,'1.5 Opbouw uurtarieven'!$A$12:$AU$44,41,FALSE))</f>
        <v>0</v>
      </c>
      <c r="J16" s="42">
        <f>I16*H16</f>
        <v>0</v>
      </c>
    </row>
    <row r="17" spans="1:256">
      <c r="D17" s="38"/>
      <c r="E17" s="38"/>
      <c r="F17" s="38"/>
      <c r="G17" s="38"/>
      <c r="H17" s="38"/>
      <c r="I17" s="38"/>
      <c r="J17" s="38"/>
      <c r="K17" s="267"/>
      <c r="L17" s="38"/>
      <c r="M17" s="38"/>
      <c r="N17" s="38"/>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38"/>
      <c r="CC17" s="38"/>
      <c r="CD17" s="38"/>
      <c r="CE17" s="38"/>
      <c r="CF17" s="38"/>
      <c r="CG17" s="38"/>
      <c r="CH17" s="38"/>
      <c r="CI17" s="38"/>
      <c r="CJ17" s="38"/>
      <c r="CK17" s="38"/>
      <c r="CL17" s="38"/>
      <c r="CM17" s="38"/>
      <c r="CN17" s="38"/>
      <c r="CO17" s="38"/>
      <c r="CP17" s="38"/>
      <c r="CQ17" s="38"/>
      <c r="CR17" s="38"/>
      <c r="CS17" s="38"/>
      <c r="CT17" s="38"/>
      <c r="CU17" s="38"/>
      <c r="CV17" s="38"/>
      <c r="CW17" s="38"/>
      <c r="CX17" s="38"/>
      <c r="CY17" s="38"/>
      <c r="CZ17" s="38"/>
      <c r="DA17" s="38"/>
      <c r="DB17" s="38"/>
      <c r="DC17" s="38"/>
      <c r="DD17" s="38"/>
      <c r="DE17" s="38"/>
      <c r="DF17" s="38"/>
      <c r="DG17" s="38"/>
      <c r="DH17" s="38"/>
      <c r="DI17" s="38"/>
      <c r="DJ17" s="38"/>
      <c r="DK17" s="38"/>
      <c r="DL17" s="38"/>
      <c r="DM17" s="38"/>
      <c r="DN17" s="38"/>
      <c r="DO17" s="38"/>
      <c r="DP17" s="38"/>
      <c r="DQ17" s="38"/>
      <c r="DR17" s="38"/>
      <c r="DS17" s="38"/>
      <c r="DT17" s="38"/>
      <c r="DU17" s="38"/>
      <c r="DV17" s="38"/>
      <c r="DW17" s="38"/>
      <c r="DX17" s="38"/>
      <c r="DY17" s="38"/>
      <c r="DZ17" s="38"/>
      <c r="EA17" s="38"/>
      <c r="EB17" s="38"/>
      <c r="EC17" s="38"/>
      <c r="ED17" s="38"/>
      <c r="EE17" s="38"/>
      <c r="EF17" s="38"/>
      <c r="EG17" s="38"/>
      <c r="EH17" s="38"/>
      <c r="EI17" s="38"/>
      <c r="EJ17" s="38"/>
      <c r="EK17" s="38"/>
      <c r="EL17" s="38"/>
      <c r="EM17" s="38"/>
      <c r="EN17" s="38"/>
      <c r="EO17" s="38"/>
      <c r="EP17" s="38"/>
      <c r="EQ17" s="38"/>
      <c r="ER17" s="38"/>
      <c r="ES17" s="38"/>
      <c r="ET17" s="38"/>
      <c r="EU17" s="38"/>
      <c r="EV17" s="38"/>
      <c r="EW17" s="38"/>
      <c r="EX17" s="38"/>
      <c r="EY17" s="38"/>
      <c r="EZ17" s="38"/>
      <c r="FA17" s="38"/>
      <c r="FB17" s="38"/>
      <c r="FC17" s="38"/>
      <c r="FD17" s="38"/>
      <c r="FE17" s="38"/>
      <c r="FF17" s="38"/>
      <c r="FG17" s="38"/>
      <c r="FH17" s="38"/>
      <c r="FI17" s="38"/>
      <c r="FJ17" s="38"/>
      <c r="FK17" s="38"/>
      <c r="FL17" s="38"/>
      <c r="FM17" s="38"/>
      <c r="FN17" s="38"/>
      <c r="FO17" s="38"/>
      <c r="FP17" s="38"/>
      <c r="FQ17" s="38"/>
      <c r="FR17" s="38"/>
      <c r="FS17" s="38"/>
      <c r="FT17" s="38"/>
      <c r="FU17" s="38"/>
      <c r="FV17" s="38"/>
      <c r="FW17" s="38"/>
      <c r="FX17" s="38"/>
      <c r="FY17" s="38"/>
      <c r="FZ17" s="38"/>
      <c r="GA17" s="38"/>
      <c r="GB17" s="38"/>
      <c r="GC17" s="38"/>
      <c r="GD17" s="38"/>
      <c r="GE17" s="38"/>
      <c r="GF17" s="38"/>
      <c r="GG17" s="38"/>
      <c r="GH17" s="38"/>
      <c r="GI17" s="38"/>
      <c r="GJ17" s="38"/>
      <c r="GK17" s="38"/>
      <c r="GL17" s="38"/>
      <c r="GM17" s="38"/>
      <c r="GN17" s="38"/>
      <c r="GO17" s="38"/>
      <c r="GP17" s="38"/>
      <c r="GQ17" s="38"/>
      <c r="GR17" s="38"/>
      <c r="GS17" s="38"/>
      <c r="GT17" s="38"/>
      <c r="GU17" s="38"/>
      <c r="GV17" s="38"/>
      <c r="GW17" s="38"/>
      <c r="GX17" s="38"/>
      <c r="GY17" s="38"/>
      <c r="GZ17" s="38"/>
      <c r="HA17" s="38"/>
      <c r="HB17" s="38"/>
      <c r="HC17" s="38"/>
      <c r="HD17" s="38"/>
      <c r="HE17" s="38"/>
      <c r="HF17" s="38"/>
      <c r="HG17" s="38"/>
      <c r="HH17" s="38"/>
      <c r="HI17" s="38"/>
      <c r="HJ17" s="38"/>
      <c r="HK17" s="38"/>
      <c r="HL17" s="38"/>
      <c r="HM17" s="38"/>
      <c r="HN17" s="38"/>
      <c r="HO17" s="38"/>
      <c r="HP17" s="38"/>
      <c r="HQ17" s="38"/>
      <c r="HR17" s="38"/>
      <c r="HS17" s="38"/>
      <c r="HT17" s="38"/>
      <c r="HU17" s="38"/>
      <c r="HV17" s="38"/>
      <c r="HW17" s="38"/>
      <c r="HX17" s="38"/>
      <c r="HY17" s="38"/>
      <c r="HZ17" s="38"/>
      <c r="IA17" s="38"/>
      <c r="IB17" s="38"/>
      <c r="IC17" s="38"/>
      <c r="ID17" s="38"/>
      <c r="IE17" s="38"/>
      <c r="IF17" s="38"/>
      <c r="IG17" s="38"/>
      <c r="IH17" s="38"/>
      <c r="II17" s="38"/>
      <c r="IJ17" s="38"/>
      <c r="IK17" s="38"/>
      <c r="IL17" s="38"/>
      <c r="IM17" s="38"/>
      <c r="IN17" s="38"/>
      <c r="IO17" s="38"/>
      <c r="IP17" s="38"/>
      <c r="IQ17" s="38"/>
      <c r="IR17" s="38"/>
      <c r="IS17" s="38"/>
      <c r="IT17" s="38"/>
      <c r="IU17" s="38"/>
      <c r="IV17" s="38"/>
    </row>
    <row r="18" spans="1:256" s="62" customFormat="1" ht="39.75" customHeight="1">
      <c r="A18" s="262" t="s">
        <v>275</v>
      </c>
      <c r="B18" s="261"/>
      <c r="C18" s="260"/>
      <c r="D18" s="249" t="str">
        <f>VLOOKUP(A18,'1.5 Opbouw uurtarieven'!$A$12:$C$36,2,FALSE)</f>
        <v>11.01 Werknemer algemeen schoonmaakonderhoud 0 t/m 7 jaar</v>
      </c>
      <c r="J18" s="250"/>
      <c r="K18" s="266"/>
    </row>
    <row r="19" spans="1:256">
      <c r="D19" s="38" t="s">
        <v>219</v>
      </c>
      <c r="E19" s="154">
        <v>0.95</v>
      </c>
      <c r="F19" s="39">
        <f>H19/G19</f>
        <v>0</v>
      </c>
      <c r="G19" s="40">
        <v>200</v>
      </c>
      <c r="H19" s="39">
        <f>$H$29*E19</f>
        <v>0</v>
      </c>
      <c r="I19" s="41">
        <f>(VLOOKUP(A18,'1.5 Opbouw uurtarieven'!$A$12:$AU$44,41,FALSE))</f>
        <v>0</v>
      </c>
      <c r="J19" s="42">
        <f>I19*H19</f>
        <v>0</v>
      </c>
    </row>
    <row r="20" spans="1:256">
      <c r="D20" s="38"/>
      <c r="E20" s="38"/>
      <c r="F20" s="38"/>
      <c r="G20" s="38"/>
      <c r="H20" s="38"/>
      <c r="I20" s="38"/>
      <c r="J20" s="38"/>
      <c r="K20" s="267"/>
      <c r="L20" s="38"/>
      <c r="M20" s="38"/>
      <c r="N20" s="38"/>
      <c r="O20" s="38"/>
      <c r="P20" s="38"/>
      <c r="Q20" s="38"/>
      <c r="R20" s="38"/>
      <c r="S20" s="38"/>
      <c r="T20" s="38"/>
      <c r="U20" s="38"/>
      <c r="V20" s="38"/>
      <c r="W20" s="38"/>
      <c r="X20" s="38"/>
      <c r="Y20" s="38"/>
      <c r="Z20" s="38"/>
      <c r="AA20" s="38"/>
      <c r="AB20" s="38"/>
      <c r="AC20" s="38"/>
      <c r="AD20" s="38"/>
      <c r="AE20" s="38"/>
      <c r="AF20" s="38"/>
      <c r="AG20" s="38"/>
      <c r="AH20" s="38"/>
      <c r="AI20" s="38"/>
      <c r="AJ20" s="38"/>
      <c r="AK20" s="38"/>
      <c r="AL20" s="38"/>
      <c r="AM20" s="38"/>
      <c r="AN20" s="38"/>
      <c r="AO20" s="38"/>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38"/>
      <c r="CI20" s="38"/>
      <c r="CJ20" s="38"/>
      <c r="CK20" s="38"/>
      <c r="CL20" s="38"/>
      <c r="CM20" s="38"/>
      <c r="CN20" s="38"/>
      <c r="CO20" s="38"/>
      <c r="CP20" s="38"/>
      <c r="CQ20" s="38"/>
      <c r="CR20" s="38"/>
      <c r="CS20" s="38"/>
      <c r="CT20" s="38"/>
      <c r="CU20" s="38"/>
      <c r="CV20" s="38"/>
      <c r="CW20" s="38"/>
      <c r="CX20" s="38"/>
      <c r="CY20" s="38"/>
      <c r="CZ20" s="38"/>
      <c r="DA20" s="38"/>
      <c r="DB20" s="38"/>
      <c r="DC20" s="38"/>
      <c r="DD20" s="38"/>
      <c r="DE20" s="38"/>
      <c r="DF20" s="38"/>
      <c r="DG20" s="38"/>
      <c r="DH20" s="38"/>
      <c r="DI20" s="38"/>
      <c r="DJ20" s="38"/>
      <c r="DK20" s="38"/>
      <c r="DL20" s="38"/>
      <c r="DM20" s="38"/>
      <c r="DN20" s="38"/>
      <c r="DO20" s="38"/>
      <c r="DP20" s="38"/>
      <c r="DQ20" s="38"/>
      <c r="DR20" s="38"/>
      <c r="DS20" s="38"/>
      <c r="DT20" s="38"/>
      <c r="DU20" s="38"/>
      <c r="DV20" s="38"/>
      <c r="DW20" s="38"/>
      <c r="DX20" s="38"/>
      <c r="DY20" s="38"/>
      <c r="DZ20" s="38"/>
      <c r="EA20" s="38"/>
      <c r="EB20" s="38"/>
      <c r="EC20" s="38"/>
      <c r="ED20" s="38"/>
      <c r="EE20" s="38"/>
      <c r="EF20" s="38"/>
      <c r="EG20" s="38"/>
      <c r="EH20" s="38"/>
      <c r="EI20" s="38"/>
      <c r="EJ20" s="38"/>
      <c r="EK20" s="38"/>
      <c r="EL20" s="38"/>
      <c r="EM20" s="38"/>
      <c r="EN20" s="38"/>
      <c r="EO20" s="38"/>
      <c r="EP20" s="38"/>
      <c r="EQ20" s="38"/>
      <c r="ER20" s="38"/>
      <c r="ES20" s="38"/>
      <c r="ET20" s="38"/>
      <c r="EU20" s="38"/>
      <c r="EV20" s="38"/>
      <c r="EW20" s="38"/>
      <c r="EX20" s="38"/>
      <c r="EY20" s="38"/>
      <c r="EZ20" s="38"/>
      <c r="FA20" s="38"/>
      <c r="FB20" s="38"/>
      <c r="FC20" s="38"/>
      <c r="FD20" s="38"/>
      <c r="FE20" s="38"/>
      <c r="FF20" s="38"/>
      <c r="FG20" s="38"/>
      <c r="FH20" s="38"/>
      <c r="FI20" s="38"/>
      <c r="FJ20" s="38"/>
      <c r="FK20" s="38"/>
      <c r="FL20" s="38"/>
      <c r="FM20" s="38"/>
      <c r="FN20" s="38"/>
      <c r="FO20" s="38"/>
      <c r="FP20" s="38"/>
      <c r="FQ20" s="38"/>
      <c r="FR20" s="38"/>
      <c r="FS20" s="38"/>
      <c r="FT20" s="38"/>
      <c r="FU20" s="38"/>
      <c r="FV20" s="38"/>
      <c r="FW20" s="38"/>
      <c r="FX20" s="38"/>
      <c r="FY20" s="38"/>
      <c r="FZ20" s="38"/>
      <c r="GA20" s="38"/>
      <c r="GB20" s="38"/>
      <c r="GC20" s="38"/>
      <c r="GD20" s="38"/>
      <c r="GE20" s="38"/>
      <c r="GF20" s="38"/>
      <c r="GG20" s="38"/>
      <c r="GH20" s="38"/>
      <c r="GI20" s="38"/>
      <c r="GJ20" s="38"/>
      <c r="GK20" s="38"/>
      <c r="GL20" s="38"/>
      <c r="GM20" s="38"/>
      <c r="GN20" s="38"/>
      <c r="GO20" s="38"/>
      <c r="GP20" s="38"/>
      <c r="GQ20" s="38"/>
      <c r="GR20" s="38"/>
      <c r="GS20" s="38"/>
      <c r="GT20" s="38"/>
      <c r="GU20" s="38"/>
      <c r="GV20" s="38"/>
      <c r="GW20" s="38"/>
      <c r="GX20" s="38"/>
      <c r="GY20" s="38"/>
      <c r="GZ20" s="38"/>
      <c r="HA20" s="38"/>
      <c r="HB20" s="38"/>
      <c r="HC20" s="38"/>
      <c r="HD20" s="38"/>
      <c r="HE20" s="38"/>
      <c r="HF20" s="38"/>
      <c r="HG20" s="38"/>
      <c r="HH20" s="38"/>
      <c r="HI20" s="38"/>
      <c r="HJ20" s="38"/>
      <c r="HK20" s="38"/>
      <c r="HL20" s="38"/>
      <c r="HM20" s="38"/>
      <c r="HN20" s="38"/>
      <c r="HO20" s="38"/>
      <c r="HP20" s="38"/>
      <c r="HQ20" s="38"/>
      <c r="HR20" s="38"/>
      <c r="HS20" s="38"/>
      <c r="HT20" s="38"/>
      <c r="HU20" s="38"/>
      <c r="HV20" s="38"/>
      <c r="HW20" s="38"/>
      <c r="HX20" s="38"/>
      <c r="HY20" s="38"/>
      <c r="HZ20" s="38"/>
      <c r="IA20" s="38"/>
      <c r="IB20" s="38"/>
      <c r="IC20" s="38"/>
      <c r="ID20" s="38"/>
      <c r="IE20" s="38"/>
      <c r="IF20" s="38"/>
      <c r="IG20" s="38"/>
      <c r="IH20" s="38"/>
      <c r="II20" s="38"/>
      <c r="IJ20" s="38"/>
      <c r="IK20" s="38"/>
      <c r="IL20" s="38"/>
      <c r="IM20" s="38"/>
      <c r="IN20" s="38"/>
      <c r="IO20" s="38"/>
      <c r="IP20" s="38"/>
      <c r="IQ20" s="38"/>
      <c r="IR20" s="38"/>
      <c r="IS20" s="38"/>
      <c r="IT20" s="38"/>
      <c r="IU20" s="38"/>
      <c r="IV20" s="38"/>
    </row>
    <row r="21" spans="1:256" s="62" customFormat="1" ht="39.75" customHeight="1">
      <c r="A21" s="262">
        <v>0</v>
      </c>
      <c r="B21" s="261"/>
      <c r="C21" s="260"/>
      <c r="D21" s="249">
        <f>VLOOKUP(A21,'1.5 Opbouw uurtarieven'!$A$12:$C$36,2,FALSE)</f>
        <v>0</v>
      </c>
      <c r="J21" s="250"/>
      <c r="K21" s="266"/>
    </row>
    <row r="22" spans="1:256">
      <c r="D22" s="38" t="s">
        <v>219</v>
      </c>
      <c r="E22" s="154">
        <v>0</v>
      </c>
      <c r="F22" s="39">
        <f>H22/G22</f>
        <v>0</v>
      </c>
      <c r="G22" s="40">
        <v>200</v>
      </c>
      <c r="H22" s="39">
        <f>$H$29*E22</f>
        <v>0</v>
      </c>
      <c r="I22" s="41">
        <f>(VLOOKUP(A21,'1.5 Opbouw uurtarieven'!$A$12:$AU$44,41,FALSE))</f>
        <v>0</v>
      </c>
      <c r="J22" s="42">
        <f>I22*H22</f>
        <v>0</v>
      </c>
    </row>
    <row r="23" spans="1:256">
      <c r="D23" s="38"/>
      <c r="E23" s="38"/>
      <c r="F23" s="38"/>
      <c r="G23" s="38"/>
      <c r="H23" s="38"/>
      <c r="I23" s="38"/>
      <c r="J23" s="38"/>
      <c r="K23" s="267"/>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c r="DT23" s="38"/>
      <c r="DU23" s="38"/>
      <c r="DV23" s="38"/>
      <c r="DW23" s="38"/>
      <c r="DX23" s="38"/>
      <c r="DY23" s="38"/>
      <c r="DZ23" s="38"/>
      <c r="EA23" s="38"/>
      <c r="EB23" s="38"/>
      <c r="EC23" s="38"/>
      <c r="ED23" s="38"/>
      <c r="EE23" s="38"/>
      <c r="EF23" s="38"/>
      <c r="EG23" s="38"/>
      <c r="EH23" s="38"/>
      <c r="EI23" s="38"/>
      <c r="EJ23" s="38"/>
      <c r="EK23" s="38"/>
      <c r="EL23" s="38"/>
      <c r="EM23" s="38"/>
      <c r="EN23" s="38"/>
      <c r="EO23" s="38"/>
      <c r="EP23" s="38"/>
      <c r="EQ23" s="38"/>
      <c r="ER23" s="38"/>
      <c r="ES23" s="38"/>
      <c r="ET23" s="38"/>
      <c r="EU23" s="38"/>
      <c r="EV23" s="38"/>
      <c r="EW23" s="38"/>
      <c r="EX23" s="38"/>
      <c r="EY23" s="38"/>
      <c r="EZ23" s="38"/>
      <c r="FA23" s="38"/>
      <c r="FB23" s="38"/>
      <c r="FC23" s="38"/>
      <c r="FD23" s="38"/>
      <c r="FE23" s="38"/>
      <c r="FF23" s="38"/>
      <c r="FG23" s="38"/>
      <c r="FH23" s="38"/>
      <c r="FI23" s="38"/>
      <c r="FJ23" s="38"/>
      <c r="FK23" s="38"/>
      <c r="FL23" s="38"/>
      <c r="FM23" s="38"/>
      <c r="FN23" s="38"/>
      <c r="FO23" s="38"/>
      <c r="FP23" s="38"/>
      <c r="FQ23" s="38"/>
      <c r="FR23" s="38"/>
      <c r="FS23" s="38"/>
      <c r="FT23" s="38"/>
      <c r="FU23" s="38"/>
      <c r="FV23" s="38"/>
      <c r="FW23" s="38"/>
      <c r="FX23" s="38"/>
      <c r="FY23" s="38"/>
      <c r="FZ23" s="38"/>
      <c r="GA23" s="38"/>
      <c r="GB23" s="38"/>
      <c r="GC23" s="38"/>
      <c r="GD23" s="38"/>
      <c r="GE23" s="38"/>
      <c r="GF23" s="38"/>
      <c r="GG23" s="38"/>
      <c r="GH23" s="38"/>
      <c r="GI23" s="38"/>
      <c r="GJ23" s="38"/>
      <c r="GK23" s="38"/>
      <c r="GL23" s="38"/>
      <c r="GM23" s="38"/>
      <c r="GN23" s="38"/>
      <c r="GO23" s="38"/>
      <c r="GP23" s="38"/>
      <c r="GQ23" s="38"/>
      <c r="GR23" s="38"/>
      <c r="GS23" s="38"/>
      <c r="GT23" s="38"/>
      <c r="GU23" s="38"/>
      <c r="GV23" s="38"/>
      <c r="GW23" s="38"/>
      <c r="GX23" s="38"/>
      <c r="GY23" s="38"/>
      <c r="GZ23" s="38"/>
      <c r="HA23" s="38"/>
      <c r="HB23" s="38"/>
      <c r="HC23" s="38"/>
      <c r="HD23" s="38"/>
      <c r="HE23" s="38"/>
      <c r="HF23" s="38"/>
      <c r="HG23" s="38"/>
      <c r="HH23" s="38"/>
      <c r="HI23" s="38"/>
      <c r="HJ23" s="38"/>
      <c r="HK23" s="38"/>
      <c r="HL23" s="38"/>
      <c r="HM23" s="38"/>
      <c r="HN23" s="38"/>
      <c r="HO23" s="38"/>
      <c r="HP23" s="38"/>
      <c r="HQ23" s="38"/>
      <c r="HR23" s="38"/>
      <c r="HS23" s="38"/>
      <c r="HT23" s="38"/>
      <c r="HU23" s="38"/>
      <c r="HV23" s="38"/>
      <c r="HW23" s="38"/>
      <c r="HX23" s="38"/>
      <c r="HY23" s="38"/>
      <c r="HZ23" s="38"/>
      <c r="IA23" s="38"/>
      <c r="IB23" s="38"/>
      <c r="IC23" s="38"/>
      <c r="ID23" s="38"/>
      <c r="IE23" s="38"/>
      <c r="IF23" s="38"/>
      <c r="IG23" s="38"/>
      <c r="IH23" s="38"/>
      <c r="II23" s="38"/>
      <c r="IJ23" s="38"/>
      <c r="IK23" s="38"/>
      <c r="IL23" s="38"/>
      <c r="IM23" s="38"/>
      <c r="IN23" s="38"/>
      <c r="IO23" s="38"/>
      <c r="IP23" s="38"/>
      <c r="IQ23" s="38"/>
      <c r="IR23" s="38"/>
      <c r="IS23" s="38"/>
      <c r="IT23" s="38"/>
      <c r="IU23" s="38"/>
      <c r="IV23" s="38"/>
    </row>
    <row r="24" spans="1:256" s="62" customFormat="1" ht="39.75" customHeight="1">
      <c r="A24" s="262">
        <v>0</v>
      </c>
      <c r="B24" s="254"/>
      <c r="C24" s="260"/>
      <c r="D24" s="249">
        <f>VLOOKUP(A24,'1.5 Opbouw uurtarieven'!$A$12:$C$36,2,FALSE)</f>
        <v>0</v>
      </c>
      <c r="J24" s="250"/>
      <c r="K24" s="266"/>
    </row>
    <row r="25" spans="1:256">
      <c r="D25" s="38" t="s">
        <v>219</v>
      </c>
      <c r="E25" s="154"/>
      <c r="F25" s="39">
        <f>H25/G25</f>
        <v>0</v>
      </c>
      <c r="G25" s="40">
        <v>200</v>
      </c>
      <c r="H25" s="39">
        <f>$H$29*E25</f>
        <v>0</v>
      </c>
      <c r="I25" s="41">
        <f>(VLOOKUP(A24,'1.5 Opbouw uurtarieven'!$A$12:$AU$44,41,FALSE))</f>
        <v>0</v>
      </c>
      <c r="J25" s="42">
        <f>I25*H25</f>
        <v>0</v>
      </c>
    </row>
    <row r="26" spans="1:256">
      <c r="D26" s="38"/>
      <c r="E26" s="38"/>
      <c r="F26" s="38"/>
      <c r="G26" s="38"/>
      <c r="H26" s="38"/>
      <c r="I26" s="38"/>
      <c r="J26" s="38"/>
      <c r="K26" s="267"/>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c r="CV26" s="38"/>
      <c r="CW26" s="38"/>
      <c r="CX26" s="38"/>
      <c r="CY26" s="38"/>
      <c r="CZ26" s="38"/>
      <c r="DA26" s="38"/>
      <c r="DB26" s="38"/>
      <c r="DC26" s="38"/>
      <c r="DD26" s="38"/>
      <c r="DE26" s="38"/>
      <c r="DF26" s="38"/>
      <c r="DG26" s="38"/>
      <c r="DH26" s="38"/>
      <c r="DI26" s="38"/>
      <c r="DJ26" s="38"/>
      <c r="DK26" s="38"/>
      <c r="DL26" s="38"/>
      <c r="DM26" s="38"/>
      <c r="DN26" s="38"/>
      <c r="DO26" s="38"/>
      <c r="DP26" s="38"/>
      <c r="DQ26" s="38"/>
      <c r="DR26" s="38"/>
      <c r="DS26" s="38"/>
      <c r="DT26" s="38"/>
      <c r="DU26" s="38"/>
      <c r="DV26" s="38"/>
      <c r="DW26" s="38"/>
      <c r="DX26" s="38"/>
      <c r="DY26" s="38"/>
      <c r="DZ26" s="38"/>
      <c r="EA26" s="38"/>
      <c r="EB26" s="38"/>
      <c r="EC26" s="38"/>
      <c r="ED26" s="38"/>
      <c r="EE26" s="38"/>
      <c r="EF26" s="38"/>
      <c r="EG26" s="38"/>
      <c r="EH26" s="38"/>
      <c r="EI26" s="38"/>
      <c r="EJ26" s="38"/>
      <c r="EK26" s="38"/>
      <c r="EL26" s="38"/>
      <c r="EM26" s="38"/>
      <c r="EN26" s="38"/>
      <c r="EO26" s="38"/>
      <c r="EP26" s="38"/>
      <c r="EQ26" s="38"/>
      <c r="ER26" s="38"/>
      <c r="ES26" s="38"/>
      <c r="ET26" s="38"/>
      <c r="EU26" s="38"/>
      <c r="EV26" s="38"/>
      <c r="EW26" s="38"/>
      <c r="EX26" s="38"/>
      <c r="EY26" s="38"/>
      <c r="EZ26" s="38"/>
      <c r="FA26" s="38"/>
      <c r="FB26" s="38"/>
      <c r="FC26" s="38"/>
      <c r="FD26" s="38"/>
      <c r="FE26" s="38"/>
      <c r="FF26" s="38"/>
      <c r="FG26" s="38"/>
      <c r="FH26" s="38"/>
      <c r="FI26" s="38"/>
      <c r="FJ26" s="38"/>
      <c r="FK26" s="38"/>
      <c r="FL26" s="38"/>
      <c r="FM26" s="38"/>
      <c r="FN26" s="38"/>
      <c r="FO26" s="38"/>
      <c r="FP26" s="38"/>
      <c r="FQ26" s="38"/>
      <c r="FR26" s="38"/>
      <c r="FS26" s="38"/>
      <c r="FT26" s="38"/>
      <c r="FU26" s="38"/>
      <c r="FV26" s="38"/>
      <c r="FW26" s="38"/>
      <c r="FX26" s="38"/>
      <c r="FY26" s="38"/>
      <c r="FZ26" s="38"/>
      <c r="GA26" s="38"/>
      <c r="GB26" s="38"/>
      <c r="GC26" s="38"/>
      <c r="GD26" s="38"/>
      <c r="GE26" s="38"/>
      <c r="GF26" s="38"/>
      <c r="GG26" s="38"/>
      <c r="GH26" s="38"/>
      <c r="GI26" s="38"/>
      <c r="GJ26" s="38"/>
      <c r="GK26" s="38"/>
      <c r="GL26" s="38"/>
      <c r="GM26" s="38"/>
      <c r="GN26" s="38"/>
      <c r="GO26" s="38"/>
      <c r="GP26" s="38"/>
      <c r="GQ26" s="38"/>
      <c r="GR26" s="38"/>
      <c r="GS26" s="38"/>
      <c r="GT26" s="38"/>
      <c r="GU26" s="38"/>
      <c r="GV26" s="38"/>
      <c r="GW26" s="38"/>
      <c r="GX26" s="38"/>
      <c r="GY26" s="38"/>
      <c r="GZ26" s="38"/>
      <c r="HA26" s="38"/>
      <c r="HB26" s="38"/>
      <c r="HC26" s="38"/>
      <c r="HD26" s="38"/>
      <c r="HE26" s="38"/>
      <c r="HF26" s="38"/>
      <c r="HG26" s="38"/>
      <c r="HH26" s="38"/>
      <c r="HI26" s="38"/>
      <c r="HJ26" s="38"/>
      <c r="HK26" s="38"/>
      <c r="HL26" s="38"/>
      <c r="HM26" s="38"/>
      <c r="HN26" s="38"/>
      <c r="HO26" s="38"/>
      <c r="HP26" s="38"/>
      <c r="HQ26" s="38"/>
      <c r="HR26" s="38"/>
      <c r="HS26" s="38"/>
      <c r="HT26" s="38"/>
      <c r="HU26" s="38"/>
      <c r="HV26" s="38"/>
      <c r="HW26" s="38"/>
      <c r="HX26" s="38"/>
      <c r="HY26" s="38"/>
      <c r="HZ26" s="38"/>
      <c r="IA26" s="38"/>
      <c r="IB26" s="38"/>
      <c r="IC26" s="38"/>
      <c r="ID26" s="38"/>
      <c r="IE26" s="38"/>
      <c r="IF26" s="38"/>
      <c r="IG26" s="38"/>
      <c r="IH26" s="38"/>
      <c r="II26" s="38"/>
      <c r="IJ26" s="38"/>
      <c r="IK26" s="38"/>
      <c r="IL26" s="38"/>
      <c r="IM26" s="38"/>
      <c r="IN26" s="38"/>
      <c r="IO26" s="38"/>
      <c r="IP26" s="38"/>
      <c r="IQ26" s="38"/>
      <c r="IR26" s="38"/>
      <c r="IS26" s="38"/>
      <c r="IT26" s="38"/>
      <c r="IU26" s="38"/>
      <c r="IV26" s="38"/>
    </row>
    <row r="27" spans="1:256" s="62" customFormat="1" ht="39.75" customHeight="1">
      <c r="A27" s="262" t="s">
        <v>617</v>
      </c>
      <c r="B27" s="254"/>
      <c r="C27" s="260"/>
      <c r="D27" s="249" t="str">
        <f>VLOOKUP(A27,'1.5 Opbouw uurtarieven'!$A$12:$C$36,2,FALSE)</f>
        <v>11.02 Werknemer meewerkend toezicht algemeen schoonmaakonderhoud 8 jaar en meer</v>
      </c>
      <c r="J27" s="250"/>
      <c r="K27" s="266"/>
    </row>
    <row r="28" spans="1:256">
      <c r="D28" s="38" t="s">
        <v>219</v>
      </c>
      <c r="E28" s="194">
        <v>0</v>
      </c>
      <c r="F28" s="44">
        <f>H28/G28</f>
        <v>0</v>
      </c>
      <c r="G28" s="40">
        <v>200</v>
      </c>
      <c r="H28" s="44">
        <f>$H$29*E28</f>
        <v>0</v>
      </c>
      <c r="I28" s="41">
        <f>(VLOOKUP(A27,'1.5 Opbouw uurtarieven'!$A$12:$AU$44,41,FALSE))</f>
        <v>0</v>
      </c>
      <c r="J28" s="45">
        <f>I28*H28</f>
        <v>0</v>
      </c>
    </row>
    <row r="29" spans="1:256" s="62" customFormat="1" ht="18" customHeight="1">
      <c r="A29" s="725" t="str">
        <f>IF(E29&gt;=100%,"Totaal productie-uren, maximaal 100%",0)</f>
        <v>Totaal productie-uren, maximaal 100%</v>
      </c>
      <c r="B29" s="254"/>
      <c r="C29" s="260"/>
      <c r="D29" s="232"/>
      <c r="E29" s="237">
        <f>E28+E25+E22+E19+E16</f>
        <v>1</v>
      </c>
      <c r="F29" s="238">
        <f>SUM(F16:F28)</f>
        <v>0</v>
      </c>
      <c r="G29" s="234"/>
      <c r="H29" s="238">
        <f>SUM('1.3-Basis ruimtestaat'!R:S)</f>
        <v>0</v>
      </c>
      <c r="I29" s="233"/>
      <c r="J29" s="239">
        <f>SUM(J16:J28)</f>
        <v>0</v>
      </c>
      <c r="K29" s="266"/>
      <c r="L29" s="214">
        <f>IF(H29=0,0,J29/H29)</f>
        <v>0</v>
      </c>
    </row>
    <row r="30" spans="1:256" s="62" customFormat="1" ht="21" customHeight="1">
      <c r="A30" s="726"/>
      <c r="B30" s="254"/>
      <c r="C30" s="260"/>
      <c r="D30" s="232" t="s">
        <v>94</v>
      </c>
      <c r="G30" s="234"/>
      <c r="H30" s="234"/>
      <c r="I30" s="234"/>
      <c r="J30" s="234"/>
      <c r="K30" s="266"/>
      <c r="L30" s="235"/>
    </row>
    <row r="31" spans="1:256" s="62" customFormat="1" ht="65">
      <c r="A31" s="262" t="s">
        <v>418</v>
      </c>
      <c r="B31" s="254"/>
      <c r="C31" s="260"/>
      <c r="D31" s="249" t="str">
        <f>VLOOKUP(A31,'1.5 Opbouw uurtarieven'!$A$12:$C$36,2,FALSE)</f>
        <v>11.02 Werknemer niet meewerkend toezicht algemeen schoonmaakonderhoud 8 jaar en meer</v>
      </c>
      <c r="J31" s="250"/>
      <c r="K31" s="266"/>
      <c r="L31" s="251"/>
    </row>
    <row r="32" spans="1:256">
      <c r="D32" s="231" t="s">
        <v>219</v>
      </c>
      <c r="E32" s="154">
        <v>0</v>
      </c>
      <c r="F32" s="39">
        <f>H32/G32</f>
        <v>0</v>
      </c>
      <c r="G32" s="40">
        <v>200</v>
      </c>
      <c r="H32" s="39">
        <f>E32*$H$29</f>
        <v>0</v>
      </c>
      <c r="I32" s="41">
        <f>(VLOOKUP(A31,'1.5 Opbouw uurtarieven'!$A$12:$AU$44,41,FALSE))</f>
        <v>0</v>
      </c>
      <c r="J32" s="42">
        <f>I32*H32</f>
        <v>0</v>
      </c>
    </row>
    <row r="33" spans="1:256">
      <c r="D33" s="231"/>
      <c r="E33" s="62"/>
      <c r="F33" s="39"/>
      <c r="G33" s="40"/>
      <c r="H33" s="39"/>
      <c r="I33" s="41"/>
      <c r="J33" s="42"/>
    </row>
    <row r="34" spans="1:256" s="62" customFormat="1" ht="39.75" customHeight="1">
      <c r="A34" s="262">
        <v>0</v>
      </c>
      <c r="B34" s="254"/>
      <c r="C34" s="260"/>
      <c r="D34" s="249">
        <f>VLOOKUP(A34,'1.5 Opbouw uurtarieven'!$A$12:$C$36,2,FALSE)</f>
        <v>0</v>
      </c>
      <c r="J34" s="250"/>
      <c r="K34" s="266"/>
      <c r="L34" s="251"/>
    </row>
    <row r="35" spans="1:256">
      <c r="D35" s="231" t="s">
        <v>219</v>
      </c>
      <c r="E35" s="154">
        <v>0</v>
      </c>
      <c r="F35" s="39">
        <f>H35/G35</f>
        <v>0</v>
      </c>
      <c r="G35" s="40">
        <v>200</v>
      </c>
      <c r="H35" s="39">
        <f>E35*$H$29</f>
        <v>0</v>
      </c>
      <c r="I35" s="41">
        <f>(VLOOKUP(A34,'1.5 Opbouw uurtarieven'!$A$12:$AU$44,41,FALSE))</f>
        <v>0</v>
      </c>
      <c r="J35" s="42">
        <f>I35*H35</f>
        <v>0</v>
      </c>
    </row>
    <row r="36" spans="1:256">
      <c r="D36" s="231"/>
      <c r="E36" s="38"/>
      <c r="F36" s="38"/>
      <c r="G36" s="38"/>
      <c r="H36" s="38"/>
      <c r="I36" s="38"/>
      <c r="J36" s="38"/>
      <c r="K36" s="267"/>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c r="FP36" s="38"/>
      <c r="FQ36" s="38"/>
      <c r="FR36" s="38"/>
      <c r="FS36" s="38"/>
      <c r="FT36" s="38"/>
      <c r="FU36" s="38"/>
      <c r="FV36" s="38"/>
      <c r="FW36" s="38"/>
      <c r="FX36" s="38"/>
      <c r="FY36" s="38"/>
      <c r="FZ36" s="38"/>
      <c r="GA36" s="38"/>
      <c r="GB36" s="38"/>
      <c r="GC36" s="38"/>
      <c r="GD36" s="38"/>
      <c r="GE36" s="38"/>
      <c r="GF36" s="38"/>
      <c r="GG36" s="38"/>
      <c r="GH36" s="38"/>
      <c r="GI36" s="38"/>
      <c r="GJ36" s="38"/>
      <c r="GK36" s="38"/>
      <c r="GL36" s="38"/>
      <c r="GM36" s="38"/>
      <c r="GN36" s="38"/>
      <c r="GO36" s="38"/>
      <c r="GP36" s="38"/>
      <c r="GQ36" s="38"/>
      <c r="GR36" s="38"/>
      <c r="GS36" s="38"/>
      <c r="GT36" s="38"/>
      <c r="GU36" s="38"/>
      <c r="GV36" s="38"/>
      <c r="GW36" s="38"/>
      <c r="GX36" s="38"/>
      <c r="GY36" s="38"/>
      <c r="GZ36" s="38"/>
      <c r="HA36" s="38"/>
      <c r="HB36" s="38"/>
      <c r="HC36" s="38"/>
      <c r="HD36" s="38"/>
      <c r="HE36" s="38"/>
      <c r="HF36" s="38"/>
      <c r="HG36" s="38"/>
      <c r="HH36" s="38"/>
      <c r="HI36" s="38"/>
      <c r="HJ36" s="38"/>
      <c r="HK36" s="38"/>
      <c r="HL36" s="38"/>
      <c r="HM36" s="38"/>
      <c r="HN36" s="38"/>
      <c r="HO36" s="38"/>
      <c r="HP36" s="38"/>
      <c r="HQ36" s="38"/>
      <c r="HR36" s="38"/>
      <c r="HS36" s="38"/>
      <c r="HT36" s="38"/>
      <c r="HU36" s="38"/>
      <c r="HV36" s="38"/>
      <c r="HW36" s="38"/>
      <c r="HX36" s="38"/>
      <c r="HY36" s="38"/>
      <c r="HZ36" s="38"/>
      <c r="IA36" s="38"/>
      <c r="IB36" s="38"/>
      <c r="IC36" s="38"/>
      <c r="ID36" s="38"/>
      <c r="IE36" s="38"/>
      <c r="IF36" s="38"/>
      <c r="IG36" s="38"/>
      <c r="IH36" s="38"/>
      <c r="II36" s="38"/>
      <c r="IJ36" s="38"/>
      <c r="IK36" s="38"/>
      <c r="IL36" s="38"/>
      <c r="IM36" s="38"/>
      <c r="IN36" s="38"/>
      <c r="IO36" s="38"/>
      <c r="IP36" s="38"/>
      <c r="IQ36" s="38"/>
      <c r="IR36" s="38"/>
      <c r="IS36" s="38"/>
      <c r="IT36" s="38"/>
      <c r="IU36" s="38"/>
      <c r="IV36" s="38"/>
    </row>
    <row r="37" spans="1:256" s="62" customFormat="1" ht="39.75" customHeight="1">
      <c r="A37" s="262" t="s">
        <v>618</v>
      </c>
      <c r="B37" s="254"/>
      <c r="C37" s="260"/>
      <c r="D37" s="249" t="str">
        <f>VLOOKUP(A37,'1.5 Opbouw uurtarieven'!$A$12:$C$36,2,FALSE)</f>
        <v>21.02 Ambulant objectleider (algemeen schoonmaakonderhoud) 8 jaar en meer</v>
      </c>
      <c r="J37" s="250"/>
      <c r="K37" s="266"/>
    </row>
    <row r="38" spans="1:256">
      <c r="D38" s="231" t="s">
        <v>219</v>
      </c>
      <c r="E38" s="194">
        <v>3.4000000000000002E-2</v>
      </c>
      <c r="F38" s="44">
        <f>H38/G38</f>
        <v>0</v>
      </c>
      <c r="G38" s="40">
        <v>200</v>
      </c>
      <c r="H38" s="44">
        <f>E38*H29</f>
        <v>0</v>
      </c>
      <c r="I38" s="41">
        <f>(VLOOKUP(A37,'1.5 Opbouw uurtarieven'!$A$12:$AU$44,41,FALSE))</f>
        <v>0</v>
      </c>
      <c r="J38" s="45">
        <f>I38*H38</f>
        <v>0</v>
      </c>
    </row>
    <row r="39" spans="1:256">
      <c r="D39" s="231"/>
      <c r="E39" s="47">
        <f>E38+E35+E32</f>
        <v>3.4000000000000002E-2</v>
      </c>
      <c r="F39" s="48">
        <f>SUM(F32:F38)</f>
        <v>0</v>
      </c>
      <c r="G39" s="37"/>
      <c r="H39" s="48">
        <f>SUM(H32:H38)</f>
        <v>0</v>
      </c>
      <c r="I39" s="38"/>
      <c r="J39" s="50">
        <f>SUM(J32:J38)</f>
        <v>0</v>
      </c>
      <c r="K39" s="38"/>
      <c r="L39" s="214">
        <f>IF(H39=0,0,J39/H39)</f>
        <v>0</v>
      </c>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c r="FX39" s="38"/>
      <c r="FY39" s="38"/>
      <c r="FZ39" s="38"/>
      <c r="GA39" s="38"/>
      <c r="GB39" s="38"/>
      <c r="GC39" s="38"/>
      <c r="GD39" s="38"/>
      <c r="GE39" s="38"/>
      <c r="GF39" s="38"/>
      <c r="GG39" s="38"/>
      <c r="GH39" s="38"/>
      <c r="GI39" s="38"/>
      <c r="GJ39" s="38"/>
      <c r="GK39" s="38"/>
      <c r="GL39" s="38"/>
      <c r="GM39" s="38"/>
      <c r="GN39" s="38"/>
      <c r="GO39" s="38"/>
      <c r="GP39" s="38"/>
      <c r="GQ39" s="38"/>
      <c r="GR39" s="38"/>
      <c r="GS39" s="38"/>
      <c r="GT39" s="38"/>
      <c r="GU39" s="38"/>
      <c r="GV39" s="38"/>
      <c r="GW39" s="38"/>
      <c r="GX39" s="38"/>
      <c r="GY39" s="38"/>
      <c r="GZ39" s="38"/>
      <c r="HA39" s="38"/>
      <c r="HB39" s="38"/>
      <c r="HC39" s="38"/>
      <c r="HD39" s="38"/>
      <c r="HE39" s="38"/>
      <c r="HF39" s="38"/>
      <c r="HG39" s="38"/>
      <c r="HH39" s="38"/>
      <c r="HI39" s="38"/>
      <c r="HJ39" s="38"/>
      <c r="HK39" s="38"/>
      <c r="HL39" s="38"/>
      <c r="HM39" s="38"/>
      <c r="HN39" s="38"/>
      <c r="HO39" s="38"/>
      <c r="HP39" s="38"/>
      <c r="HQ39" s="38"/>
      <c r="HR39" s="38"/>
      <c r="HS39" s="38"/>
      <c r="HT39" s="38"/>
      <c r="HU39" s="38"/>
      <c r="HV39" s="38"/>
      <c r="HW39" s="38"/>
      <c r="HX39" s="38"/>
      <c r="HY39" s="38"/>
      <c r="HZ39" s="38"/>
      <c r="IA39" s="38"/>
      <c r="IB39" s="38"/>
      <c r="IC39" s="38"/>
      <c r="ID39" s="38"/>
      <c r="IE39" s="38"/>
      <c r="IF39" s="38"/>
      <c r="IG39" s="38"/>
      <c r="IH39" s="38"/>
      <c r="II39" s="38"/>
      <c r="IJ39" s="38"/>
      <c r="IK39" s="38"/>
      <c r="IL39" s="38"/>
      <c r="IM39" s="38"/>
      <c r="IN39" s="38"/>
      <c r="IO39" s="38"/>
      <c r="IP39" s="38"/>
      <c r="IQ39" s="38"/>
      <c r="IR39" s="38"/>
      <c r="IS39" s="38"/>
      <c r="IT39" s="38"/>
      <c r="IU39" s="38"/>
      <c r="IV39" s="38"/>
    </row>
    <row r="40" spans="1:256" s="62" customFormat="1" hidden="1">
      <c r="A40" s="257"/>
      <c r="B40" s="254"/>
      <c r="C40" s="260"/>
      <c r="D40" s="232" t="s">
        <v>69</v>
      </c>
      <c r="E40" s="233"/>
      <c r="F40" s="233"/>
      <c r="G40" s="234"/>
      <c r="H40" s="234"/>
      <c r="I40" s="234"/>
      <c r="J40" s="234"/>
      <c r="K40" s="266"/>
      <c r="L40" s="236"/>
    </row>
    <row r="41" spans="1:256" s="62" customFormat="1" ht="52" hidden="1">
      <c r="A41" s="262" t="s">
        <v>275</v>
      </c>
      <c r="B41" s="254"/>
      <c r="C41" s="260"/>
      <c r="D41" s="249" t="str">
        <f>VLOOKUP(A41,'1.5 Opbouw uurtarieven'!$A$12:$C$36,2,FALSE)</f>
        <v>11.01 Werknemer algemeen schoonmaakonderhoud 0 t/m 7 jaar</v>
      </c>
      <c r="J41" s="250"/>
      <c r="K41" s="266"/>
    </row>
    <row r="42" spans="1:256" hidden="1">
      <c r="D42" s="231" t="s">
        <v>47</v>
      </c>
      <c r="E42" s="154">
        <v>0</v>
      </c>
      <c r="F42" s="39">
        <f>IF(H42=0,0,H42/G42)</f>
        <v>0</v>
      </c>
      <c r="G42" s="40">
        <f>364-G38-G68</f>
        <v>164</v>
      </c>
      <c r="H42" s="39">
        <f>$H$49*E42</f>
        <v>0</v>
      </c>
      <c r="I42" s="41">
        <f>(VLOOKUP(A41,'1.5 Opbouw uurtarieven'!$A$12:$AU$36,42,FALSE)*'1.1a-Jaarprijzen'!H99)+(VLOOKUP(A41,'1.5 Opbouw uurtarieven'!$A$12:$AU$36,42,FALSE))</f>
        <v>0</v>
      </c>
      <c r="J42" s="42">
        <f>I42*H42</f>
        <v>0</v>
      </c>
      <c r="K42" s="268"/>
    </row>
    <row r="43" spans="1:256" hidden="1">
      <c r="D43" s="231"/>
      <c r="E43" s="38"/>
      <c r="F43" s="38"/>
      <c r="G43" s="38"/>
      <c r="H43" s="38"/>
      <c r="I43" s="38"/>
      <c r="J43" s="38"/>
      <c r="K43" s="267"/>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c r="FX43" s="38"/>
      <c r="FY43" s="38"/>
      <c r="FZ43" s="38"/>
      <c r="GA43" s="38"/>
      <c r="GB43" s="38"/>
      <c r="GC43" s="38"/>
      <c r="GD43" s="38"/>
      <c r="GE43" s="38"/>
      <c r="GF43" s="38"/>
      <c r="GG43" s="38"/>
      <c r="GH43" s="38"/>
      <c r="GI43" s="38"/>
      <c r="GJ43" s="38"/>
      <c r="GK43" s="38"/>
      <c r="GL43" s="38"/>
      <c r="GM43" s="38"/>
      <c r="GN43" s="38"/>
      <c r="GO43" s="38"/>
      <c r="GP43" s="38"/>
      <c r="GQ43" s="38"/>
      <c r="GR43" s="38"/>
      <c r="GS43" s="38"/>
      <c r="GT43" s="38"/>
      <c r="GU43" s="38"/>
      <c r="GV43" s="38"/>
      <c r="GW43" s="38"/>
      <c r="GX43" s="38"/>
      <c r="GY43" s="38"/>
      <c r="GZ43" s="38"/>
      <c r="HA43" s="38"/>
      <c r="HB43" s="38"/>
      <c r="HC43" s="38"/>
      <c r="HD43" s="38"/>
      <c r="HE43" s="38"/>
      <c r="HF43" s="38"/>
      <c r="HG43" s="38"/>
      <c r="HH43" s="38"/>
      <c r="HI43" s="38"/>
      <c r="HJ43" s="38"/>
      <c r="HK43" s="38"/>
      <c r="HL43" s="38"/>
      <c r="HM43" s="38"/>
      <c r="HN43" s="38"/>
      <c r="HO43" s="38"/>
      <c r="HP43" s="38"/>
      <c r="HQ43" s="38"/>
      <c r="HR43" s="38"/>
      <c r="HS43" s="38"/>
      <c r="HT43" s="38"/>
      <c r="HU43" s="38"/>
      <c r="HV43" s="38"/>
      <c r="HW43" s="38"/>
      <c r="HX43" s="38"/>
      <c r="HY43" s="38"/>
      <c r="HZ43" s="38"/>
      <c r="IA43" s="38"/>
      <c r="IB43" s="38"/>
      <c r="IC43" s="38"/>
      <c r="ID43" s="38"/>
      <c r="IE43" s="38"/>
      <c r="IF43" s="38"/>
      <c r="IG43" s="38"/>
      <c r="IH43" s="38"/>
      <c r="II43" s="38"/>
      <c r="IJ43" s="38"/>
      <c r="IK43" s="38"/>
      <c r="IL43" s="38"/>
      <c r="IM43" s="38"/>
      <c r="IN43" s="38"/>
      <c r="IO43" s="38"/>
      <c r="IP43" s="38"/>
      <c r="IQ43" s="38"/>
      <c r="IR43" s="38"/>
      <c r="IS43" s="38"/>
      <c r="IT43" s="38"/>
      <c r="IU43" s="38"/>
      <c r="IV43" s="38"/>
    </row>
    <row r="44" spans="1:256" s="62" customFormat="1" ht="52" hidden="1">
      <c r="A44" s="262" t="s">
        <v>276</v>
      </c>
      <c r="B44" s="254"/>
      <c r="C44" s="260"/>
      <c r="D44" s="249" t="str">
        <f>VLOOKUP(A44,'1.5 Opbouw uurtarieven'!$A$12:$C$36,2,FALSE)</f>
        <v>11.01 Werknemer algemeen schoonmaakonderhoud 8 jaar en meer</v>
      </c>
      <c r="E44" s="62">
        <v>0</v>
      </c>
      <c r="J44" s="250"/>
      <c r="K44" s="266"/>
    </row>
    <row r="45" spans="1:256" hidden="1">
      <c r="D45" s="231" t="s">
        <v>47</v>
      </c>
      <c r="E45" s="154">
        <v>0</v>
      </c>
      <c r="F45" s="39">
        <f>IF(H45=0,0,H45/G45)</f>
        <v>0</v>
      </c>
      <c r="G45" s="40">
        <f>$G$42</f>
        <v>164</v>
      </c>
      <c r="H45" s="39">
        <f>$H$49*E45</f>
        <v>0</v>
      </c>
      <c r="I45" s="41">
        <f>(VLOOKUP(A44,'1.5 Opbouw uurtarieven'!$A$12:$AU$36,42,FALSE)*'1.1a-Jaarprijzen'!H102)+(VLOOKUP(A44,'1.5 Opbouw uurtarieven'!$A$12:$AU$36,42,FALSE))</f>
        <v>0</v>
      </c>
      <c r="J45" s="42">
        <f>I45*H45</f>
        <v>0</v>
      </c>
      <c r="K45" s="268"/>
    </row>
    <row r="46" spans="1:256" hidden="1">
      <c r="D46" s="231"/>
      <c r="E46" s="38"/>
      <c r="F46" s="38"/>
      <c r="G46" s="38"/>
      <c r="H46" s="38"/>
      <c r="I46" s="38"/>
      <c r="J46" s="38"/>
      <c r="K46" s="267"/>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c r="FX46" s="38"/>
      <c r="FY46" s="38"/>
      <c r="FZ46" s="38"/>
      <c r="GA46" s="38"/>
      <c r="GB46" s="38"/>
      <c r="GC46" s="38"/>
      <c r="GD46" s="38"/>
      <c r="GE46" s="38"/>
      <c r="GF46" s="38"/>
      <c r="GG46" s="38"/>
      <c r="GH46" s="38"/>
      <c r="GI46" s="38"/>
      <c r="GJ46" s="38"/>
      <c r="GK46" s="38"/>
      <c r="GL46" s="38"/>
      <c r="GM46" s="38"/>
      <c r="GN46" s="38"/>
      <c r="GO46" s="38"/>
      <c r="GP46" s="38"/>
      <c r="GQ46" s="38"/>
      <c r="GR46" s="38"/>
      <c r="GS46" s="38"/>
      <c r="GT46" s="38"/>
      <c r="GU46" s="38"/>
      <c r="GV46" s="38"/>
      <c r="GW46" s="38"/>
      <c r="GX46" s="38"/>
      <c r="GY46" s="38"/>
      <c r="GZ46" s="38"/>
      <c r="HA46" s="38"/>
      <c r="HB46" s="38"/>
      <c r="HC46" s="38"/>
      <c r="HD46" s="38"/>
      <c r="HE46" s="38"/>
      <c r="HF46" s="38"/>
      <c r="HG46" s="38"/>
      <c r="HH46" s="38"/>
      <c r="HI46" s="38"/>
      <c r="HJ46" s="38"/>
      <c r="HK46" s="38"/>
      <c r="HL46" s="38"/>
      <c r="HM46" s="38"/>
      <c r="HN46" s="38"/>
      <c r="HO46" s="38"/>
      <c r="HP46" s="38"/>
      <c r="HQ46" s="38"/>
      <c r="HR46" s="38"/>
      <c r="HS46" s="38"/>
      <c r="HT46" s="38"/>
      <c r="HU46" s="38"/>
      <c r="HV46" s="38"/>
      <c r="HW46" s="38"/>
      <c r="HX46" s="38"/>
      <c r="HY46" s="38"/>
      <c r="HZ46" s="38"/>
      <c r="IA46" s="38"/>
      <c r="IB46" s="38"/>
      <c r="IC46" s="38"/>
      <c r="ID46" s="38"/>
      <c r="IE46" s="38"/>
      <c r="IF46" s="38"/>
      <c r="IG46" s="38"/>
      <c r="IH46" s="38"/>
      <c r="II46" s="38"/>
      <c r="IJ46" s="38"/>
      <c r="IK46" s="38"/>
      <c r="IL46" s="38"/>
      <c r="IM46" s="38"/>
      <c r="IN46" s="38"/>
      <c r="IO46" s="38"/>
      <c r="IP46" s="38"/>
      <c r="IQ46" s="38"/>
      <c r="IR46" s="38"/>
      <c r="IS46" s="38"/>
      <c r="IT46" s="38"/>
      <c r="IU46" s="38"/>
      <c r="IV46" s="38"/>
    </row>
    <row r="47" spans="1:256" s="62" customFormat="1" hidden="1">
      <c r="A47" s="262"/>
      <c r="B47" s="254"/>
      <c r="C47" s="260"/>
      <c r="D47" s="249">
        <f>VLOOKUP(A47,'1.5 Opbouw uurtarieven'!$A$12:$C$36,2,FALSE)</f>
        <v>0</v>
      </c>
      <c r="G47" s="252"/>
      <c r="H47" s="252"/>
      <c r="J47" s="253"/>
      <c r="K47" s="266"/>
    </row>
    <row r="48" spans="1:256" hidden="1">
      <c r="D48" s="231" t="s">
        <v>47</v>
      </c>
      <c r="E48" s="194">
        <v>0</v>
      </c>
      <c r="F48" s="44">
        <f>IF(H48=0,0,H48/G48)</f>
        <v>0</v>
      </c>
      <c r="G48" s="40">
        <f>$G$42</f>
        <v>164</v>
      </c>
      <c r="H48" s="44">
        <f>$H$49*E48</f>
        <v>0</v>
      </c>
      <c r="I48" s="41">
        <f>(VLOOKUP(A47,'1.5 Opbouw uurtarieven'!$A$12:$AU$36,42,FALSE)*'1.1a-Jaarprijzen'!H105)+(VLOOKUP(A47,'1.5 Opbouw uurtarieven'!$A$12:$AU$36,42,FALSE))</f>
        <v>0</v>
      </c>
      <c r="J48" s="45">
        <f>I48*H48</f>
        <v>0</v>
      </c>
      <c r="K48" s="268"/>
    </row>
    <row r="49" spans="1:12" hidden="1">
      <c r="A49" s="725">
        <f>IF(E49&gt;=100%,"Totaal productie-uren, maximaal 100%",0)</f>
        <v>0</v>
      </c>
      <c r="D49" s="230"/>
      <c r="E49" s="47">
        <f>E48+E45+E42</f>
        <v>0</v>
      </c>
      <c r="F49" s="48">
        <f>SUM(F42:F48)</f>
        <v>0</v>
      </c>
      <c r="G49" s="37"/>
      <c r="H49" s="48">
        <f>SUM('1.3-Basis ruimtestaat'!T:T)/(G42+G68)*G42</f>
        <v>1.0308995182677358</v>
      </c>
      <c r="I49" s="49"/>
      <c r="J49" s="50">
        <f>SUM(J42:J48)</f>
        <v>0</v>
      </c>
      <c r="L49" s="214">
        <f>IF(H49=0,0,J49/H49)</f>
        <v>0</v>
      </c>
    </row>
    <row r="50" spans="1:12" s="62" customFormat="1" hidden="1">
      <c r="A50" s="726"/>
      <c r="B50" s="254"/>
      <c r="C50" s="260"/>
      <c r="D50" s="232" t="s">
        <v>107</v>
      </c>
      <c r="E50" s="233"/>
      <c r="F50" s="233"/>
      <c r="G50" s="234"/>
      <c r="H50" s="234"/>
      <c r="I50" s="234"/>
      <c r="J50" s="234"/>
      <c r="K50" s="266"/>
    </row>
    <row r="51" spans="1:12" s="62" customFormat="1" hidden="1">
      <c r="A51" s="262"/>
      <c r="B51" s="254"/>
      <c r="C51" s="260"/>
      <c r="D51" s="249">
        <f>VLOOKUP(A51,'1.5 Opbouw uurtarieven'!$A$12:$C$36,2,FALSE)</f>
        <v>0</v>
      </c>
      <c r="J51" s="250"/>
      <c r="K51" s="266"/>
    </row>
    <row r="52" spans="1:12" hidden="1">
      <c r="D52" s="231" t="s">
        <v>47</v>
      </c>
      <c r="E52" s="154">
        <v>0</v>
      </c>
      <c r="F52" s="39">
        <f>IF(H52=0,0,H52/G52)</f>
        <v>0</v>
      </c>
      <c r="G52" s="40">
        <f>$G$42</f>
        <v>164</v>
      </c>
      <c r="H52" s="39">
        <f>E52*$H$49</f>
        <v>0</v>
      </c>
      <c r="I52" s="41">
        <f>(VLOOKUP(A51,'1.5 Opbouw uurtarieven'!$A$12:$AU$36,42,FALSE)*'1.1a-Jaarprijzen'!H109)+(VLOOKUP(A51,'1.5 Opbouw uurtarieven'!$A$12:$AU$36,42,FALSE))</f>
        <v>0</v>
      </c>
      <c r="J52" s="42">
        <f>I52*H52</f>
        <v>0</v>
      </c>
      <c r="K52" s="268"/>
    </row>
    <row r="53" spans="1:12" hidden="1">
      <c r="D53" s="231"/>
      <c r="E53" s="62"/>
      <c r="F53" s="39"/>
      <c r="G53" s="40"/>
      <c r="H53" s="153"/>
      <c r="I53" s="38"/>
      <c r="J53" s="42"/>
      <c r="K53" s="268"/>
    </row>
    <row r="54" spans="1:12" s="62" customFormat="1" hidden="1">
      <c r="A54" s="262"/>
      <c r="B54" s="254"/>
      <c r="C54" s="260"/>
      <c r="D54" s="249">
        <f>VLOOKUP(A54,'1.5 Opbouw uurtarieven'!$A$12:$C$36,2,FALSE)</f>
        <v>0</v>
      </c>
      <c r="J54" s="253"/>
      <c r="K54" s="266"/>
    </row>
    <row r="55" spans="1:12" hidden="1">
      <c r="D55" s="231" t="s">
        <v>47</v>
      </c>
      <c r="E55" s="154">
        <v>0</v>
      </c>
      <c r="F55" s="39">
        <f>IF(H55=0,0,H55/G55)</f>
        <v>0</v>
      </c>
      <c r="G55" s="40">
        <f>$G$42</f>
        <v>164</v>
      </c>
      <c r="H55" s="39">
        <f>E55*$H$49</f>
        <v>0</v>
      </c>
      <c r="I55" s="41">
        <f>(VLOOKUP(A54,'1.5 Opbouw uurtarieven'!$A$12:$AU$36,42,FALSE)*'1.1a-Jaarprijzen'!H112)+(VLOOKUP(A54,'1.5 Opbouw uurtarieven'!$A$12:$AU$36,42,FALSE))</f>
        <v>0</v>
      </c>
      <c r="J55" s="42">
        <f>I55*H55</f>
        <v>0</v>
      </c>
      <c r="K55" s="268"/>
    </row>
    <row r="56" spans="1:12" hidden="1">
      <c r="D56" s="231"/>
      <c r="E56" s="38"/>
      <c r="F56" s="39"/>
      <c r="G56" s="40"/>
      <c r="H56" s="153"/>
      <c r="I56" s="41"/>
      <c r="J56" s="42"/>
      <c r="K56" s="268"/>
    </row>
    <row r="57" spans="1:12" s="62" customFormat="1" ht="52" hidden="1">
      <c r="A57" s="262" t="s">
        <v>265</v>
      </c>
      <c r="B57" s="254"/>
      <c r="C57" s="260"/>
      <c r="D57" s="249" t="str">
        <f>VLOOKUP(A57,'1.5 Opbouw uurtarieven'!$A$12:$C$36,2,FALSE)</f>
        <v xml:space="preserve">21.01 Objectleider (algemeen schoonmaakonderhoud) </v>
      </c>
      <c r="J57" s="253"/>
      <c r="K57" s="266"/>
    </row>
    <row r="58" spans="1:12" hidden="1">
      <c r="D58" s="231" t="s">
        <v>47</v>
      </c>
      <c r="E58" s="194">
        <v>0</v>
      </c>
      <c r="F58" s="44">
        <f>IF(H58=0,0,H58/G58)</f>
        <v>0</v>
      </c>
      <c r="G58" s="40">
        <f>$G$42</f>
        <v>164</v>
      </c>
      <c r="H58" s="39">
        <f>E58*$H$49</f>
        <v>0</v>
      </c>
      <c r="I58" s="41">
        <f>(VLOOKUP(A57,'1.5 Opbouw uurtarieven'!$A$12:$AU$36,42,FALSE)*'1.1a-Jaarprijzen'!H115)+(VLOOKUP(A57,'1.5 Opbouw uurtarieven'!$A$12:$AU$36,42,FALSE))</f>
        <v>0</v>
      </c>
      <c r="J58" s="45">
        <f>I58*H58</f>
        <v>0</v>
      </c>
      <c r="K58" s="268"/>
    </row>
    <row r="59" spans="1:12" hidden="1">
      <c r="D59" s="230"/>
      <c r="E59" s="47">
        <f>E58+E55+E52</f>
        <v>0</v>
      </c>
      <c r="F59" s="48">
        <f>SUM(F52:F58)</f>
        <v>0</v>
      </c>
      <c r="G59" s="37"/>
      <c r="H59" s="48">
        <f>SUM(H52:H58)</f>
        <v>0</v>
      </c>
      <c r="I59" s="49"/>
      <c r="L59" s="214">
        <f>IF(H59=0,0,J60/H59)</f>
        <v>0</v>
      </c>
    </row>
    <row r="60" spans="1:12" hidden="1">
      <c r="D60" s="230"/>
      <c r="E60" s="47"/>
      <c r="F60" s="48"/>
      <c r="G60" s="37"/>
      <c r="H60" s="48"/>
      <c r="J60" s="50">
        <f>SUM(J52:J58)</f>
        <v>0</v>
      </c>
      <c r="L60" s="214"/>
    </row>
    <row r="61" spans="1:12">
      <c r="D61" s="230"/>
      <c r="E61" s="47"/>
      <c r="F61" s="48"/>
      <c r="G61" s="37"/>
      <c r="H61" s="48"/>
      <c r="I61" s="49"/>
      <c r="J61" s="50"/>
      <c r="L61" s="214"/>
    </row>
    <row r="62" spans="1:12">
      <c r="D62" s="230"/>
      <c r="E62" s="47"/>
      <c r="F62" s="48"/>
      <c r="G62" s="37"/>
      <c r="H62" s="48"/>
      <c r="I62" s="48" t="s">
        <v>95</v>
      </c>
      <c r="J62" s="50">
        <f>J60+J49+J39+J29</f>
        <v>0</v>
      </c>
      <c r="L62" s="214"/>
    </row>
    <row r="63" spans="1:12">
      <c r="D63" s="230"/>
      <c r="E63" s="47"/>
      <c r="F63" s="48"/>
      <c r="G63" s="37"/>
      <c r="H63" s="48"/>
      <c r="I63" s="49"/>
      <c r="J63" s="50"/>
      <c r="L63" s="214"/>
    </row>
    <row r="64" spans="1:12" hidden="1">
      <c r="D64" s="230"/>
      <c r="E64" s="47"/>
      <c r="F64" s="48"/>
      <c r="G64" s="37"/>
      <c r="H64" s="48"/>
      <c r="I64" s="49"/>
      <c r="J64" s="50"/>
      <c r="L64" s="214"/>
    </row>
    <row r="65" spans="1:12" hidden="1">
      <c r="D65" s="230"/>
      <c r="E65" s="47"/>
      <c r="F65" s="48"/>
      <c r="G65" s="37"/>
      <c r="H65" s="48"/>
      <c r="I65" s="49" t="s">
        <v>266</v>
      </c>
      <c r="J65" s="50">
        <f>J62</f>
        <v>0</v>
      </c>
      <c r="L65" s="214"/>
    </row>
    <row r="66" spans="1:12" s="62" customFormat="1" ht="21" hidden="1" customHeight="1">
      <c r="A66" s="257"/>
      <c r="B66" s="254"/>
      <c r="C66" s="260"/>
      <c r="D66" s="232" t="s">
        <v>70</v>
      </c>
      <c r="E66" s="233"/>
      <c r="F66" s="233"/>
      <c r="G66" s="234"/>
      <c r="H66" s="234"/>
      <c r="I66" s="234"/>
      <c r="J66" s="234"/>
      <c r="K66" s="266"/>
    </row>
    <row r="67" spans="1:12" s="62" customFormat="1" ht="39.75" hidden="1" customHeight="1">
      <c r="A67" s="262" t="s">
        <v>275</v>
      </c>
      <c r="B67" s="254"/>
      <c r="C67" s="260"/>
      <c r="D67" s="249" t="str">
        <f>VLOOKUP(A67,'1.5 Opbouw uurtarieven'!$A$12:$C$36,2,FALSE)</f>
        <v>11.01 Werknemer algemeen schoonmaakonderhoud 0 t/m 7 jaar</v>
      </c>
      <c r="J67" s="250"/>
      <c r="K67" s="266"/>
    </row>
    <row r="68" spans="1:12" hidden="1">
      <c r="D68" s="231" t="s">
        <v>168</v>
      </c>
      <c r="E68" s="154">
        <v>0</v>
      </c>
      <c r="F68" s="39">
        <f>IF(H68=0,0,H68/G68)</f>
        <v>0</v>
      </c>
      <c r="G68" s="40">
        <f>'1.4-Premies en opslagen'!$C$56</f>
        <v>0</v>
      </c>
      <c r="H68" s="39">
        <f>$H$75*E68</f>
        <v>0</v>
      </c>
      <c r="I68" s="41">
        <f>(VLOOKUP(A67,'1.5 Opbouw uurtarieven'!$A$12:$AU$36,44,FALSE)*'1.1a-Jaarprijzen'!H125)+(VLOOKUP(A67,'1.5 Opbouw uurtarieven'!$A$12:$AU$36,44,FALSE))</f>
        <v>0</v>
      </c>
      <c r="J68" s="42">
        <f>I68*H68</f>
        <v>0</v>
      </c>
      <c r="K68" s="268"/>
      <c r="L68" s="53"/>
    </row>
    <row r="69" spans="1:12" hidden="1">
      <c r="D69" s="231"/>
      <c r="E69" s="38"/>
      <c r="F69" s="39"/>
      <c r="G69" s="40"/>
      <c r="H69" s="153"/>
      <c r="I69" s="41"/>
      <c r="J69" s="42"/>
      <c r="K69" s="268"/>
      <c r="L69" s="53"/>
    </row>
    <row r="70" spans="1:12" s="62" customFormat="1" ht="39.75" hidden="1" customHeight="1">
      <c r="A70" s="262" t="s">
        <v>276</v>
      </c>
      <c r="B70" s="254"/>
      <c r="C70" s="260"/>
      <c r="D70" s="249" t="str">
        <f>VLOOKUP(A70,'1.5 Opbouw uurtarieven'!$A$12:$C$36,2,FALSE)</f>
        <v>11.01 Werknemer algemeen schoonmaakonderhoud 8 jaar en meer</v>
      </c>
      <c r="J70" s="250"/>
      <c r="K70" s="266"/>
      <c r="L70" s="251"/>
    </row>
    <row r="71" spans="1:12" hidden="1">
      <c r="D71" s="231" t="s">
        <v>168</v>
      </c>
      <c r="E71" s="154">
        <v>0</v>
      </c>
      <c r="F71" s="39">
        <f>IF(H71=0,0,H71/G71)</f>
        <v>0</v>
      </c>
      <c r="G71" s="40">
        <f>'1.4-Premies en opslagen'!$C$56</f>
        <v>0</v>
      </c>
      <c r="H71" s="39">
        <f>$H$75*E71</f>
        <v>0</v>
      </c>
      <c r="I71" s="41">
        <f>(VLOOKUP(A70,'1.5 Opbouw uurtarieven'!$A$12:$AU$36,44,FALSE)*'1.1a-Jaarprijzen'!H128)+(VLOOKUP(A70,'1.5 Opbouw uurtarieven'!$A$12:$AU$36,44,FALSE))</f>
        <v>0</v>
      </c>
      <c r="J71" s="42">
        <f>I71*H71</f>
        <v>0</v>
      </c>
      <c r="K71" s="268"/>
    </row>
    <row r="72" spans="1:12" hidden="1">
      <c r="D72" s="231"/>
      <c r="E72" s="38"/>
      <c r="F72" s="39"/>
      <c r="G72" s="40"/>
      <c r="H72" s="153"/>
      <c r="I72" s="41"/>
      <c r="J72" s="42"/>
      <c r="K72" s="268"/>
    </row>
    <row r="73" spans="1:12" s="62" customFormat="1" ht="39.75" hidden="1" customHeight="1">
      <c r="A73" s="262" t="s">
        <v>264</v>
      </c>
      <c r="B73" s="254"/>
      <c r="C73" s="260"/>
      <c r="D73" s="249" t="e">
        <f>VLOOKUP(A73,'1.5 Opbouw uurtarieven'!$A$12:$C$36,2,FALSE)</f>
        <v>#N/A</v>
      </c>
      <c r="J73" s="250"/>
      <c r="K73" s="266"/>
      <c r="L73" s="251"/>
    </row>
    <row r="74" spans="1:12" hidden="1">
      <c r="D74" s="231" t="s">
        <v>168</v>
      </c>
      <c r="E74" s="194">
        <v>0</v>
      </c>
      <c r="F74" s="44">
        <f>IF(H74=0,0,H74/G74)</f>
        <v>0</v>
      </c>
      <c r="G74" s="40">
        <f>'1.4-Premies en opslagen'!$C$56</f>
        <v>0</v>
      </c>
      <c r="H74" s="44">
        <f>$H$75*E74</f>
        <v>0</v>
      </c>
      <c r="I74" s="41" t="e">
        <f>(VLOOKUP(A73,'1.5 Opbouw uurtarieven'!$A$12:$AU$36,44,FALSE)*'1.1a-Jaarprijzen'!H131)+(VLOOKUP(A73,'1.5 Opbouw uurtarieven'!$A$12:$AU$36,44,FALSE))</f>
        <v>#N/A</v>
      </c>
      <c r="J74" s="45" t="e">
        <f>I74*H74</f>
        <v>#N/A</v>
      </c>
      <c r="K74" s="268"/>
    </row>
    <row r="75" spans="1:12" ht="12.75" hidden="1" customHeight="1">
      <c r="A75" s="725">
        <f>IF(E75&gt;=100%,"Totaal productie-uren, maximaal 100%",0)</f>
        <v>0</v>
      </c>
      <c r="D75" s="230"/>
      <c r="E75" s="47">
        <f>E74+E71+E68</f>
        <v>0</v>
      </c>
      <c r="F75" s="48">
        <f>SUM(F68:F74)</f>
        <v>0</v>
      </c>
      <c r="G75" s="37"/>
      <c r="H75" s="48">
        <f>SUM('1.3-Basis ruimtestaat'!T:T)/(G42+G68)*G68</f>
        <v>0</v>
      </c>
      <c r="I75" s="49"/>
      <c r="J75" s="50" t="e">
        <f>SUM(J68:J74)</f>
        <v>#N/A</v>
      </c>
      <c r="L75" s="214">
        <f>IF(H75=0,0,J75/H75)</f>
        <v>0</v>
      </c>
    </row>
    <row r="76" spans="1:12" s="62" customFormat="1" ht="21" hidden="1" customHeight="1">
      <c r="A76" s="726"/>
      <c r="B76" s="254"/>
      <c r="C76" s="260"/>
      <c r="D76" s="232" t="s">
        <v>167</v>
      </c>
      <c r="E76" s="233"/>
      <c r="F76" s="233"/>
      <c r="G76" s="234"/>
      <c r="H76" s="234"/>
      <c r="I76" s="234"/>
      <c r="J76" s="234"/>
      <c r="K76" s="266"/>
    </row>
    <row r="77" spans="1:12" s="62" customFormat="1" ht="39.75" hidden="1" customHeight="1">
      <c r="A77" s="262" t="s">
        <v>277</v>
      </c>
      <c r="B77" s="254"/>
      <c r="C77" s="260"/>
      <c r="D77" s="249" t="e">
        <f>VLOOKUP(A77,'1.5 Opbouw uurtarieven'!$A$12:$C$36,2,FALSE)</f>
        <v>#N/A</v>
      </c>
      <c r="J77" s="250"/>
      <c r="K77" s="266"/>
      <c r="L77" s="251"/>
    </row>
    <row r="78" spans="1:12" hidden="1">
      <c r="D78" s="231" t="s">
        <v>168</v>
      </c>
      <c r="E78" s="154">
        <v>0</v>
      </c>
      <c r="F78" s="39">
        <f>IF(H78=0,0,H78/G78)</f>
        <v>0</v>
      </c>
      <c r="G78" s="40">
        <f>'1.4-Premies en opslagen'!$C$56</f>
        <v>0</v>
      </c>
      <c r="H78" s="39">
        <f>E78*$H$75</f>
        <v>0</v>
      </c>
      <c r="I78" s="41" t="e">
        <f>(VLOOKUP(A77,'1.5 Opbouw uurtarieven'!$A$12:$AU$36,44,FALSE)*'1.1a-Jaarprijzen'!H135)+(VLOOKUP(A77,'1.5 Opbouw uurtarieven'!$A$12:$AU$36,44,FALSE))</f>
        <v>#N/A</v>
      </c>
      <c r="J78" s="42" t="e">
        <f>I78*H78</f>
        <v>#N/A</v>
      </c>
      <c r="K78" s="266"/>
    </row>
    <row r="79" spans="1:12" hidden="1">
      <c r="D79" s="231"/>
      <c r="E79" s="62"/>
      <c r="F79" s="39"/>
      <c r="G79" s="40"/>
      <c r="H79" s="153"/>
      <c r="I79" s="41"/>
      <c r="J79" s="42"/>
      <c r="K79" s="266"/>
    </row>
    <row r="80" spans="1:12" s="62" customFormat="1" ht="39.75" hidden="1" customHeight="1">
      <c r="A80" s="262"/>
      <c r="B80" s="254"/>
      <c r="C80" s="260"/>
      <c r="D80" s="249">
        <f>VLOOKUP(A80,'1.5 Opbouw uurtarieven'!$A$12:$C$36,2,FALSE)</f>
        <v>0</v>
      </c>
      <c r="J80" s="250"/>
      <c r="K80" s="266"/>
      <c r="L80" s="251"/>
    </row>
    <row r="81" spans="1:12" hidden="1">
      <c r="D81" s="231" t="s">
        <v>168</v>
      </c>
      <c r="E81" s="154">
        <v>0</v>
      </c>
      <c r="F81" s="39">
        <f>IF(H81=0,0,H81/G81)</f>
        <v>0</v>
      </c>
      <c r="G81" s="40">
        <f>'1.4-Premies en opslagen'!$C$56</f>
        <v>0</v>
      </c>
      <c r="H81" s="39">
        <f>E81*$H$75</f>
        <v>0</v>
      </c>
      <c r="I81" s="41">
        <f>(VLOOKUP(A80,'1.5 Opbouw uurtarieven'!$A$12:$AU$36,44,FALSE)*'1.1a-Jaarprijzen'!H138)+(VLOOKUP(A80,'1.5 Opbouw uurtarieven'!$A$12:$AU$36,44,FALSE))</f>
        <v>0</v>
      </c>
      <c r="J81" s="42">
        <f>I81*H81</f>
        <v>0</v>
      </c>
      <c r="K81" s="266"/>
    </row>
    <row r="82" spans="1:12" hidden="1">
      <c r="D82" s="231"/>
      <c r="E82" s="38"/>
      <c r="F82" s="39"/>
      <c r="G82" s="40"/>
      <c r="H82" s="153"/>
      <c r="I82" s="41"/>
      <c r="J82" s="42"/>
      <c r="K82" s="266"/>
    </row>
    <row r="83" spans="1:12" s="62" customFormat="1" ht="39.75" hidden="1" customHeight="1">
      <c r="A83" s="262" t="s">
        <v>265</v>
      </c>
      <c r="B83" s="254"/>
      <c r="C83" s="260"/>
      <c r="D83" s="249" t="str">
        <f>VLOOKUP(A83,'1.5 Opbouw uurtarieven'!$A$12:$C$36,2,FALSE)</f>
        <v xml:space="preserve">21.01 Objectleider (algemeen schoonmaakonderhoud) </v>
      </c>
      <c r="J83" s="250"/>
      <c r="K83" s="266"/>
      <c r="L83" s="251"/>
    </row>
    <row r="84" spans="1:12" hidden="1">
      <c r="D84" s="231" t="s">
        <v>168</v>
      </c>
      <c r="E84" s="194">
        <v>0</v>
      </c>
      <c r="F84" s="44">
        <f>IF(H84=0,0,H84/G84)</f>
        <v>0</v>
      </c>
      <c r="G84" s="40">
        <f>'1.4-Premies en opslagen'!$C$56</f>
        <v>0</v>
      </c>
      <c r="H84" s="44">
        <f>E84*$H$75</f>
        <v>0</v>
      </c>
      <c r="I84" s="41">
        <f>(VLOOKUP(A83,'1.5 Opbouw uurtarieven'!$A$12:$AU$36,44,FALSE)*'1.1a-Jaarprijzen'!H141)+(VLOOKUP(A83,'1.5 Opbouw uurtarieven'!$A$12:$AU$36,44,FALSE))</f>
        <v>0</v>
      </c>
      <c r="J84" s="45">
        <f>I84*H84</f>
        <v>0</v>
      </c>
      <c r="K84" s="266"/>
    </row>
    <row r="85" spans="1:12" hidden="1">
      <c r="D85" s="230"/>
      <c r="E85" s="47">
        <f>E84+E81+E78</f>
        <v>0</v>
      </c>
      <c r="F85" s="48">
        <f>SUM(F78:F84)</f>
        <v>0</v>
      </c>
      <c r="G85" s="37"/>
      <c r="H85" s="48">
        <f>SUM(H78:H84)</f>
        <v>0</v>
      </c>
      <c r="I85" s="49"/>
      <c r="J85" s="50" t="e">
        <f>SUM(J78:J84)</f>
        <v>#N/A</v>
      </c>
      <c r="K85" s="266"/>
      <c r="L85" s="214">
        <f>IF(H85=0,0,J85/H85)</f>
        <v>0</v>
      </c>
    </row>
    <row r="86" spans="1:12">
      <c r="D86" s="230"/>
      <c r="E86" s="52"/>
      <c r="F86" s="48"/>
      <c r="G86" s="37"/>
      <c r="H86" s="48"/>
      <c r="I86" s="49"/>
      <c r="J86" s="195"/>
      <c r="K86" s="266"/>
      <c r="L86" s="43"/>
    </row>
    <row r="87" spans="1:12">
      <c r="D87" s="230" t="s">
        <v>192</v>
      </c>
      <c r="E87" s="52"/>
      <c r="F87" s="48"/>
      <c r="G87" s="37"/>
      <c r="H87" s="48"/>
      <c r="I87" s="49"/>
      <c r="J87" s="50">
        <f>'1.6-Machine-investeringskosten'!E116</f>
        <v>0</v>
      </c>
      <c r="L87" s="43"/>
    </row>
    <row r="88" spans="1:12">
      <c r="D88" s="230"/>
      <c r="E88" s="52"/>
      <c r="F88" s="48"/>
      <c r="G88" s="37"/>
      <c r="H88" s="48"/>
      <c r="I88" s="49"/>
      <c r="J88" s="50"/>
    </row>
    <row r="89" spans="1:12">
      <c r="D89" s="230"/>
      <c r="E89" s="52"/>
      <c r="F89" s="48"/>
      <c r="G89" s="37"/>
      <c r="I89" s="48" t="s">
        <v>334</v>
      </c>
      <c r="J89" s="50">
        <f>J62+J87</f>
        <v>0</v>
      </c>
      <c r="L89" s="586"/>
    </row>
    <row r="90" spans="1:12">
      <c r="D90" s="230"/>
      <c r="E90" s="52"/>
      <c r="F90" s="48"/>
      <c r="G90" s="37"/>
      <c r="H90" s="48"/>
      <c r="I90" s="49"/>
      <c r="J90" s="50"/>
    </row>
    <row r="91" spans="1:12">
      <c r="D91" s="230" t="s">
        <v>241</v>
      </c>
      <c r="E91" s="52"/>
      <c r="F91" s="48"/>
      <c r="G91" s="37"/>
      <c r="H91" s="48"/>
      <c r="I91" s="49"/>
      <c r="J91" s="50"/>
    </row>
    <row r="92" spans="1:12">
      <c r="D92" s="230"/>
      <c r="E92" s="52"/>
      <c r="F92" s="48"/>
      <c r="G92" s="37"/>
      <c r="H92" s="48"/>
      <c r="I92" s="49"/>
      <c r="J92" s="50"/>
    </row>
    <row r="93" spans="1:12" s="33" customFormat="1" ht="16">
      <c r="A93" s="255"/>
      <c r="B93" s="254"/>
      <c r="C93" s="258"/>
      <c r="D93" s="220" t="s">
        <v>267</v>
      </c>
      <c r="E93" s="220"/>
      <c r="F93" s="220"/>
      <c r="G93" s="220"/>
      <c r="H93" s="220"/>
      <c r="I93" s="220"/>
      <c r="J93" s="221"/>
      <c r="K93" s="264"/>
    </row>
    <row r="94" spans="1:12">
      <c r="D94" s="230"/>
      <c r="E94" s="49"/>
      <c r="F94" s="210"/>
      <c r="G94" s="196"/>
      <c r="H94" s="210"/>
      <c r="I94" s="49"/>
      <c r="J94" s="49"/>
    </row>
    <row r="95" spans="1:12">
      <c r="D95" s="230"/>
      <c r="E95" s="49"/>
      <c r="F95" s="210" t="s">
        <v>242</v>
      </c>
      <c r="G95" s="196"/>
      <c r="H95" s="210" t="s">
        <v>278</v>
      </c>
      <c r="I95" s="49"/>
      <c r="J95" s="49"/>
      <c r="L95" s="43"/>
    </row>
    <row r="96" spans="1:12">
      <c r="D96" s="231" t="s">
        <v>327</v>
      </c>
      <c r="E96" s="49"/>
      <c r="F96" s="425"/>
      <c r="G96" s="54"/>
      <c r="H96" s="42"/>
      <c r="I96" s="42"/>
      <c r="J96" s="42"/>
      <c r="L96" s="586" t="e">
        <f>J87/H29</f>
        <v>#DIV/0!</v>
      </c>
    </row>
    <row r="97" spans="1:15">
      <c r="D97" s="38" t="s">
        <v>328</v>
      </c>
      <c r="E97" s="49"/>
      <c r="F97" s="425"/>
      <c r="G97" s="54"/>
      <c r="H97" s="42"/>
      <c r="I97" s="55"/>
      <c r="J97" s="42"/>
      <c r="L97" s="586"/>
    </row>
    <row r="98" spans="1:15">
      <c r="D98" s="38" t="s">
        <v>329</v>
      </c>
      <c r="E98" s="49"/>
      <c r="F98" s="36"/>
      <c r="G98" s="40"/>
      <c r="H98" s="55"/>
      <c r="I98" s="55"/>
      <c r="J98" s="42">
        <v>0</v>
      </c>
      <c r="L98" s="586" t="e">
        <f>J89/H29</f>
        <v>#DIV/0!</v>
      </c>
      <c r="M98" s="202"/>
      <c r="N98" s="43"/>
      <c r="O98" s="202"/>
    </row>
    <row r="99" spans="1:15"/>
    <row r="100" spans="1:15">
      <c r="D100" s="46"/>
      <c r="E100" s="49"/>
      <c r="F100" s="49"/>
      <c r="G100" s="49"/>
      <c r="H100" s="49"/>
      <c r="I100" s="49"/>
      <c r="J100" s="49"/>
    </row>
    <row r="101" spans="1:15">
      <c r="D101" s="46"/>
      <c r="E101" s="49"/>
      <c r="F101" s="49"/>
      <c r="G101" s="49"/>
      <c r="H101" s="49"/>
      <c r="I101" s="49"/>
      <c r="J101" s="49"/>
    </row>
    <row r="102" spans="1:15">
      <c r="G102" s="56" t="s">
        <v>6</v>
      </c>
      <c r="I102" s="57"/>
      <c r="J102" s="58">
        <f>SUM(J89:J100)</f>
        <v>0</v>
      </c>
      <c r="M102" s="202"/>
      <c r="O102" s="43"/>
    </row>
    <row r="103" spans="1:15">
      <c r="G103" s="35" t="s">
        <v>7</v>
      </c>
      <c r="I103" s="59">
        <v>0.21</v>
      </c>
      <c r="J103" s="45">
        <f>I103*J102</f>
        <v>0</v>
      </c>
    </row>
    <row r="104" spans="1:15">
      <c r="G104" s="35" t="s">
        <v>177</v>
      </c>
      <c r="I104" s="27" t="s">
        <v>190</v>
      </c>
      <c r="J104" s="42">
        <f>J103+J102</f>
        <v>0</v>
      </c>
      <c r="M104" s="202"/>
      <c r="N104" s="43"/>
      <c r="O104" s="43"/>
    </row>
    <row r="105" spans="1:15">
      <c r="D105" s="46"/>
      <c r="E105" s="49"/>
      <c r="F105" s="49"/>
      <c r="G105" s="49"/>
      <c r="H105" s="49"/>
      <c r="I105" s="49"/>
      <c r="J105" s="42"/>
    </row>
    <row r="106" spans="1:15">
      <c r="J106" s="53"/>
    </row>
    <row r="107" spans="1:15"/>
    <row r="108" spans="1:15" s="33" customFormat="1" ht="16">
      <c r="A108" s="255"/>
      <c r="B108" s="254"/>
      <c r="C108" s="258"/>
      <c r="D108" s="220" t="s">
        <v>268</v>
      </c>
      <c r="E108" s="220"/>
      <c r="F108" s="220"/>
      <c r="G108" s="220"/>
      <c r="H108" s="220"/>
      <c r="I108" s="220"/>
      <c r="J108" s="221"/>
      <c r="K108" s="264"/>
    </row>
    <row r="109" spans="1:15"/>
    <row r="110" spans="1:15"/>
    <row r="111" spans="1:15" s="223" customFormat="1" ht="39">
      <c r="A111" s="256"/>
      <c r="B111" s="254"/>
      <c r="C111" s="259"/>
      <c r="D111" s="224" t="s">
        <v>211</v>
      </c>
      <c r="E111" s="225" t="s">
        <v>129</v>
      </c>
      <c r="F111" s="226" t="s">
        <v>455</v>
      </c>
      <c r="G111" s="226" t="s">
        <v>245</v>
      </c>
      <c r="H111" s="226" t="s">
        <v>209</v>
      </c>
      <c r="I111" s="226" t="s">
        <v>63</v>
      </c>
      <c r="J111" s="226" t="s">
        <v>90</v>
      </c>
      <c r="K111" s="265"/>
    </row>
    <row r="112" spans="1:15" s="62" customFormat="1" ht="21" customHeight="1">
      <c r="A112" s="257"/>
      <c r="B112" s="254"/>
      <c r="C112" s="260"/>
      <c r="D112" s="232" t="s">
        <v>26</v>
      </c>
      <c r="E112" s="233"/>
      <c r="F112" s="233"/>
      <c r="G112" s="234"/>
      <c r="H112" s="234"/>
      <c r="I112" s="234"/>
      <c r="J112" s="234"/>
      <c r="K112" s="266"/>
    </row>
    <row r="113" spans="1:256" s="62" customFormat="1" ht="39.75" customHeight="1">
      <c r="A113" s="262">
        <v>0</v>
      </c>
      <c r="B113" s="261"/>
      <c r="C113" s="260"/>
      <c r="D113" s="249">
        <f>VLOOKUP(A113,'1.5 Opbouw uurtarieven'!$A$12:$C$25,2,FALSE)</f>
        <v>0</v>
      </c>
      <c r="J113" s="250"/>
      <c r="K113" s="266"/>
    </row>
    <row r="114" spans="1:256">
      <c r="D114" s="38" t="s">
        <v>219</v>
      </c>
      <c r="E114" s="154">
        <v>0</v>
      </c>
      <c r="F114" s="39">
        <f>H114/G114</f>
        <v>0</v>
      </c>
      <c r="G114" s="40">
        <v>200</v>
      </c>
      <c r="H114" s="39">
        <f>$H$29*E114</f>
        <v>0</v>
      </c>
      <c r="I114" s="41">
        <f>(VLOOKUP(A113,'1.5 Opbouw uurtarieven'!$A$12:$AU$46,41,FALSE)*'1.1a-Jaarprijzen'!$C$74)+(VLOOKUP(A113,'1.5 Opbouw uurtarieven'!$A$12:$AU$46,41,FALSE))</f>
        <v>0</v>
      </c>
      <c r="J114" s="42">
        <f>I114*H114</f>
        <v>0</v>
      </c>
    </row>
    <row r="115" spans="1:256">
      <c r="D115" s="38"/>
      <c r="E115" s="38"/>
      <c r="F115" s="38"/>
      <c r="G115" s="38"/>
      <c r="H115" s="38"/>
      <c r="I115" s="38"/>
      <c r="J115" s="38"/>
      <c r="K115" s="267"/>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c r="FX115" s="38"/>
      <c r="FY115" s="38"/>
      <c r="FZ115" s="38"/>
      <c r="GA115" s="38"/>
      <c r="GB115" s="38"/>
      <c r="GC115" s="38"/>
      <c r="GD115" s="38"/>
      <c r="GE115" s="38"/>
      <c r="GF115" s="38"/>
      <c r="GG115" s="38"/>
      <c r="GH115" s="38"/>
      <c r="GI115" s="38"/>
      <c r="GJ115" s="38"/>
      <c r="GK115" s="38"/>
      <c r="GL115" s="38"/>
      <c r="GM115" s="38"/>
      <c r="GN115" s="38"/>
      <c r="GO115" s="38"/>
      <c r="GP115" s="38"/>
      <c r="GQ115" s="38"/>
      <c r="GR115" s="38"/>
      <c r="GS115" s="38"/>
      <c r="GT115" s="38"/>
      <c r="GU115" s="38"/>
      <c r="GV115" s="38"/>
      <c r="GW115" s="38"/>
      <c r="GX115" s="38"/>
      <c r="GY115" s="38"/>
      <c r="GZ115" s="38"/>
      <c r="HA115" s="38"/>
      <c r="HB115" s="38"/>
      <c r="HC115" s="38"/>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c r="IL115" s="38"/>
      <c r="IM115" s="38"/>
      <c r="IN115" s="38"/>
      <c r="IO115" s="38"/>
      <c r="IP115" s="38"/>
      <c r="IQ115" s="38"/>
      <c r="IR115" s="38"/>
      <c r="IS115" s="38"/>
      <c r="IT115" s="38"/>
      <c r="IU115" s="38"/>
      <c r="IV115" s="38"/>
    </row>
    <row r="116" spans="1:256" s="62" customFormat="1" ht="39.75" customHeight="1">
      <c r="A116" s="262" t="s">
        <v>451</v>
      </c>
      <c r="B116" s="261"/>
      <c r="C116" s="260"/>
      <c r="D116" s="249" t="str">
        <f>VLOOKUP(A116,'1.5 Opbouw uurtarieven'!$A$12:$C$46,2,FALSE)</f>
        <v>12.01A Glazenwasser A 8 jaar en meer</v>
      </c>
      <c r="J116" s="250"/>
      <c r="K116" s="266"/>
    </row>
    <row r="117" spans="1:256">
      <c r="D117" s="38" t="s">
        <v>219</v>
      </c>
      <c r="E117" s="154">
        <v>1</v>
      </c>
      <c r="F117" s="39">
        <f>H117/G117</f>
        <v>0</v>
      </c>
      <c r="G117" s="40">
        <v>200</v>
      </c>
      <c r="H117" s="39">
        <f>$H$127*E117</f>
        <v>0</v>
      </c>
      <c r="I117" s="41">
        <f>(VLOOKUP(A116,'1.5 Opbouw uurtarieven'!$A$12:$AU$46,41,FALSE)*'1.1a-Jaarprijzen'!$C$74)+(VLOOKUP(A116,'1.5 Opbouw uurtarieven'!$A$12:$AU$46,41,FALSE))</f>
        <v>0</v>
      </c>
      <c r="J117" s="42">
        <f>I117*H117</f>
        <v>0</v>
      </c>
    </row>
    <row r="118" spans="1:256">
      <c r="D118" s="38"/>
      <c r="E118" s="38"/>
      <c r="F118" s="38"/>
      <c r="G118" s="38"/>
      <c r="H118" s="38"/>
      <c r="I118" s="38"/>
      <c r="J118" s="38"/>
      <c r="K118" s="267"/>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c r="FX118" s="38"/>
      <c r="FY118" s="38"/>
      <c r="FZ118" s="38"/>
      <c r="GA118" s="38"/>
      <c r="GB118" s="38"/>
      <c r="GC118" s="38"/>
      <c r="GD118" s="38"/>
      <c r="GE118" s="38"/>
      <c r="GF118" s="38"/>
      <c r="GG118" s="38"/>
      <c r="GH118" s="38"/>
      <c r="GI118" s="38"/>
      <c r="GJ118" s="38"/>
      <c r="GK118" s="38"/>
      <c r="GL118" s="38"/>
      <c r="GM118" s="38"/>
      <c r="GN118" s="38"/>
      <c r="GO118" s="38"/>
      <c r="GP118" s="38"/>
      <c r="GQ118" s="38"/>
      <c r="GR118" s="38"/>
      <c r="GS118" s="38"/>
      <c r="GT118" s="38"/>
      <c r="GU118" s="38"/>
      <c r="GV118" s="38"/>
      <c r="GW118" s="38"/>
      <c r="GX118" s="38"/>
      <c r="GY118" s="38"/>
      <c r="GZ118" s="38"/>
      <c r="HA118" s="38"/>
      <c r="HB118" s="38"/>
      <c r="HC118" s="38"/>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c r="IL118" s="38"/>
      <c r="IM118" s="38"/>
      <c r="IN118" s="38"/>
      <c r="IO118" s="38"/>
      <c r="IP118" s="38"/>
      <c r="IQ118" s="38"/>
      <c r="IR118" s="38"/>
      <c r="IS118" s="38"/>
      <c r="IT118" s="38"/>
      <c r="IU118" s="38"/>
      <c r="IV118" s="38"/>
    </row>
    <row r="119" spans="1:256" s="62" customFormat="1" ht="39.75" customHeight="1">
      <c r="A119" s="262">
        <v>0</v>
      </c>
      <c r="B119" s="261"/>
      <c r="C119" s="260"/>
      <c r="D119" s="249">
        <f>VLOOKUP(A119,'1.5 Opbouw uurtarieven'!$A$12:$C$46,2,FALSE)</f>
        <v>0</v>
      </c>
      <c r="J119" s="250"/>
      <c r="K119" s="266"/>
    </row>
    <row r="120" spans="1:256">
      <c r="D120" s="38" t="s">
        <v>219</v>
      </c>
      <c r="E120" s="154"/>
      <c r="F120" s="39">
        <f>H120/G120</f>
        <v>0</v>
      </c>
      <c r="G120" s="40">
        <v>200</v>
      </c>
      <c r="H120" s="39">
        <f>$H$127*E120</f>
        <v>0</v>
      </c>
      <c r="I120" s="41">
        <f>(VLOOKUP(A119,'1.5 Opbouw uurtarieven'!$A$12:$AU$46,41,FALSE)*'1.1a-Jaarprijzen'!$C$74)+(VLOOKUP(A119,'1.5 Opbouw uurtarieven'!$A$12:$AU$46,41,FALSE))</f>
        <v>0</v>
      </c>
      <c r="J120" s="42">
        <f>I120*H120</f>
        <v>0</v>
      </c>
    </row>
    <row r="121" spans="1:256">
      <c r="D121" s="38"/>
      <c r="E121" s="38"/>
      <c r="F121" s="38"/>
      <c r="G121" s="38"/>
      <c r="H121" s="38"/>
      <c r="I121" s="38"/>
      <c r="J121" s="38"/>
      <c r="K121" s="267"/>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c r="FX121" s="38"/>
      <c r="FY121" s="38"/>
      <c r="FZ121" s="38"/>
      <c r="GA121" s="38"/>
      <c r="GB121" s="38"/>
      <c r="GC121" s="38"/>
      <c r="GD121" s="38"/>
      <c r="GE121" s="38"/>
      <c r="GF121" s="38"/>
      <c r="GG121" s="38"/>
      <c r="GH121" s="38"/>
      <c r="GI121" s="38"/>
      <c r="GJ121" s="38"/>
      <c r="GK121" s="38"/>
      <c r="GL121" s="38"/>
      <c r="GM121" s="38"/>
      <c r="GN121" s="38"/>
      <c r="GO121" s="38"/>
      <c r="GP121" s="38"/>
      <c r="GQ121" s="38"/>
      <c r="GR121" s="38"/>
      <c r="GS121" s="38"/>
      <c r="GT121" s="38"/>
      <c r="GU121" s="38"/>
      <c r="GV121" s="38"/>
      <c r="GW121" s="38"/>
      <c r="GX121" s="38"/>
      <c r="GY121" s="38"/>
      <c r="GZ121" s="38"/>
      <c r="HA121" s="38"/>
      <c r="HB121" s="38"/>
      <c r="HC121" s="38"/>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c r="IL121" s="38"/>
      <c r="IM121" s="38"/>
      <c r="IN121" s="38"/>
      <c r="IO121" s="38"/>
      <c r="IP121" s="38"/>
      <c r="IQ121" s="38"/>
      <c r="IR121" s="38"/>
      <c r="IS121" s="38"/>
      <c r="IT121" s="38"/>
      <c r="IU121" s="38"/>
      <c r="IV121" s="38"/>
    </row>
    <row r="122" spans="1:256" s="62" customFormat="1" ht="39.75" customHeight="1">
      <c r="A122" s="262">
        <v>0</v>
      </c>
      <c r="B122" s="254"/>
      <c r="C122" s="260"/>
      <c r="D122" s="249">
        <f>VLOOKUP(A122,'1.5 Opbouw uurtarieven'!$A$12:$C$46,2,FALSE)</f>
        <v>0</v>
      </c>
      <c r="J122" s="250"/>
      <c r="K122" s="266"/>
    </row>
    <row r="123" spans="1:256">
      <c r="D123" s="38" t="s">
        <v>219</v>
      </c>
      <c r="E123" s="154"/>
      <c r="F123" s="39">
        <f>H123/G123</f>
        <v>0</v>
      </c>
      <c r="G123" s="40">
        <v>200</v>
      </c>
      <c r="H123" s="39">
        <f>$H$127*E123</f>
        <v>0</v>
      </c>
      <c r="I123" s="41">
        <f>(VLOOKUP(A122,'1.5 Opbouw uurtarieven'!$A$12:$AU$46,41,FALSE)*'1.1a-Jaarprijzen'!$C$74)+(VLOOKUP(A122,'1.5 Opbouw uurtarieven'!$A$12:$AU$46,41,FALSE))</f>
        <v>0</v>
      </c>
      <c r="J123" s="42">
        <f>I123*H123</f>
        <v>0</v>
      </c>
    </row>
    <row r="124" spans="1:256">
      <c r="D124" s="38"/>
      <c r="E124" s="38"/>
      <c r="F124" s="38"/>
      <c r="G124" s="38"/>
      <c r="H124" s="38"/>
      <c r="I124" s="38"/>
      <c r="J124" s="38"/>
      <c r="K124" s="267"/>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c r="FX124" s="38"/>
      <c r="FY124" s="38"/>
      <c r="FZ124" s="38"/>
      <c r="GA124" s="38"/>
      <c r="GB124" s="38"/>
      <c r="GC124" s="38"/>
      <c r="GD124" s="38"/>
      <c r="GE124" s="38"/>
      <c r="GF124" s="38"/>
      <c r="GG124" s="38"/>
      <c r="GH124" s="38"/>
      <c r="GI124" s="38"/>
      <c r="GJ124" s="38"/>
      <c r="GK124" s="38"/>
      <c r="GL124" s="38"/>
      <c r="GM124" s="38"/>
      <c r="GN124" s="38"/>
      <c r="GO124" s="38"/>
      <c r="GP124" s="38"/>
      <c r="GQ124" s="38"/>
      <c r="GR124" s="38"/>
      <c r="GS124" s="38"/>
      <c r="GT124" s="38"/>
      <c r="GU124" s="38"/>
      <c r="GV124" s="38"/>
      <c r="GW124" s="38"/>
      <c r="GX124" s="38"/>
      <c r="GY124" s="38"/>
      <c r="GZ124" s="38"/>
      <c r="HA124" s="38"/>
      <c r="HB124" s="38"/>
      <c r="HC124" s="38"/>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c r="IL124" s="38"/>
      <c r="IM124" s="38"/>
      <c r="IN124" s="38"/>
      <c r="IO124" s="38"/>
      <c r="IP124" s="38"/>
      <c r="IQ124" s="38"/>
      <c r="IR124" s="38"/>
      <c r="IS124" s="38"/>
      <c r="IT124" s="38"/>
      <c r="IU124" s="38"/>
      <c r="IV124" s="38"/>
    </row>
    <row r="125" spans="1:256" s="62" customFormat="1" ht="39.75" customHeight="1">
      <c r="A125" s="262">
        <v>0</v>
      </c>
      <c r="B125" s="254"/>
      <c r="C125" s="260"/>
      <c r="D125" s="249">
        <f>VLOOKUP(A125,'1.5 Opbouw uurtarieven'!$A$12:$C$46,2,FALSE)</f>
        <v>0</v>
      </c>
      <c r="J125" s="250"/>
      <c r="K125" s="266"/>
    </row>
    <row r="126" spans="1:256">
      <c r="D126" s="38" t="s">
        <v>219</v>
      </c>
      <c r="E126" s="194">
        <v>0</v>
      </c>
      <c r="F126" s="44">
        <f>H126/G126</f>
        <v>0</v>
      </c>
      <c r="G126" s="40">
        <v>200</v>
      </c>
      <c r="H126" s="44">
        <f>$H$29*E126</f>
        <v>0</v>
      </c>
      <c r="I126" s="41">
        <f>(VLOOKUP(A125,'1.5 Opbouw uurtarieven'!$A$12:$AU$46,41,FALSE)*'1.1a-Jaarprijzen'!$C$74)+(VLOOKUP(A125,'1.5 Opbouw uurtarieven'!$A$12:$AU$46,41,FALSE))</f>
        <v>0</v>
      </c>
      <c r="J126" s="45">
        <f>I126*H126</f>
        <v>0</v>
      </c>
    </row>
    <row r="127" spans="1:256" s="62" customFormat="1" ht="18" customHeight="1">
      <c r="A127" s="725" t="str">
        <f>IF(E127&gt;=100%,"Totaal productie-uren, maximaal 100%",0)</f>
        <v>Totaal productie-uren, maximaal 100%</v>
      </c>
      <c r="B127" s="254"/>
      <c r="C127" s="260"/>
      <c r="D127" s="232"/>
      <c r="E127" s="237">
        <f>E126+E123+E120+E117+E114</f>
        <v>1</v>
      </c>
      <c r="F127" s="238">
        <f>SUM(F114:F126)</f>
        <v>0</v>
      </c>
      <c r="G127" s="234"/>
      <c r="H127" s="238">
        <f>SUM('1.9-Glasbewassing'!N16:P49)</f>
        <v>0</v>
      </c>
      <c r="I127" s="233">
        <v>0</v>
      </c>
      <c r="J127" s="239">
        <f>SUM(J114:J126)</f>
        <v>0</v>
      </c>
      <c r="K127" s="266"/>
      <c r="L127" s="526">
        <f>IF(H127=0,0,J127/H127)</f>
        <v>0</v>
      </c>
    </row>
    <row r="128" spans="1:256" s="62" customFormat="1" ht="21" customHeight="1">
      <c r="A128" s="726"/>
      <c r="B128" s="254"/>
      <c r="C128" s="260"/>
      <c r="D128" s="232" t="s">
        <v>94</v>
      </c>
      <c r="G128" s="234"/>
      <c r="H128" s="234"/>
      <c r="I128" s="234"/>
      <c r="J128" s="234"/>
      <c r="K128" s="266"/>
      <c r="L128" s="235"/>
    </row>
    <row r="129" spans="1:256" s="62" customFormat="1" ht="39.75" customHeight="1">
      <c r="A129" s="262" t="s">
        <v>452</v>
      </c>
      <c r="B129" s="254"/>
      <c r="C129" s="260"/>
      <c r="D129" s="249" t="str">
        <f>VLOOKUP(A129,'1.5 Opbouw uurtarieven'!$A$12:$C$46,2,FALSE)</f>
        <v>12.03 Allround glazenwasser 0 t/m 7 jaar</v>
      </c>
      <c r="J129" s="250"/>
      <c r="K129" s="266"/>
      <c r="L129" s="251"/>
    </row>
    <row r="130" spans="1:256">
      <c r="D130" s="231" t="s">
        <v>219</v>
      </c>
      <c r="E130" s="154">
        <v>0.06</v>
      </c>
      <c r="F130" s="39">
        <f>H130/G130</f>
        <v>0</v>
      </c>
      <c r="G130" s="40">
        <v>200</v>
      </c>
      <c r="H130" s="39">
        <f>E130*$H$127</f>
        <v>0</v>
      </c>
      <c r="I130" s="41">
        <f>(VLOOKUP(A129,'1.5 Opbouw uurtarieven'!$A$12:$AU$46,41,FALSE)*'1.1a-Jaarprijzen'!$C$74)+(VLOOKUP(A129,'1.5 Opbouw uurtarieven'!$A$12:$AU$46,41,FALSE))</f>
        <v>0</v>
      </c>
      <c r="J130" s="42">
        <f>I130*H130</f>
        <v>0</v>
      </c>
    </row>
    <row r="131" spans="1:256">
      <c r="D131" s="231"/>
      <c r="E131" s="62"/>
      <c r="F131" s="39"/>
      <c r="G131" s="40"/>
      <c r="H131" s="39"/>
      <c r="I131" s="41"/>
      <c r="J131" s="42"/>
    </row>
    <row r="132" spans="1:256" s="62" customFormat="1" ht="39.75" customHeight="1">
      <c r="A132" s="262">
        <v>0</v>
      </c>
      <c r="B132" s="254"/>
      <c r="C132" s="260"/>
      <c r="D132" s="249">
        <f>VLOOKUP(A132,'1.5 Opbouw uurtarieven'!$A$12:$C$46,2,FALSE)</f>
        <v>0</v>
      </c>
      <c r="J132" s="250"/>
      <c r="K132" s="266"/>
      <c r="L132" s="251"/>
    </row>
    <row r="133" spans="1:256">
      <c r="D133" s="231" t="s">
        <v>219</v>
      </c>
      <c r="E133" s="154">
        <v>0</v>
      </c>
      <c r="F133" s="39">
        <f>H133/G133</f>
        <v>0</v>
      </c>
      <c r="G133" s="40">
        <v>200</v>
      </c>
      <c r="H133" s="39">
        <f>E133*$H$29</f>
        <v>0</v>
      </c>
      <c r="I133" s="41">
        <f>(VLOOKUP(A132,'1.5 Opbouw uurtarieven'!$A$12:$AU$46,41,FALSE)*'1.1a-Jaarprijzen'!$C$74)+(VLOOKUP(A132,'1.5 Opbouw uurtarieven'!$A$12:$AU$46,41,FALSE))</f>
        <v>0</v>
      </c>
      <c r="J133" s="42">
        <f>I133*H133</f>
        <v>0</v>
      </c>
    </row>
    <row r="134" spans="1:256">
      <c r="D134" s="231"/>
      <c r="E134" s="38"/>
      <c r="F134" s="38"/>
      <c r="G134" s="38"/>
      <c r="H134" s="38"/>
      <c r="I134" s="38"/>
      <c r="J134" s="38"/>
      <c r="K134" s="267"/>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c r="FX134" s="38"/>
      <c r="FY134" s="38"/>
      <c r="FZ134" s="38"/>
      <c r="GA134" s="38"/>
      <c r="GB134" s="38"/>
      <c r="GC134" s="38"/>
      <c r="GD134" s="38"/>
      <c r="GE134" s="38"/>
      <c r="GF134" s="38"/>
      <c r="GG134" s="38"/>
      <c r="GH134" s="38"/>
      <c r="GI134" s="38"/>
      <c r="GJ134" s="38"/>
      <c r="GK134" s="38"/>
      <c r="GL134" s="38"/>
      <c r="GM134" s="38"/>
      <c r="GN134" s="38"/>
      <c r="GO134" s="38"/>
      <c r="GP134" s="38"/>
      <c r="GQ134" s="38"/>
      <c r="GR134" s="38"/>
      <c r="GS134" s="38"/>
      <c r="GT134" s="38"/>
      <c r="GU134" s="38"/>
      <c r="GV134" s="38"/>
      <c r="GW134" s="38"/>
      <c r="GX134" s="38"/>
      <c r="GY134" s="38"/>
      <c r="GZ134" s="38"/>
      <c r="HA134" s="38"/>
      <c r="HB134" s="38"/>
      <c r="HC134" s="38"/>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c r="IL134" s="38"/>
      <c r="IM134" s="38"/>
      <c r="IN134" s="38"/>
      <c r="IO134" s="38"/>
      <c r="IP134" s="38"/>
      <c r="IQ134" s="38"/>
      <c r="IR134" s="38"/>
      <c r="IS134" s="38"/>
      <c r="IT134" s="38"/>
      <c r="IU134" s="38"/>
      <c r="IV134" s="38"/>
    </row>
    <row r="135" spans="1:256" s="62" customFormat="1" ht="39.75" customHeight="1">
      <c r="A135" s="262">
        <v>0</v>
      </c>
      <c r="B135" s="254"/>
      <c r="C135" s="260"/>
      <c r="D135" s="249">
        <f>VLOOKUP(A135,'1.5 Opbouw uurtarieven'!$A$12:$C$46,2,FALSE)</f>
        <v>0</v>
      </c>
      <c r="J135" s="250"/>
      <c r="K135" s="266"/>
    </row>
    <row r="136" spans="1:256">
      <c r="D136" s="231" t="s">
        <v>219</v>
      </c>
      <c r="E136" s="194"/>
      <c r="F136" s="44">
        <f>H136/G136</f>
        <v>0</v>
      </c>
      <c r="G136" s="40">
        <v>200</v>
      </c>
      <c r="H136" s="44">
        <f>E136*H127</f>
        <v>0</v>
      </c>
      <c r="I136" s="41">
        <f>(VLOOKUP(A135,'1.5 Opbouw uurtarieven'!$A$12:$AU$46,41,FALSE)*'1.1a-Jaarprijzen'!$C$74)+(VLOOKUP(A135,'1.5 Opbouw uurtarieven'!$A$12:$AU$46,41,FALSE))</f>
        <v>0</v>
      </c>
      <c r="J136" s="45">
        <f>I136*H136</f>
        <v>0</v>
      </c>
    </row>
    <row r="137" spans="1:256">
      <c r="D137" s="231"/>
      <c r="E137" s="47">
        <f>E136+E133+E130</f>
        <v>0.06</v>
      </c>
      <c r="F137" s="48">
        <f>SUM(F130:F136)</f>
        <v>0</v>
      </c>
      <c r="G137" s="37"/>
      <c r="H137" s="48">
        <f>SUM(H130:H136)</f>
        <v>0</v>
      </c>
      <c r="I137" s="38"/>
      <c r="J137" s="50">
        <f>SUM(J130:J136)</f>
        <v>0</v>
      </c>
      <c r="K137" s="38"/>
      <c r="L137" s="526">
        <f>IF(H127=0,0,J149/H127)</f>
        <v>0</v>
      </c>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c r="FX137" s="38"/>
      <c r="FY137" s="38"/>
      <c r="FZ137" s="38"/>
      <c r="GA137" s="38"/>
      <c r="GB137" s="38"/>
      <c r="GC137" s="38"/>
      <c r="GD137" s="38"/>
      <c r="GE137" s="38"/>
      <c r="GF137" s="38"/>
      <c r="GG137" s="38"/>
      <c r="GH137" s="38"/>
      <c r="GI137" s="38"/>
      <c r="GJ137" s="38"/>
      <c r="GK137" s="38"/>
      <c r="GL137" s="38"/>
      <c r="GM137" s="38"/>
      <c r="GN137" s="38"/>
      <c r="GO137" s="38"/>
      <c r="GP137" s="38"/>
      <c r="GQ137" s="38"/>
      <c r="GR137" s="38"/>
      <c r="GS137" s="38"/>
      <c r="GT137" s="38"/>
      <c r="GU137" s="38"/>
      <c r="GV137" s="38"/>
      <c r="GW137" s="38"/>
      <c r="GX137" s="38"/>
      <c r="GY137" s="38"/>
      <c r="GZ137" s="38"/>
      <c r="HA137" s="38"/>
      <c r="HB137" s="38"/>
      <c r="HC137" s="38"/>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c r="IL137" s="38"/>
      <c r="IM137" s="38"/>
      <c r="IN137" s="38"/>
      <c r="IO137" s="38"/>
      <c r="IP137" s="38"/>
      <c r="IQ137" s="38"/>
      <c r="IR137" s="38"/>
      <c r="IS137" s="38"/>
      <c r="IT137" s="38"/>
      <c r="IU137" s="38"/>
      <c r="IV137" s="38"/>
    </row>
    <row r="138" spans="1:256">
      <c r="D138" s="231"/>
      <c r="E138" s="47"/>
      <c r="F138" s="48"/>
      <c r="G138" s="37"/>
      <c r="H138" s="48"/>
      <c r="I138" s="38"/>
      <c r="J138" s="50"/>
      <c r="K138" s="38"/>
      <c r="L138" s="526"/>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c r="FX138" s="38"/>
      <c r="FY138" s="38"/>
      <c r="FZ138" s="38"/>
      <c r="GA138" s="38"/>
      <c r="GB138" s="38"/>
      <c r="GC138" s="38"/>
      <c r="GD138" s="38"/>
      <c r="GE138" s="38"/>
      <c r="GF138" s="38"/>
      <c r="GG138" s="38"/>
      <c r="GH138" s="38"/>
      <c r="GI138" s="38"/>
      <c r="GJ138" s="38"/>
      <c r="GK138" s="38"/>
      <c r="GL138" s="38"/>
      <c r="GM138" s="38"/>
      <c r="GN138" s="38"/>
      <c r="GO138" s="38"/>
      <c r="GP138" s="38"/>
      <c r="GQ138" s="38"/>
      <c r="GR138" s="38"/>
      <c r="GS138" s="38"/>
      <c r="GT138" s="38"/>
      <c r="GU138" s="38"/>
      <c r="GV138" s="38"/>
      <c r="GW138" s="38"/>
      <c r="GX138" s="38"/>
      <c r="GY138" s="38"/>
      <c r="GZ138" s="38"/>
      <c r="HA138" s="38"/>
      <c r="HB138" s="38"/>
      <c r="HC138" s="38"/>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c r="IL138" s="38"/>
      <c r="IM138" s="38"/>
      <c r="IN138" s="38"/>
      <c r="IO138" s="38"/>
      <c r="IP138" s="38"/>
      <c r="IQ138" s="38"/>
      <c r="IR138" s="38"/>
      <c r="IS138" s="38"/>
      <c r="IT138" s="38"/>
      <c r="IU138" s="38"/>
      <c r="IV138" s="38"/>
    </row>
    <row r="139" spans="1:256">
      <c r="D139" s="231"/>
      <c r="E139" s="47"/>
      <c r="F139" s="48"/>
      <c r="G139" s="37"/>
      <c r="H139" s="48"/>
      <c r="I139" s="38"/>
      <c r="J139" s="50">
        <f>J137+J127</f>
        <v>0</v>
      </c>
      <c r="K139" s="38"/>
      <c r="L139" s="526"/>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c r="FX139" s="38"/>
      <c r="FY139" s="38"/>
      <c r="FZ139" s="38"/>
      <c r="GA139" s="38"/>
      <c r="GB139" s="38"/>
      <c r="GC139" s="38"/>
      <c r="GD139" s="38"/>
      <c r="GE139" s="38"/>
      <c r="GF139" s="38"/>
      <c r="GG139" s="38"/>
      <c r="GH139" s="38"/>
      <c r="GI139" s="38"/>
      <c r="GJ139" s="38"/>
      <c r="GK139" s="38"/>
      <c r="GL139" s="38"/>
      <c r="GM139" s="38"/>
      <c r="GN139" s="38"/>
      <c r="GO139" s="38"/>
      <c r="GP139" s="38"/>
      <c r="GQ139" s="38"/>
      <c r="GR139" s="38"/>
      <c r="GS139" s="38"/>
      <c r="GT139" s="38"/>
      <c r="GU139" s="38"/>
      <c r="GV139" s="38"/>
      <c r="GW139" s="38"/>
      <c r="GX139" s="38"/>
      <c r="GY139" s="38"/>
      <c r="GZ139" s="38"/>
      <c r="HA139" s="38"/>
      <c r="HB139" s="38"/>
      <c r="HC139" s="38"/>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c r="IL139" s="38"/>
      <c r="IM139" s="38"/>
      <c r="IN139" s="38"/>
      <c r="IO139" s="38"/>
      <c r="IP139" s="38"/>
      <c r="IQ139" s="38"/>
      <c r="IR139" s="38"/>
      <c r="IS139" s="38"/>
      <c r="IT139" s="38"/>
      <c r="IU139" s="38"/>
      <c r="IV139" s="38"/>
    </row>
    <row r="140" spans="1:256">
      <c r="D140" s="231"/>
      <c r="E140" s="47"/>
      <c r="F140" s="48"/>
      <c r="G140" s="37"/>
      <c r="H140" s="48"/>
      <c r="I140" s="38"/>
      <c r="J140" s="50"/>
      <c r="K140" s="38"/>
      <c r="L140" s="526"/>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c r="FX140" s="38"/>
      <c r="FY140" s="38"/>
      <c r="FZ140" s="38"/>
      <c r="GA140" s="38"/>
      <c r="GB140" s="38"/>
      <c r="GC140" s="38"/>
      <c r="GD140" s="38"/>
      <c r="GE140" s="38"/>
      <c r="GF140" s="38"/>
      <c r="GG140" s="38"/>
      <c r="GH140" s="38"/>
      <c r="GI140" s="38"/>
      <c r="GJ140" s="38"/>
      <c r="GK140" s="38"/>
      <c r="GL140" s="38"/>
      <c r="GM140" s="38"/>
      <c r="GN140" s="38"/>
      <c r="GO140" s="38"/>
      <c r="GP140" s="38"/>
      <c r="GQ140" s="38"/>
      <c r="GR140" s="38"/>
      <c r="GS140" s="38"/>
      <c r="GT140" s="38"/>
      <c r="GU140" s="38"/>
      <c r="GV140" s="38"/>
      <c r="GW140" s="38"/>
      <c r="GX140" s="38"/>
      <c r="GY140" s="38"/>
      <c r="GZ140" s="38"/>
      <c r="HA140" s="38"/>
      <c r="HB140" s="38"/>
      <c r="HC140" s="38"/>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c r="IL140" s="38"/>
      <c r="IM140" s="38"/>
      <c r="IN140" s="38"/>
      <c r="IO140" s="38"/>
      <c r="IP140" s="38"/>
      <c r="IQ140" s="38"/>
      <c r="IR140" s="38"/>
      <c r="IS140" s="38"/>
      <c r="IT140" s="38"/>
      <c r="IU140" s="38"/>
      <c r="IV140" s="38"/>
    </row>
    <row r="141" spans="1:256">
      <c r="D141" s="230" t="s">
        <v>453</v>
      </c>
      <c r="E141" s="47"/>
      <c r="F141" s="48"/>
      <c r="G141" s="37"/>
      <c r="H141" s="48"/>
      <c r="I141" s="38"/>
      <c r="J141" s="50"/>
      <c r="K141" s="38"/>
      <c r="L141" s="526"/>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c r="FX141" s="38"/>
      <c r="FY141" s="38"/>
      <c r="FZ141" s="38"/>
      <c r="GA141" s="38"/>
      <c r="GB141" s="38"/>
      <c r="GC141" s="38"/>
      <c r="GD141" s="38"/>
      <c r="GE141" s="38"/>
      <c r="GF141" s="38"/>
      <c r="GG141" s="38"/>
      <c r="GH141" s="38"/>
      <c r="GI141" s="38"/>
      <c r="GJ141" s="38"/>
      <c r="GK141" s="38"/>
      <c r="GL141" s="38"/>
      <c r="GM141" s="38"/>
      <c r="GN141" s="38"/>
      <c r="GO141" s="38"/>
      <c r="GP141" s="38"/>
      <c r="GQ141" s="38"/>
      <c r="GR141" s="38"/>
      <c r="GS141" s="38"/>
      <c r="GT141" s="38"/>
      <c r="GU141" s="38"/>
      <c r="GV141" s="38"/>
      <c r="GW141" s="38"/>
      <c r="GX141" s="38"/>
      <c r="GY141" s="38"/>
      <c r="GZ141" s="38"/>
      <c r="HA141" s="38"/>
      <c r="HB141" s="38"/>
      <c r="HC141" s="38"/>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c r="IL141" s="38"/>
      <c r="IM141" s="38"/>
      <c r="IN141" s="38"/>
      <c r="IO141" s="38"/>
      <c r="IP141" s="38"/>
      <c r="IQ141" s="38"/>
      <c r="IR141" s="38"/>
      <c r="IS141" s="38"/>
      <c r="IT141" s="38"/>
      <c r="IU141" s="38"/>
      <c r="IV141" s="38"/>
    </row>
    <row r="142" spans="1:256">
      <c r="D142" s="230"/>
      <c r="E142" s="52"/>
      <c r="F142" s="48"/>
      <c r="G142" s="37"/>
      <c r="H142" s="48"/>
      <c r="I142" s="49"/>
      <c r="J142" s="195"/>
      <c r="K142" s="266"/>
      <c r="L142" s="43"/>
    </row>
    <row r="143" spans="1:256">
      <c r="D143" s="35" t="s">
        <v>454</v>
      </c>
      <c r="E143" s="52"/>
      <c r="G143" s="37"/>
      <c r="H143" s="48"/>
      <c r="I143" s="49"/>
      <c r="J143" s="50">
        <f>SUM('1.9-Glasbewassing'!Y12:Y208)</f>
        <v>0</v>
      </c>
      <c r="L143" s="43"/>
    </row>
    <row r="144" spans="1:256">
      <c r="D144" s="230"/>
      <c r="E144" s="52"/>
      <c r="F144" s="48"/>
      <c r="G144" s="37"/>
      <c r="H144" s="48"/>
      <c r="I144" s="49"/>
      <c r="J144" s="50"/>
    </row>
    <row r="145" spans="1:12">
      <c r="D145" s="35" t="s">
        <v>335</v>
      </c>
      <c r="F145" s="473">
        <f>SUM('1.9-Glasbewassing'!F:F)+SUM('1.9-Glasbewassing'!H:H)+SUM('1.9-Glasbewassing'!J:J)</f>
        <v>14178.823999999999</v>
      </c>
      <c r="G145" s="27" t="s">
        <v>336</v>
      </c>
    </row>
    <row r="146" spans="1:12"/>
    <row r="147" spans="1:12">
      <c r="D147" s="424"/>
    </row>
    <row r="148" spans="1:12"/>
    <row r="149" spans="1:12" s="62" customFormat="1">
      <c r="A149" s="257"/>
      <c r="B149" s="254"/>
      <c r="C149" s="260"/>
      <c r="D149" s="35"/>
      <c r="E149" s="27"/>
      <c r="F149" s="27"/>
      <c r="G149" s="56" t="s">
        <v>6</v>
      </c>
      <c r="H149" s="27"/>
      <c r="I149" s="57"/>
      <c r="J149" s="679">
        <f>J143+J139</f>
        <v>0</v>
      </c>
      <c r="K149" s="263"/>
      <c r="L149" s="421">
        <f>SUM('1.9-Glasbewassing'!Z1:Z35)</f>
        <v>0</v>
      </c>
    </row>
    <row r="150" spans="1:12" s="62" customFormat="1">
      <c r="A150" s="257"/>
      <c r="B150" s="254"/>
      <c r="C150" s="260"/>
      <c r="D150" s="35"/>
      <c r="E150" s="27"/>
      <c r="F150" s="27"/>
      <c r="G150" s="35" t="s">
        <v>7</v>
      </c>
      <c r="H150" s="27"/>
      <c r="I150" s="59">
        <v>0.21</v>
      </c>
      <c r="J150" s="45">
        <f>I150*J149</f>
        <v>0</v>
      </c>
      <c r="K150" s="263"/>
      <c r="L150" s="421"/>
    </row>
    <row r="151" spans="1:12">
      <c r="G151" s="35" t="s">
        <v>177</v>
      </c>
      <c r="I151" s="27" t="s">
        <v>190</v>
      </c>
      <c r="J151" s="42">
        <f>J150+L149</f>
        <v>0</v>
      </c>
      <c r="L151" s="421"/>
    </row>
    <row r="152" spans="1:12">
      <c r="L152" s="421"/>
    </row>
    <row r="153" spans="1:12"/>
    <row r="154" spans="1:12"/>
    <row r="155" spans="1:12"/>
    <row r="156" spans="1:12"/>
    <row r="157" spans="1:12"/>
    <row r="158" spans="1:12"/>
    <row r="159" spans="1:12"/>
    <row r="160" spans="1:12"/>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sheetData>
  <mergeCells count="4">
    <mergeCell ref="A29:A30"/>
    <mergeCell ref="A49:A50"/>
    <mergeCell ref="A75:A76"/>
    <mergeCell ref="A127:A128"/>
  </mergeCells>
  <phoneticPr fontId="8"/>
  <conditionalFormatting sqref="A29">
    <cfRule type="expression" dxfId="159" priority="49" stopIfTrue="1">
      <formula>$E$29&gt;100%</formula>
    </cfRule>
  </conditionalFormatting>
  <conditionalFormatting sqref="E29 E49">
    <cfRule type="cellIs" dxfId="158" priority="50" stopIfTrue="1" operator="greaterThan">
      <formula>1</formula>
    </cfRule>
  </conditionalFormatting>
  <conditionalFormatting sqref="E22 E25">
    <cfRule type="cellIs" dxfId="157" priority="47" stopIfTrue="1" operator="lessThanOrEqual">
      <formula>0</formula>
    </cfRule>
  </conditionalFormatting>
  <conditionalFormatting sqref="E28">
    <cfRule type="cellIs" dxfId="156" priority="46" stopIfTrue="1" operator="lessThanOrEqual">
      <formula>0</formula>
    </cfRule>
  </conditionalFormatting>
  <conditionalFormatting sqref="E35">
    <cfRule type="cellIs" dxfId="155" priority="45" stopIfTrue="1" operator="lessThanOrEqual">
      <formula>0</formula>
    </cfRule>
  </conditionalFormatting>
  <conditionalFormatting sqref="E38">
    <cfRule type="cellIs" dxfId="154" priority="44" stopIfTrue="1" operator="lessThanOrEqual">
      <formula>0</formula>
    </cfRule>
  </conditionalFormatting>
  <conditionalFormatting sqref="E19">
    <cfRule type="cellIs" dxfId="153" priority="43" stopIfTrue="1" operator="lessThanOrEqual">
      <formula>0</formula>
    </cfRule>
  </conditionalFormatting>
  <conditionalFormatting sqref="E16">
    <cfRule type="cellIs" dxfId="152" priority="42" stopIfTrue="1" operator="lessThanOrEqual">
      <formula>0</formula>
    </cfRule>
  </conditionalFormatting>
  <conditionalFormatting sqref="A49">
    <cfRule type="expression" dxfId="151" priority="40" stopIfTrue="1">
      <formula>$E$48&gt;100%</formula>
    </cfRule>
  </conditionalFormatting>
  <conditionalFormatting sqref="E42">
    <cfRule type="cellIs" dxfId="150" priority="37" stopIfTrue="1" operator="lessThanOrEqual">
      <formula>0</formula>
    </cfRule>
  </conditionalFormatting>
  <conditionalFormatting sqref="E45">
    <cfRule type="cellIs" dxfId="149" priority="36" stopIfTrue="1" operator="lessThanOrEqual">
      <formula>0</formula>
    </cfRule>
  </conditionalFormatting>
  <conditionalFormatting sqref="E48">
    <cfRule type="cellIs" dxfId="148" priority="35" stopIfTrue="1" operator="lessThanOrEqual">
      <formula>0</formula>
    </cfRule>
  </conditionalFormatting>
  <conditionalFormatting sqref="E32">
    <cfRule type="cellIs" dxfId="147" priority="22" stopIfTrue="1" operator="lessThanOrEqual">
      <formula>0</formula>
    </cfRule>
  </conditionalFormatting>
  <conditionalFormatting sqref="E55">
    <cfRule type="cellIs" dxfId="146" priority="21" stopIfTrue="1" operator="lessThanOrEqual">
      <formula>0</formula>
    </cfRule>
  </conditionalFormatting>
  <conditionalFormatting sqref="E58">
    <cfRule type="cellIs" dxfId="145" priority="20" stopIfTrue="1" operator="lessThanOrEqual">
      <formula>0</formula>
    </cfRule>
  </conditionalFormatting>
  <conditionalFormatting sqref="E59:E65">
    <cfRule type="cellIs" dxfId="144" priority="24" stopIfTrue="1" operator="greaterThan">
      <formula>1</formula>
    </cfRule>
  </conditionalFormatting>
  <conditionalFormatting sqref="E52">
    <cfRule type="cellIs" dxfId="143" priority="19" stopIfTrue="1" operator="lessThanOrEqual">
      <formula>0</formula>
    </cfRule>
  </conditionalFormatting>
  <conditionalFormatting sqref="E85">
    <cfRule type="cellIs" dxfId="142" priority="18" stopIfTrue="1" operator="greaterThan">
      <formula>1</formula>
    </cfRule>
  </conditionalFormatting>
  <conditionalFormatting sqref="A75">
    <cfRule type="expression" dxfId="141" priority="17" stopIfTrue="1">
      <formula>$E$48&gt;100%</formula>
    </cfRule>
  </conditionalFormatting>
  <conditionalFormatting sqref="E75">
    <cfRule type="cellIs" dxfId="140" priority="16" stopIfTrue="1" operator="greaterThan">
      <formula>1</formula>
    </cfRule>
  </conditionalFormatting>
  <conditionalFormatting sqref="E68">
    <cfRule type="cellIs" dxfId="139" priority="15" stopIfTrue="1" operator="lessThanOrEqual">
      <formula>0</formula>
    </cfRule>
  </conditionalFormatting>
  <conditionalFormatting sqref="E71">
    <cfRule type="cellIs" dxfId="138" priority="14" stopIfTrue="1" operator="lessThanOrEqual">
      <formula>0</formula>
    </cfRule>
  </conditionalFormatting>
  <conditionalFormatting sqref="E74">
    <cfRule type="cellIs" dxfId="137" priority="13" stopIfTrue="1" operator="lessThanOrEqual">
      <formula>0</formula>
    </cfRule>
  </conditionalFormatting>
  <conditionalFormatting sqref="E84">
    <cfRule type="cellIs" dxfId="136" priority="11" stopIfTrue="1" operator="lessThanOrEqual">
      <formula>0</formula>
    </cfRule>
  </conditionalFormatting>
  <conditionalFormatting sqref="E81">
    <cfRule type="cellIs" dxfId="135" priority="12" stopIfTrue="1" operator="lessThanOrEqual">
      <formula>0</formula>
    </cfRule>
  </conditionalFormatting>
  <conditionalFormatting sqref="E78">
    <cfRule type="cellIs" dxfId="134" priority="10" stopIfTrue="1" operator="lessThanOrEqual">
      <formula>0</formula>
    </cfRule>
  </conditionalFormatting>
  <conditionalFormatting sqref="A127">
    <cfRule type="expression" dxfId="133" priority="8" stopIfTrue="1">
      <formula>$E$29&gt;100%</formula>
    </cfRule>
  </conditionalFormatting>
  <conditionalFormatting sqref="E127">
    <cfRule type="cellIs" dxfId="132" priority="9" stopIfTrue="1" operator="greaterThan">
      <formula>1</formula>
    </cfRule>
  </conditionalFormatting>
  <conditionalFormatting sqref="E120 E123">
    <cfRule type="cellIs" dxfId="131" priority="7" stopIfTrue="1" operator="lessThanOrEqual">
      <formula>0</formula>
    </cfRule>
  </conditionalFormatting>
  <conditionalFormatting sqref="E126">
    <cfRule type="cellIs" dxfId="130" priority="6" stopIfTrue="1" operator="lessThanOrEqual">
      <formula>0</formula>
    </cfRule>
  </conditionalFormatting>
  <conditionalFormatting sqref="E133">
    <cfRule type="cellIs" dxfId="129" priority="5" stopIfTrue="1" operator="lessThanOrEqual">
      <formula>0</formula>
    </cfRule>
  </conditionalFormatting>
  <conditionalFormatting sqref="E136">
    <cfRule type="cellIs" dxfId="128" priority="4" stopIfTrue="1" operator="lessThanOrEqual">
      <formula>0</formula>
    </cfRule>
  </conditionalFormatting>
  <conditionalFormatting sqref="E117">
    <cfRule type="cellIs" dxfId="127" priority="3" stopIfTrue="1" operator="lessThanOrEqual">
      <formula>0</formula>
    </cfRule>
  </conditionalFormatting>
  <conditionalFormatting sqref="E114">
    <cfRule type="cellIs" dxfId="126" priority="2" stopIfTrue="1" operator="lessThanOrEqual">
      <formula>0</formula>
    </cfRule>
  </conditionalFormatting>
  <conditionalFormatting sqref="E130">
    <cfRule type="cellIs" dxfId="125" priority="1" stopIfTrue="1" operator="lessThanOrEqual">
      <formula>0</formula>
    </cfRule>
  </conditionalFormatting>
  <dataValidations count="1">
    <dataValidation type="list" allowBlank="1" showInputMessage="1" showErrorMessage="1" sqref="A18 A21 A24 A15 A27 A31 A34 A37 A116 A113 A119 A122 A129 A125 A132 A135">
      <formula1>Loongroepen</formula1>
    </dataValidation>
  </dataValidations>
  <pageMargins left="0.58629921259842532" right="0.59" top="0.59259842519685046" bottom="0.79000000000000015" header="0.39000000000000007" footer="0.2"/>
  <pageSetup paperSize="9" scale="55" orientation="portrait"/>
  <headerFooter>
    <oddHeader>&amp;L&amp;C&amp;R</oddHeader>
    <oddFooter>&amp;L&amp;"Verdana,Regular"&amp;F-&amp;A_x000D_ICCA b.v. ©&amp;R&amp;"Verdana,Regular"printversie &amp;D</oddFooter>
  </headerFooter>
  <rowBreaks count="1" manualBreakCount="1">
    <brk id="106" min="2" max="9" man="1"/>
  </rowBreaks>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enableFormatConditionsCalculation="0"/>
  <dimension ref="A1:T248"/>
  <sheetViews>
    <sheetView showGridLines="0" showZeros="0" showOutlineSymbols="0" zoomScaleSheetLayoutView="75" workbookViewId="0">
      <selection activeCell="G12" sqref="G12"/>
    </sheetView>
  </sheetViews>
  <sheetFormatPr baseColWidth="10" defaultColWidth="0" defaultRowHeight="13" zeroHeight="1" x14ac:dyDescent="0"/>
  <cols>
    <col min="1" max="1" width="3.42578125" customWidth="1"/>
    <col min="2" max="2" width="32.140625" style="1" bestFit="1" customWidth="1"/>
    <col min="3" max="3" width="13.28515625" style="1" customWidth="1"/>
    <col min="4" max="4" width="18.42578125" style="1" customWidth="1"/>
    <col min="5" max="5" width="12.7109375" style="1" customWidth="1"/>
    <col min="6" max="6" width="15.5703125" style="1" bestFit="1" customWidth="1"/>
    <col min="7" max="7" width="14.42578125" style="1" bestFit="1" customWidth="1"/>
    <col min="8" max="8" width="14" style="1" customWidth="1"/>
    <col min="9" max="9" width="20.7109375" style="1" bestFit="1" customWidth="1"/>
    <col min="10" max="10" width="15.42578125" style="1" customWidth="1"/>
    <col min="11" max="11" width="12.140625" style="1" customWidth="1"/>
    <col min="12" max="12" width="18.42578125" style="1" customWidth="1"/>
    <col min="13" max="13" width="21.7109375" style="1" customWidth="1"/>
    <col min="14" max="14" width="4.28515625" style="1" customWidth="1"/>
    <col min="15" max="15" width="7" style="1" hidden="1" customWidth="1"/>
    <col min="16" max="16" width="18.5703125" style="1" hidden="1" customWidth="1"/>
    <col min="17" max="17" width="8.42578125" style="1" hidden="1" customWidth="1"/>
    <col min="18" max="18" width="8.42578125" hidden="1" customWidth="1"/>
    <col min="19" max="19" width="7.85546875" hidden="1" customWidth="1"/>
    <col min="20" max="20" width="13" hidden="1" customWidth="1"/>
    <col min="21" max="16384" width="11.42578125" hidden="1"/>
  </cols>
  <sheetData>
    <row r="1" spans="1:19"/>
    <row r="2" spans="1:19" ht="16">
      <c r="B2" s="72" t="str">
        <f>'1.0-Contractblad'!D2</f>
        <v>Naam opdrachtgever</v>
      </c>
      <c r="C2" s="30" t="str">
        <f>'1.0-Contractblad'!E2</f>
        <v>Stichting CPOW</v>
      </c>
      <c r="D2" s="33"/>
    </row>
    <row r="3" spans="1:19" ht="16">
      <c r="B3" s="72" t="str">
        <f>'1.0-Contractblad'!D3</f>
        <v>Omschrijving blad</v>
      </c>
      <c r="C3" s="72" t="s">
        <v>43</v>
      </c>
      <c r="D3" s="33"/>
    </row>
    <row r="4" spans="1:19" ht="16">
      <c r="B4" s="72" t="str">
        <f>'1.0-Contractblad'!D4</f>
        <v>Adres/plaats</v>
      </c>
      <c r="C4" s="30" t="str">
        <f>'1.0-Contractblad'!E4</f>
        <v>Primair onderwijs Purmerend e.o.</v>
      </c>
      <c r="D4" s="33"/>
    </row>
    <row r="5" spans="1:19" ht="16">
      <c r="B5" s="72" t="str">
        <f>'1.0-Contractblad'!D5</f>
        <v>Besteknummer</v>
      </c>
      <c r="C5" s="30" t="str">
        <f>'1.0-Contractblad'!E5</f>
        <v>0302-52-2015 V1</v>
      </c>
      <c r="D5" s="33"/>
    </row>
    <row r="6" spans="1:19" ht="16">
      <c r="B6" s="72" t="str">
        <f>'1.0-Contractblad'!D6</f>
        <v>Naam leverancier</v>
      </c>
      <c r="C6" s="30" t="str">
        <f>'1.0-Contractblad'!E6</f>
        <v>[NAAM LEVERANCIER]</v>
      </c>
      <c r="D6" s="33"/>
      <c r="F6" s="585">
        <f>Voorblad!$E$15</f>
        <v>42370</v>
      </c>
    </row>
    <row r="7" spans="1:19"/>
    <row r="8" spans="1:19" ht="2" customHeight="1"/>
    <row r="9" spans="1:19">
      <c r="R9" s="1"/>
      <c r="S9" s="1"/>
    </row>
    <row r="10" spans="1:19" s="275" customFormat="1" ht="26">
      <c r="B10" s="269" t="s">
        <v>206</v>
      </c>
      <c r="C10" s="269" t="s">
        <v>171</v>
      </c>
      <c r="D10" s="269" t="s">
        <v>626</v>
      </c>
      <c r="E10" s="269" t="s">
        <v>237</v>
      </c>
      <c r="F10" s="269" t="s">
        <v>182</v>
      </c>
      <c r="G10" s="273" t="s">
        <v>121</v>
      </c>
      <c r="H10" s="270" t="s">
        <v>330</v>
      </c>
      <c r="I10" s="270" t="s">
        <v>331</v>
      </c>
      <c r="J10" s="270" t="s">
        <v>620</v>
      </c>
      <c r="K10" s="270" t="s">
        <v>183</v>
      </c>
      <c r="L10" s="270" t="s">
        <v>634</v>
      </c>
      <c r="M10" s="270" t="s">
        <v>627</v>
      </c>
      <c r="N10" s="274"/>
      <c r="O10" s="274"/>
      <c r="P10" s="274"/>
      <c r="Q10" s="274"/>
    </row>
    <row r="11" spans="1:19">
      <c r="A11" s="543">
        <f>G11</f>
        <v>1</v>
      </c>
      <c r="B11" s="476" t="s">
        <v>570</v>
      </c>
      <c r="C11" s="300" t="s">
        <v>419</v>
      </c>
      <c r="D11" s="303" t="s">
        <v>629</v>
      </c>
      <c r="E11" s="662">
        <f ca="1">SUMIF('1.3-Basis ruimtestaat'!$E$10:$K$266,'1.1a-Jaarprijzen'!B11,'1.3-Basis ruimtestaat'!$K$10:$K$266)</f>
        <v>1755.8999999999985</v>
      </c>
      <c r="F11" s="662">
        <f ca="1">SUMIF('1.3-Basis ruimtestaat'!E:L,'1.1a-Jaarprijzen'!B11,'1.3-Basis ruimtestaat'!L:L)</f>
        <v>0</v>
      </c>
      <c r="G11" s="478">
        <v>1</v>
      </c>
      <c r="H11" s="660">
        <f t="shared" ref="H11:H26" ca="1" si="0">SUMIF(Totaal2,$B11,UREMAVR)</f>
        <v>0</v>
      </c>
      <c r="I11" s="660">
        <f t="shared" ref="I11:I26" ca="1" si="1">SUMIF(Totaal2,$B11,URENNALOOP)</f>
        <v>0</v>
      </c>
      <c r="J11" s="660">
        <f t="shared" ref="J11:J26" ca="1" si="2">H11/200</f>
        <v>0</v>
      </c>
      <c r="K11" s="661">
        <f ca="1">(H11+I11)*'1.0-Contractblad'!$E$39</f>
        <v>0</v>
      </c>
      <c r="L11" s="659">
        <f>SUMIF('1.9-Glasbewassing'!B:B,'1.1a-Jaarprijzen'!B11,'1.9-Glasbewassing'!F:F)+SUMIF('1.9-Glasbewassing'!B:B,'1.1a-Jaarprijzen'!B11,'1.9-Glasbewassing'!H:H)+SUMIF('1.9-Glasbewassing'!B:B,'1.1a-Jaarprijzen'!B11,'1.9-Glasbewassing'!J:J)</f>
        <v>1490.6999999999998</v>
      </c>
      <c r="M11" s="301" t="s">
        <v>615</v>
      </c>
      <c r="N11" s="276"/>
      <c r="O11" s="201"/>
      <c r="P11" s="201"/>
      <c r="Q11" s="201"/>
      <c r="R11" s="558"/>
    </row>
    <row r="12" spans="1:19">
      <c r="A12" s="543">
        <f t="shared" ref="A12:A26" si="3">G12</f>
        <v>1</v>
      </c>
      <c r="B12" s="300" t="s">
        <v>478</v>
      </c>
      <c r="C12" s="300" t="s">
        <v>419</v>
      </c>
      <c r="D12" s="303" t="s">
        <v>631</v>
      </c>
      <c r="E12" s="662">
        <f ca="1">SUMIF('1.3-Basis ruimtestaat'!$E$10:$K$266,'1.1a-Jaarprijzen'!B12,'1.3-Basis ruimtestaat'!$K$10:$K$266)</f>
        <v>1113.0250000000001</v>
      </c>
      <c r="F12" s="662">
        <f ca="1">SUMIF('1.3-Basis ruimtestaat'!E:L,'1.1a-Jaarprijzen'!B12,'1.3-Basis ruimtestaat'!L:L)</f>
        <v>41.72</v>
      </c>
      <c r="G12" s="478">
        <v>1</v>
      </c>
      <c r="H12" s="660">
        <f t="shared" ca="1" si="0"/>
        <v>0</v>
      </c>
      <c r="I12" s="660">
        <f t="shared" ca="1" si="1"/>
        <v>0</v>
      </c>
      <c r="J12" s="660">
        <f t="shared" ca="1" si="2"/>
        <v>0</v>
      </c>
      <c r="K12" s="661">
        <f ca="1">(H12+I12)*'1.0-Contractblad'!$E$39</f>
        <v>0</v>
      </c>
      <c r="L12" s="659">
        <f>SUMIF('1.9-Glasbewassing'!B:B,'1.1a-Jaarprijzen'!B12,'1.9-Glasbewassing'!F:F)+SUMIF('1.9-Glasbewassing'!B:B,'1.1a-Jaarprijzen'!B12,'1.9-Glasbewassing'!H:H)+SUMIF('1.9-Glasbewassing'!B:B,'1.1a-Jaarprijzen'!B12,'1.9-Glasbewassing'!J:J)</f>
        <v>475</v>
      </c>
      <c r="M12" s="303" t="s">
        <v>613</v>
      </c>
      <c r="N12" s="276"/>
      <c r="O12" s="201"/>
      <c r="P12" s="201"/>
      <c r="Q12" s="201"/>
      <c r="R12" s="558"/>
    </row>
    <row r="13" spans="1:19">
      <c r="A13" s="543">
        <f t="shared" si="3"/>
        <v>1</v>
      </c>
      <c r="B13" s="476" t="s">
        <v>632</v>
      </c>
      <c r="C13" s="300" t="s">
        <v>419</v>
      </c>
      <c r="D13" s="303" t="s">
        <v>680</v>
      </c>
      <c r="E13" s="662">
        <f ca="1">SUMIF('1.3-Basis ruimtestaat'!$E$10:$K$266,'1.1a-Jaarprijzen'!B13,'1.3-Basis ruimtestaat'!$K$10:$K$266)</f>
        <v>2165.6248159816478</v>
      </c>
      <c r="F13" s="662">
        <f ca="1">SUMIF('1.3-Basis ruimtestaat'!E:L,'1.1a-Jaarprijzen'!B13,'1.3-Basis ruimtestaat'!L:L)</f>
        <v>170.54918715870224</v>
      </c>
      <c r="G13" s="478">
        <v>1</v>
      </c>
      <c r="H13" s="660">
        <f t="shared" ca="1" si="0"/>
        <v>0</v>
      </c>
      <c r="I13" s="660">
        <f t="shared" ca="1" si="1"/>
        <v>0</v>
      </c>
      <c r="J13" s="660">
        <f t="shared" ca="1" si="2"/>
        <v>0</v>
      </c>
      <c r="K13" s="661">
        <f ca="1">(H13+I13)*'1.0-Contractblad'!$E$39</f>
        <v>0</v>
      </c>
      <c r="L13" s="659">
        <f>SUMIF('1.9-Glasbewassing'!B:B,'1.1a-Jaarprijzen'!B13,'1.9-Glasbewassing'!F:F)+SUMIF('1.9-Glasbewassing'!B:B,'1.1a-Jaarprijzen'!B13,'1.9-Glasbewassing'!H:H)+SUMIF('1.9-Glasbewassing'!B:B,'1.1a-Jaarprijzen'!B13,'1.9-Glasbewassing'!J:J)</f>
        <v>1076.3</v>
      </c>
      <c r="M13" s="301" t="s">
        <v>612</v>
      </c>
      <c r="N13" s="276"/>
      <c r="O13" s="201"/>
      <c r="P13" s="201"/>
      <c r="Q13" s="201"/>
      <c r="R13" s="558"/>
    </row>
    <row r="14" spans="1:19">
      <c r="A14" s="543">
        <f t="shared" si="3"/>
        <v>1</v>
      </c>
      <c r="B14" s="476" t="s">
        <v>583</v>
      </c>
      <c r="C14" s="300" t="s">
        <v>419</v>
      </c>
      <c r="D14" s="303" t="s">
        <v>630</v>
      </c>
      <c r="E14" s="662">
        <f ca="1">SUMIF('1.3-Basis ruimtestaat'!$E$10:$K$266,'1.1a-Jaarprijzen'!B14,'1.3-Basis ruimtestaat'!$K$10:$K$266)</f>
        <v>1990.3360124758374</v>
      </c>
      <c r="F14" s="662">
        <f ca="1">SUMIF('1.3-Basis ruimtestaat'!E:L,'1.1a-Jaarprijzen'!B14,'1.3-Basis ruimtestaat'!L:L)</f>
        <v>235.94809601548079</v>
      </c>
      <c r="G14" s="478">
        <v>1</v>
      </c>
      <c r="H14" s="660">
        <f t="shared" ca="1" si="0"/>
        <v>0</v>
      </c>
      <c r="I14" s="660">
        <f t="shared" ca="1" si="1"/>
        <v>0</v>
      </c>
      <c r="J14" s="660">
        <f t="shared" ca="1" si="2"/>
        <v>0</v>
      </c>
      <c r="K14" s="661">
        <f ca="1">(H14+I14)*'1.0-Contractblad'!$E$39</f>
        <v>0</v>
      </c>
      <c r="L14" s="659">
        <f>SUMIF('1.9-Glasbewassing'!B:B,'1.1a-Jaarprijzen'!B14,'1.9-Glasbewassing'!F:F)+SUMIF('1.9-Glasbewassing'!B:B,'1.1a-Jaarprijzen'!B14,'1.9-Glasbewassing'!H:H)+SUMIF('1.9-Glasbewassing'!B:B,'1.1a-Jaarprijzen'!B14,'1.9-Glasbewassing'!J:J)</f>
        <v>1284</v>
      </c>
      <c r="M14" s="303" t="s">
        <v>614</v>
      </c>
      <c r="N14" s="276"/>
      <c r="O14" s="201"/>
      <c r="P14" s="201"/>
    </row>
    <row r="15" spans="1:19" hidden="1">
      <c r="A15" s="543">
        <f t="shared" si="3"/>
        <v>2</v>
      </c>
      <c r="B15" s="476"/>
      <c r="C15" s="300"/>
      <c r="D15" s="303"/>
      <c r="E15" s="662">
        <f ca="1">SUMIF('1.3-Basis ruimtestaat'!$E$10:$K$266,'1.1a-Jaarprijzen'!B15,'1.3-Basis ruimtestaat'!$K$10:$K$266)</f>
        <v>0</v>
      </c>
      <c r="F15" s="662">
        <f ca="1">SUMIF('1.3-Basis ruimtestaat'!E:L,'1.1a-Jaarprijzen'!B15,'1.3-Basis ruimtestaat'!L:L)</f>
        <v>0</v>
      </c>
      <c r="G15" s="478">
        <v>2</v>
      </c>
      <c r="H15" s="660">
        <f t="shared" ca="1" si="0"/>
        <v>0</v>
      </c>
      <c r="I15" s="660">
        <f t="shared" ca="1" si="1"/>
        <v>0</v>
      </c>
      <c r="J15" s="660">
        <f t="shared" ca="1" si="2"/>
        <v>0</v>
      </c>
      <c r="K15" s="661">
        <f ca="1">(H15+I15)*'1.0-Contractblad'!$E$39</f>
        <v>0</v>
      </c>
      <c r="L15" s="659">
        <f>SUMIF('1.9-Glasbewassing'!B:B,'1.1a-Jaarprijzen'!B15,'1.9-Glasbewassing'!F:F)+SUMIF('1.9-Glasbewassing'!B:B,'1.1a-Jaarprijzen'!B15,'1.9-Glasbewassing'!H:H)+SUMIF('1.9-Glasbewassing'!B:B,'1.1a-Jaarprijzen'!B15,'1.9-Glasbewassing'!J:J)</f>
        <v>9852.8239999999987</v>
      </c>
      <c r="M15" s="301" t="s">
        <v>608</v>
      </c>
      <c r="N15" s="276"/>
      <c r="O15" s="201"/>
      <c r="P15" s="201">
        <f t="shared" ref="P15:P26" ca="1" si="4">E15+F15</f>
        <v>0</v>
      </c>
      <c r="Q15" s="201">
        <f ca="1">O15-P15</f>
        <v>0</v>
      </c>
      <c r="R15" s="558"/>
    </row>
    <row r="16" spans="1:19" hidden="1">
      <c r="A16" s="543">
        <f t="shared" si="3"/>
        <v>2</v>
      </c>
      <c r="B16" s="476"/>
      <c r="C16" s="300"/>
      <c r="D16" s="303"/>
      <c r="E16" s="662">
        <f ca="1">SUMIF('1.3-Basis ruimtestaat'!$E$10:$K$266,'1.1a-Jaarprijzen'!B16,'1.3-Basis ruimtestaat'!$K$10:$K$266)</f>
        <v>0</v>
      </c>
      <c r="F16" s="662">
        <f ca="1">SUMIF('1.3-Basis ruimtestaat'!E:L,'1.1a-Jaarprijzen'!B16,'1.3-Basis ruimtestaat'!L:L)</f>
        <v>0</v>
      </c>
      <c r="G16" s="478">
        <v>2</v>
      </c>
      <c r="H16" s="660">
        <f t="shared" ca="1" si="0"/>
        <v>0</v>
      </c>
      <c r="I16" s="660">
        <f t="shared" ca="1" si="1"/>
        <v>0</v>
      </c>
      <c r="J16" s="660">
        <f t="shared" ca="1" si="2"/>
        <v>0</v>
      </c>
      <c r="K16" s="661">
        <f ca="1">(H16+I16)*'1.0-Contractblad'!$E$39</f>
        <v>0</v>
      </c>
      <c r="L16" s="659">
        <f>SUMIF('1.9-Glasbewassing'!B:B,'1.1a-Jaarprijzen'!B16,'1.9-Glasbewassing'!F:F)+SUMIF('1.9-Glasbewassing'!B:B,'1.1a-Jaarprijzen'!B16,'1.9-Glasbewassing'!H:H)+SUMIF('1.9-Glasbewassing'!B:B,'1.1a-Jaarprijzen'!B16,'1.9-Glasbewassing'!J:J)</f>
        <v>9852.8239999999987</v>
      </c>
      <c r="M16" s="303" t="s">
        <v>609</v>
      </c>
      <c r="N16" s="276"/>
      <c r="O16" s="201"/>
      <c r="P16" s="201">
        <f t="shared" ca="1" si="4"/>
        <v>0</v>
      </c>
      <c r="Q16" s="201">
        <f ca="1">O16-P16</f>
        <v>0</v>
      </c>
      <c r="R16" s="558"/>
    </row>
    <row r="17" spans="1:20" hidden="1">
      <c r="A17" s="543">
        <f t="shared" si="3"/>
        <v>2</v>
      </c>
      <c r="B17" s="476"/>
      <c r="C17" s="300"/>
      <c r="D17" s="303"/>
      <c r="E17" s="662">
        <f ca="1">SUMIF('1.3-Basis ruimtestaat'!$E$10:$K$266,'1.1a-Jaarprijzen'!B17,'1.3-Basis ruimtestaat'!$K$10:$K$266)</f>
        <v>0</v>
      </c>
      <c r="F17" s="662">
        <f ca="1">SUMIF('1.3-Basis ruimtestaat'!E:L,'1.1a-Jaarprijzen'!B17,'1.3-Basis ruimtestaat'!L:L)</f>
        <v>0</v>
      </c>
      <c r="G17" s="478">
        <v>2</v>
      </c>
      <c r="H17" s="660">
        <f t="shared" ca="1" si="0"/>
        <v>0</v>
      </c>
      <c r="I17" s="660">
        <f t="shared" ca="1" si="1"/>
        <v>0</v>
      </c>
      <c r="J17" s="660">
        <f t="shared" ca="1" si="2"/>
        <v>0</v>
      </c>
      <c r="K17" s="661">
        <f ca="1">(H17+I17)*'1.0-Contractblad'!$E$39</f>
        <v>0</v>
      </c>
      <c r="L17" s="659">
        <f>SUMIF('1.9-Glasbewassing'!B:B,'1.1a-Jaarprijzen'!B17,'1.9-Glasbewassing'!F:F)+SUMIF('1.9-Glasbewassing'!B:B,'1.1a-Jaarprijzen'!B17,'1.9-Glasbewassing'!H:H)+SUMIF('1.9-Glasbewassing'!B:B,'1.1a-Jaarprijzen'!B17,'1.9-Glasbewassing'!J:J)</f>
        <v>9852.8239999999987</v>
      </c>
      <c r="M17" s="303" t="s">
        <v>608</v>
      </c>
      <c r="N17" s="276"/>
      <c r="O17" s="201"/>
      <c r="P17" s="201">
        <f t="shared" ca="1" si="4"/>
        <v>0</v>
      </c>
      <c r="Q17" s="201">
        <f ca="1">O17-P17</f>
        <v>0</v>
      </c>
      <c r="R17" s="558"/>
    </row>
    <row r="18" spans="1:20" hidden="1">
      <c r="A18" s="543">
        <f t="shared" si="3"/>
        <v>2</v>
      </c>
      <c r="B18" s="476"/>
      <c r="C18" s="300"/>
      <c r="D18" s="303"/>
      <c r="E18" s="662">
        <f ca="1">SUMIF('1.3-Basis ruimtestaat'!$E$10:$K$266,'1.1a-Jaarprijzen'!B18,'1.3-Basis ruimtestaat'!$K$10:$K$266)</f>
        <v>0</v>
      </c>
      <c r="F18" s="662">
        <f ca="1">SUMIF('1.3-Basis ruimtestaat'!E:L,'1.1a-Jaarprijzen'!B18,'1.3-Basis ruimtestaat'!L:L)</f>
        <v>0</v>
      </c>
      <c r="G18" s="478">
        <v>2</v>
      </c>
      <c r="H18" s="660">
        <f t="shared" ca="1" si="0"/>
        <v>0</v>
      </c>
      <c r="I18" s="660">
        <f t="shared" ca="1" si="1"/>
        <v>0</v>
      </c>
      <c r="J18" s="660">
        <f t="shared" ca="1" si="2"/>
        <v>0</v>
      </c>
      <c r="K18" s="661">
        <f ca="1">(H18+I18)*'1.0-Contractblad'!$E$39</f>
        <v>0</v>
      </c>
      <c r="L18" s="659">
        <f>SUMIF('1.9-Glasbewassing'!B:B,'1.1a-Jaarprijzen'!B18,'1.9-Glasbewassing'!F:F)+SUMIF('1.9-Glasbewassing'!B:B,'1.1a-Jaarprijzen'!B18,'1.9-Glasbewassing'!H:H)+SUMIF('1.9-Glasbewassing'!B:B,'1.1a-Jaarprijzen'!B18,'1.9-Glasbewassing'!J:J)</f>
        <v>9852.8239999999987</v>
      </c>
      <c r="M18" s="303" t="s">
        <v>610</v>
      </c>
      <c r="N18" s="276"/>
      <c r="O18" s="201"/>
      <c r="P18" s="201">
        <f t="shared" ca="1" si="4"/>
        <v>0</v>
      </c>
      <c r="Q18" s="201">
        <f ca="1">O18-P18</f>
        <v>0</v>
      </c>
      <c r="R18" s="558"/>
    </row>
    <row r="19" spans="1:20" hidden="1">
      <c r="A19" s="543">
        <f t="shared" si="3"/>
        <v>2</v>
      </c>
      <c r="B19" s="476"/>
      <c r="C19" s="300"/>
      <c r="D19" s="303"/>
      <c r="E19" s="662">
        <f ca="1">SUMIF('1.3-Basis ruimtestaat'!$E$10:$K$266,'1.1a-Jaarprijzen'!B19,'1.3-Basis ruimtestaat'!$K$10:$K$266)</f>
        <v>0</v>
      </c>
      <c r="F19" s="662">
        <f ca="1">SUMIF('1.3-Basis ruimtestaat'!E:L,'1.1a-Jaarprijzen'!B19,'1.3-Basis ruimtestaat'!L:L)</f>
        <v>0</v>
      </c>
      <c r="G19" s="478">
        <v>2</v>
      </c>
      <c r="H19" s="660">
        <f t="shared" ca="1" si="0"/>
        <v>0</v>
      </c>
      <c r="I19" s="660">
        <f t="shared" ca="1" si="1"/>
        <v>0</v>
      </c>
      <c r="J19" s="660">
        <f t="shared" ca="1" si="2"/>
        <v>0</v>
      </c>
      <c r="K19" s="661">
        <f ca="1">(H19+I19)*'1.0-Contractblad'!$E$39</f>
        <v>0</v>
      </c>
      <c r="L19" s="659">
        <f>SUMIF('1.9-Glasbewassing'!B:B,'1.1a-Jaarprijzen'!B19,'1.9-Glasbewassing'!F:F)+SUMIF('1.9-Glasbewassing'!B:B,'1.1a-Jaarprijzen'!B19,'1.9-Glasbewassing'!H:H)+SUMIF('1.9-Glasbewassing'!B:B,'1.1a-Jaarprijzen'!B19,'1.9-Glasbewassing'!J:J)</f>
        <v>9852.8239999999987</v>
      </c>
      <c r="M19" s="303" t="s">
        <v>608</v>
      </c>
      <c r="N19" s="276"/>
      <c r="O19" s="201"/>
      <c r="P19" s="201">
        <f t="shared" ca="1" si="4"/>
        <v>0</v>
      </c>
      <c r="Q19" s="201">
        <f ca="1">O19-P19</f>
        <v>0</v>
      </c>
      <c r="R19" s="558"/>
    </row>
    <row r="20" spans="1:20" hidden="1">
      <c r="A20" s="543">
        <f t="shared" si="3"/>
        <v>3</v>
      </c>
      <c r="B20" s="476"/>
      <c r="C20" s="300"/>
      <c r="D20" s="303"/>
      <c r="E20" s="662">
        <f ca="1">SUMIF('1.3-Basis ruimtestaat'!$E$10:$K$266,'1.1a-Jaarprijzen'!B20,'1.3-Basis ruimtestaat'!$K$10:$K$266)</f>
        <v>0</v>
      </c>
      <c r="F20" s="662">
        <f ca="1">SUMIF('1.3-Basis ruimtestaat'!E:L,'1.1a-Jaarprijzen'!B20,'1.3-Basis ruimtestaat'!L:L)</f>
        <v>0</v>
      </c>
      <c r="G20" s="478">
        <v>3</v>
      </c>
      <c r="H20" s="660">
        <f t="shared" ca="1" si="0"/>
        <v>0</v>
      </c>
      <c r="I20" s="660">
        <f t="shared" ca="1" si="1"/>
        <v>0</v>
      </c>
      <c r="J20" s="660">
        <f t="shared" ca="1" si="2"/>
        <v>0</v>
      </c>
      <c r="K20" s="661">
        <f ca="1">(H20+I20)*'1.0-Contractblad'!$E$39</f>
        <v>0</v>
      </c>
      <c r="L20" s="659">
        <f>SUMIF('1.9-Glasbewassing'!B:B,'1.1a-Jaarprijzen'!B20,'1.9-Glasbewassing'!F:F)+SUMIF('1.9-Glasbewassing'!B:B,'1.1a-Jaarprijzen'!B20,'1.9-Glasbewassing'!H:H)+SUMIF('1.9-Glasbewassing'!B:B,'1.1a-Jaarprijzen'!B20,'1.9-Glasbewassing'!J:J)</f>
        <v>9852.8239999999987</v>
      </c>
      <c r="M20" s="303" t="s">
        <v>611</v>
      </c>
      <c r="N20" s="276"/>
      <c r="O20" s="201"/>
      <c r="P20" s="201">
        <f t="shared" ca="1" si="4"/>
        <v>0</v>
      </c>
      <c r="Q20" s="201"/>
      <c r="R20" s="558"/>
    </row>
    <row r="21" spans="1:20" hidden="1">
      <c r="A21" s="543">
        <f t="shared" si="3"/>
        <v>3</v>
      </c>
      <c r="B21" s="476"/>
      <c r="C21" s="300"/>
      <c r="D21" s="303"/>
      <c r="E21" s="662">
        <f ca="1">SUMIF('1.3-Basis ruimtestaat'!$E$10:$K$266,'1.1a-Jaarprijzen'!B21,'1.3-Basis ruimtestaat'!$K$10:$K$266)</f>
        <v>0</v>
      </c>
      <c r="F21" s="662">
        <f ca="1">SUMIF('1.3-Basis ruimtestaat'!E:L,'1.1a-Jaarprijzen'!B21,'1.3-Basis ruimtestaat'!L:L)</f>
        <v>0</v>
      </c>
      <c r="G21" s="478">
        <v>3</v>
      </c>
      <c r="H21" s="660">
        <f t="shared" ca="1" si="0"/>
        <v>0</v>
      </c>
      <c r="I21" s="660">
        <f t="shared" ca="1" si="1"/>
        <v>0</v>
      </c>
      <c r="J21" s="660">
        <f t="shared" ca="1" si="2"/>
        <v>0</v>
      </c>
      <c r="K21" s="661">
        <f ca="1">(H21+I21)*'1.0-Contractblad'!$E$39</f>
        <v>0</v>
      </c>
      <c r="L21" s="659">
        <f>SUMIF('1.9-Glasbewassing'!B:B,'1.1a-Jaarprijzen'!B21,'1.9-Glasbewassing'!F:F)+SUMIF('1.9-Glasbewassing'!B:B,'1.1a-Jaarprijzen'!B21,'1.9-Glasbewassing'!H:H)+SUMIF('1.9-Glasbewassing'!B:B,'1.1a-Jaarprijzen'!B21,'1.9-Glasbewassing'!J:J)</f>
        <v>9852.8239999999987</v>
      </c>
      <c r="M21" s="303" t="s">
        <v>611</v>
      </c>
      <c r="N21" s="276"/>
      <c r="O21" s="201"/>
      <c r="P21" s="201">
        <f t="shared" ca="1" si="4"/>
        <v>0</v>
      </c>
      <c r="Q21" s="201"/>
      <c r="R21" s="558"/>
    </row>
    <row r="22" spans="1:20" hidden="1">
      <c r="A22" s="543">
        <f t="shared" si="3"/>
        <v>3</v>
      </c>
      <c r="B22" s="673"/>
      <c r="C22" s="300"/>
      <c r="D22" s="303"/>
      <c r="E22" s="662">
        <f ca="1">SUMIF('1.3-Basis ruimtestaat'!$E$10:$K$266,'1.1a-Jaarprijzen'!B22,'1.3-Basis ruimtestaat'!$K$10:$K$266)</f>
        <v>0</v>
      </c>
      <c r="F22" s="662">
        <f ca="1">SUMIF('1.3-Basis ruimtestaat'!E:L,'1.1a-Jaarprijzen'!B22,'1.3-Basis ruimtestaat'!L:L)</f>
        <v>0</v>
      </c>
      <c r="G22" s="478">
        <v>3</v>
      </c>
      <c r="H22" s="660">
        <f t="shared" ca="1" si="0"/>
        <v>0</v>
      </c>
      <c r="I22" s="660">
        <f t="shared" ca="1" si="1"/>
        <v>0</v>
      </c>
      <c r="J22" s="660">
        <f t="shared" ca="1" si="2"/>
        <v>0</v>
      </c>
      <c r="K22" s="661">
        <f ca="1">(H22+I22)*'1.0-Contractblad'!$E$39</f>
        <v>0</v>
      </c>
      <c r="L22" s="659">
        <f>SUMIF('1.9-Glasbewassing'!B:B,'1.1a-Jaarprijzen'!B22,'1.9-Glasbewassing'!F:F)+SUMIF('1.9-Glasbewassing'!B:B,'1.1a-Jaarprijzen'!B22,'1.9-Glasbewassing'!H:H)+SUMIF('1.9-Glasbewassing'!B:B,'1.1a-Jaarprijzen'!B22,'1.9-Glasbewassing'!J:J)</f>
        <v>9852.8239999999987</v>
      </c>
      <c r="M22" s="303" t="s">
        <v>616</v>
      </c>
      <c r="N22" s="276"/>
      <c r="O22" s="201"/>
      <c r="P22" s="201">
        <f t="shared" ca="1" si="4"/>
        <v>0</v>
      </c>
      <c r="Q22" s="201"/>
      <c r="R22" s="558"/>
    </row>
    <row r="23" spans="1:20" hidden="1">
      <c r="A23" s="543">
        <f t="shared" si="3"/>
        <v>3</v>
      </c>
      <c r="B23" s="476"/>
      <c r="C23" s="300"/>
      <c r="D23" s="303"/>
      <c r="E23" s="662">
        <f ca="1">SUMIF('1.3-Basis ruimtestaat'!$E$10:$K$266,'1.1a-Jaarprijzen'!B23,'1.3-Basis ruimtestaat'!$K$10:$K$266)</f>
        <v>0</v>
      </c>
      <c r="F23" s="662">
        <f ca="1">SUMIF('1.3-Basis ruimtestaat'!E:L,'1.1a-Jaarprijzen'!B23,'1.3-Basis ruimtestaat'!L:L)</f>
        <v>0</v>
      </c>
      <c r="G23" s="478">
        <v>3</v>
      </c>
      <c r="H23" s="660">
        <f t="shared" ca="1" si="0"/>
        <v>0</v>
      </c>
      <c r="I23" s="660">
        <f t="shared" ca="1" si="1"/>
        <v>0</v>
      </c>
      <c r="J23" s="660">
        <f t="shared" ca="1" si="2"/>
        <v>0</v>
      </c>
      <c r="K23" s="661">
        <f ca="1">(H23+I23)*'1.0-Contractblad'!$E$39</f>
        <v>0</v>
      </c>
      <c r="L23" s="659">
        <f>SUMIF('1.9-Glasbewassing'!B:B,'1.1a-Jaarprijzen'!B23,'1.9-Glasbewassing'!F:F)+SUMIF('1.9-Glasbewassing'!B:B,'1.1a-Jaarprijzen'!B23,'1.9-Glasbewassing'!H:H)+SUMIF('1.9-Glasbewassing'!B:B,'1.1a-Jaarprijzen'!B23,'1.9-Glasbewassing'!J:J)</f>
        <v>9852.8239999999987</v>
      </c>
      <c r="M23" s="303" t="s">
        <v>612</v>
      </c>
      <c r="N23" s="276"/>
      <c r="O23" s="201"/>
      <c r="P23" s="201">
        <f t="shared" ca="1" si="4"/>
        <v>0</v>
      </c>
      <c r="Q23" s="201"/>
      <c r="R23" s="558"/>
    </row>
    <row r="24" spans="1:20" hidden="1">
      <c r="A24" s="543">
        <f t="shared" si="3"/>
        <v>3</v>
      </c>
      <c r="B24" s="476"/>
      <c r="C24" s="300"/>
      <c r="D24" s="303"/>
      <c r="E24" s="662">
        <f ca="1">SUMIF('1.3-Basis ruimtestaat'!$E$10:$K$266,'1.1a-Jaarprijzen'!B24,'1.3-Basis ruimtestaat'!$K$10:$K$266)</f>
        <v>0</v>
      </c>
      <c r="F24" s="662">
        <f ca="1">SUMIF('1.3-Basis ruimtestaat'!E:L,'1.1a-Jaarprijzen'!B24,'1.3-Basis ruimtestaat'!L:L)</f>
        <v>0</v>
      </c>
      <c r="G24" s="478">
        <v>3</v>
      </c>
      <c r="H24" s="660">
        <f t="shared" ca="1" si="0"/>
        <v>0</v>
      </c>
      <c r="I24" s="660">
        <f t="shared" ca="1" si="1"/>
        <v>0</v>
      </c>
      <c r="J24" s="660">
        <f t="shared" ca="1" si="2"/>
        <v>0</v>
      </c>
      <c r="K24" s="661">
        <f ca="1">(H24+I24)*'1.0-Contractblad'!$E$39</f>
        <v>0</v>
      </c>
      <c r="L24" s="659">
        <f>SUMIF('1.9-Glasbewassing'!B:B,'1.1a-Jaarprijzen'!B24,'1.9-Glasbewassing'!F:F)+SUMIF('1.9-Glasbewassing'!B:B,'1.1a-Jaarprijzen'!B24,'1.9-Glasbewassing'!H:H)+SUMIF('1.9-Glasbewassing'!B:B,'1.1a-Jaarprijzen'!B24,'1.9-Glasbewassing'!J:J)</f>
        <v>9852.8239999999987</v>
      </c>
      <c r="M24" s="303" t="s">
        <v>611</v>
      </c>
      <c r="N24" s="276"/>
      <c r="O24" s="201"/>
      <c r="P24" s="201">
        <f t="shared" ca="1" si="4"/>
        <v>0</v>
      </c>
      <c r="Q24" s="201"/>
      <c r="R24" s="558"/>
    </row>
    <row r="25" spans="1:20" hidden="1">
      <c r="A25" s="543">
        <f t="shared" si="3"/>
        <v>3</v>
      </c>
      <c r="B25" s="476"/>
      <c r="C25" s="300"/>
      <c r="D25" s="303"/>
      <c r="E25" s="662">
        <f ca="1">SUMIF('1.3-Basis ruimtestaat'!$E$10:$K$266,'1.1a-Jaarprijzen'!B25,'1.3-Basis ruimtestaat'!$K$10:$K$266)</f>
        <v>0</v>
      </c>
      <c r="F25" s="662">
        <f ca="1">SUMIF('1.3-Basis ruimtestaat'!E:L,'1.1a-Jaarprijzen'!B25,'1.3-Basis ruimtestaat'!L:L)</f>
        <v>0</v>
      </c>
      <c r="G25" s="478">
        <v>3</v>
      </c>
      <c r="H25" s="660">
        <f t="shared" ca="1" si="0"/>
        <v>0</v>
      </c>
      <c r="I25" s="660">
        <f t="shared" ca="1" si="1"/>
        <v>0</v>
      </c>
      <c r="J25" s="660">
        <f t="shared" ca="1" si="2"/>
        <v>0</v>
      </c>
      <c r="K25" s="661">
        <f ca="1">(H25+I25)*'1.0-Contractblad'!$E$39</f>
        <v>0</v>
      </c>
      <c r="L25" s="659">
        <f>SUMIF('1.9-Glasbewassing'!B:B,'1.1a-Jaarprijzen'!B25,'1.9-Glasbewassing'!F:F)+SUMIF('1.9-Glasbewassing'!B:B,'1.1a-Jaarprijzen'!B25,'1.9-Glasbewassing'!H:H)+SUMIF('1.9-Glasbewassing'!B:B,'1.1a-Jaarprijzen'!B25,'1.9-Glasbewassing'!J:J)</f>
        <v>9852.8239999999987</v>
      </c>
      <c r="M25" s="303" t="s">
        <v>612</v>
      </c>
      <c r="N25" s="276"/>
      <c r="O25" s="201"/>
      <c r="P25" s="201">
        <f t="shared" ca="1" si="4"/>
        <v>0</v>
      </c>
      <c r="Q25" s="201"/>
      <c r="R25" s="558"/>
    </row>
    <row r="26" spans="1:20" hidden="1">
      <c r="A26" s="543">
        <f t="shared" si="3"/>
        <v>3</v>
      </c>
      <c r="B26" s="476"/>
      <c r="C26" s="300"/>
      <c r="D26" s="303"/>
      <c r="E26" s="662">
        <f ca="1">SUMIF('1.3-Basis ruimtestaat'!$E$10:$K$266,'1.1a-Jaarprijzen'!B26,'1.3-Basis ruimtestaat'!$K$10:$K$266)</f>
        <v>0</v>
      </c>
      <c r="F26" s="662">
        <f ca="1">SUMIF('1.3-Basis ruimtestaat'!E:L,'1.1a-Jaarprijzen'!B26,'1.3-Basis ruimtestaat'!L:L)</f>
        <v>0</v>
      </c>
      <c r="G26" s="478">
        <v>3</v>
      </c>
      <c r="H26" s="660">
        <f t="shared" ca="1" si="0"/>
        <v>0</v>
      </c>
      <c r="I26" s="660">
        <f t="shared" ca="1" si="1"/>
        <v>0</v>
      </c>
      <c r="J26" s="660">
        <f t="shared" ca="1" si="2"/>
        <v>0</v>
      </c>
      <c r="K26" s="661">
        <f ca="1">(H26+I26)*'1.0-Contractblad'!$E$39</f>
        <v>0</v>
      </c>
      <c r="L26" s="659">
        <f>SUMIF('1.9-Glasbewassing'!B:B,'1.1a-Jaarprijzen'!B26,'1.9-Glasbewassing'!F:F)+SUMIF('1.9-Glasbewassing'!B:B,'1.1a-Jaarprijzen'!B26,'1.9-Glasbewassing'!H:H)+SUMIF('1.9-Glasbewassing'!B:B,'1.1a-Jaarprijzen'!B26,'1.9-Glasbewassing'!J:J)</f>
        <v>9852.8239999999987</v>
      </c>
      <c r="M26" s="303" t="s">
        <v>612</v>
      </c>
      <c r="N26" s="276"/>
      <c r="O26" s="201"/>
      <c r="P26" s="201">
        <f t="shared" ca="1" si="4"/>
        <v>0</v>
      </c>
      <c r="Q26" s="201"/>
      <c r="R26" s="558"/>
    </row>
    <row r="27" spans="1:20" ht="6" customHeight="1">
      <c r="A27" s="544"/>
      <c r="B27" s="215"/>
      <c r="C27" s="216"/>
      <c r="D27" s="216"/>
      <c r="E27" s="217"/>
      <c r="F27" s="217"/>
      <c r="G27" s="218"/>
      <c r="H27" s="465"/>
      <c r="I27" s="465"/>
      <c r="J27" s="199"/>
      <c r="K27" s="219"/>
      <c r="L27" s="219"/>
      <c r="M27" s="219"/>
      <c r="N27" s="274"/>
    </row>
    <row r="28" spans="1:20">
      <c r="A28" s="544"/>
      <c r="B28" s="215"/>
      <c r="C28" s="216"/>
      <c r="D28" s="216" t="s">
        <v>628</v>
      </c>
      <c r="E28" s="217"/>
      <c r="F28" s="217"/>
      <c r="G28" s="218"/>
      <c r="H28" s="465"/>
      <c r="I28" s="465"/>
      <c r="J28" s="199"/>
      <c r="K28" s="219"/>
      <c r="L28" s="219"/>
      <c r="M28" s="219"/>
      <c r="N28" s="274"/>
    </row>
    <row r="29" spans="1:20">
      <c r="A29" s="544"/>
      <c r="B29" s="215"/>
      <c r="C29" s="216"/>
      <c r="D29" s="216" t="s">
        <v>633</v>
      </c>
      <c r="E29" s="217"/>
      <c r="F29" s="217"/>
      <c r="G29" s="218"/>
      <c r="H29" s="199"/>
      <c r="I29" s="199"/>
      <c r="J29" s="219"/>
      <c r="K29" s="219"/>
      <c r="N29" s="274"/>
    </row>
    <row r="30" spans="1:20" hidden="1">
      <c r="A30" s="544"/>
      <c r="E30" s="201"/>
      <c r="F30" s="201"/>
      <c r="H30" s="573">
        <f>'1.0-Contractblad'!$L$29</f>
        <v>0</v>
      </c>
      <c r="I30" s="573">
        <f>H30</f>
        <v>0</v>
      </c>
      <c r="J30" s="573">
        <f>'1.0-Contractblad'!$L$75</f>
        <v>0</v>
      </c>
      <c r="K30" s="573">
        <f>'1.0-Contractblad'!$L$39</f>
        <v>0</v>
      </c>
      <c r="L30" s="200">
        <f>'1.0-Contractblad'!$L$59</f>
        <v>0</v>
      </c>
      <c r="M30" s="200">
        <f>'1.0-Contractblad'!$L$85</f>
        <v>0</v>
      </c>
      <c r="N30" s="274"/>
      <c r="O30" s="200"/>
      <c r="P30" s="200"/>
      <c r="R30" s="1"/>
      <c r="S30" s="1"/>
      <c r="T30" s="203"/>
    </row>
    <row r="31" spans="1:20">
      <c r="A31" s="544"/>
      <c r="D31" s="205"/>
      <c r="E31" s="206"/>
      <c r="F31" s="206"/>
      <c r="G31" s="205"/>
      <c r="H31" s="205"/>
      <c r="N31" s="274"/>
      <c r="R31" s="1"/>
      <c r="S31" s="1"/>
      <c r="T31" s="1"/>
    </row>
    <row r="32" spans="1:20" s="272" customFormat="1" ht="39">
      <c r="A32" s="545">
        <f>A10</f>
        <v>0</v>
      </c>
      <c r="B32" s="269" t="s">
        <v>206</v>
      </c>
      <c r="C32" s="269" t="s">
        <v>171</v>
      </c>
      <c r="D32" s="269" t="s">
        <v>273</v>
      </c>
      <c r="E32" s="270" t="s">
        <v>143</v>
      </c>
      <c r="F32" s="270" t="s">
        <v>64</v>
      </c>
      <c r="G32" s="270" t="s">
        <v>65</v>
      </c>
      <c r="H32" s="270" t="s">
        <v>229</v>
      </c>
      <c r="I32" s="270" t="s">
        <v>40</v>
      </c>
      <c r="J32" s="270" t="s">
        <v>157</v>
      </c>
      <c r="K32" s="270" t="s">
        <v>156</v>
      </c>
      <c r="L32" s="270" t="s">
        <v>66</v>
      </c>
      <c r="M32" s="270" t="s">
        <v>198</v>
      </c>
      <c r="N32" s="271"/>
      <c r="O32" s="271"/>
      <c r="P32" s="271"/>
      <c r="Q32" s="271"/>
      <c r="R32" s="271"/>
      <c r="S32" s="271"/>
      <c r="T32" s="271"/>
    </row>
    <row r="33" spans="1:20">
      <c r="A33" s="545">
        <f>A11</f>
        <v>1</v>
      </c>
      <c r="B33" s="301" t="str">
        <f>B11</f>
        <v>Stellingmolen 19-21</v>
      </c>
      <c r="C33" s="301" t="str">
        <f>C11</f>
        <v>CPOW</v>
      </c>
      <c r="D33" s="423"/>
      <c r="E33" s="304">
        <f>VLOOKUP($B11,'1.6-Machine-investeringskosten'!$B$97:$E$113,4,FALSE)</f>
        <v>0</v>
      </c>
      <c r="F33" s="304">
        <f t="shared" ref="F33:F48" ca="1" si="5">$H$30*H11+$I$30*I11</f>
        <v>0</v>
      </c>
      <c r="G33" s="304">
        <f t="shared" ref="G33:G48" ca="1" si="6">$K$30*K11</f>
        <v>0</v>
      </c>
      <c r="H33" s="304"/>
      <c r="I33" s="304">
        <f t="shared" ref="I33:I48" ca="1" si="7">E33+F33+G33+D33+H33</f>
        <v>0</v>
      </c>
      <c r="J33" s="485">
        <f>SUMIF('1.3a-Mutaties'!E:E,'1.1a-Jaarprijzen'!B33,'1.3a-Mutaties'!Z:Z)</f>
        <v>0</v>
      </c>
      <c r="K33" s="486"/>
      <c r="L33" s="304">
        <f>VLOOKUP(B33,'1.9-Glasbewassing'!B:Z,25,FALSE)</f>
        <v>0</v>
      </c>
      <c r="M33" s="305">
        <f t="shared" ref="M33:M48" ca="1" si="8">IF(K33="Ja",L33+I33,I33+J33+L33)</f>
        <v>0</v>
      </c>
      <c r="O33" s="204">
        <f ca="1">L33/(E11+F11)</f>
        <v>0</v>
      </c>
      <c r="Q33" s="443"/>
      <c r="R33" s="1"/>
      <c r="S33" s="1"/>
      <c r="T33" s="1"/>
    </row>
    <row r="34" spans="1:20">
      <c r="A34" s="545">
        <f t="shared" ref="A34:A48" si="9">A12</f>
        <v>1</v>
      </c>
      <c r="B34" s="301" t="str">
        <f t="shared" ref="B34:C48" si="10">B12</f>
        <v>Gasinjetstraat 1-3</v>
      </c>
      <c r="C34" s="301" t="str">
        <f t="shared" si="10"/>
        <v>CPOW</v>
      </c>
      <c r="D34" s="423"/>
      <c r="E34" s="304">
        <f>VLOOKUP($B12,'1.6-Machine-investeringskosten'!$B$97:$E$113,4,FALSE)</f>
        <v>0</v>
      </c>
      <c r="F34" s="304">
        <f t="shared" ca="1" si="5"/>
        <v>0</v>
      </c>
      <c r="G34" s="304">
        <f t="shared" ca="1" si="6"/>
        <v>0</v>
      </c>
      <c r="H34" s="304"/>
      <c r="I34" s="304">
        <f t="shared" ca="1" si="7"/>
        <v>0</v>
      </c>
      <c r="J34" s="485">
        <f>SUMIF('1.3a-Mutaties'!E:E,'1.1a-Jaarprijzen'!B34,'1.3a-Mutaties'!Z:Z)</f>
        <v>0</v>
      </c>
      <c r="K34" s="486"/>
      <c r="L34" s="304">
        <f>VLOOKUP(B34,'1.9-Glasbewassing'!B:Z,25,FALSE)</f>
        <v>0</v>
      </c>
      <c r="M34" s="305">
        <f t="shared" ca="1" si="8"/>
        <v>0</v>
      </c>
      <c r="O34" s="204">
        <f t="shared" ref="O34:O48" ca="1" si="11">L34/(E12+F12)</f>
        <v>0</v>
      </c>
      <c r="Q34" s="443"/>
      <c r="R34" s="1"/>
      <c r="S34" s="1"/>
      <c r="T34" s="1"/>
    </row>
    <row r="35" spans="1:20">
      <c r="A35" s="545">
        <f t="shared" si="9"/>
        <v>1</v>
      </c>
      <c r="B35" s="301" t="str">
        <f t="shared" si="10"/>
        <v>Hoefsmidhof 1-4</v>
      </c>
      <c r="C35" s="301" t="str">
        <f t="shared" si="10"/>
        <v>CPOW</v>
      </c>
      <c r="D35" s="423"/>
      <c r="E35" s="304">
        <f>VLOOKUP($B13,'1.6-Machine-investeringskosten'!$B$97:$E$113,4,FALSE)</f>
        <v>0</v>
      </c>
      <c r="F35" s="304">
        <f t="shared" ca="1" si="5"/>
        <v>0</v>
      </c>
      <c r="G35" s="304">
        <f t="shared" ca="1" si="6"/>
        <v>0</v>
      </c>
      <c r="H35" s="304"/>
      <c r="I35" s="304">
        <f t="shared" ca="1" si="7"/>
        <v>0</v>
      </c>
      <c r="J35" s="485">
        <f>SUMIF('1.3a-Mutaties'!E:E,'1.1a-Jaarprijzen'!B35,'1.3a-Mutaties'!Z:Z)</f>
        <v>0</v>
      </c>
      <c r="K35" s="486"/>
      <c r="L35" s="304">
        <f>VLOOKUP(B35,'1.9-Glasbewassing'!B:Z,25,FALSE)</f>
        <v>0</v>
      </c>
      <c r="M35" s="305">
        <f t="shared" ca="1" si="8"/>
        <v>0</v>
      </c>
      <c r="O35" s="204">
        <f t="shared" ca="1" si="11"/>
        <v>0</v>
      </c>
      <c r="Q35" s="443"/>
      <c r="R35" s="1"/>
      <c r="S35" s="1"/>
      <c r="T35" s="1"/>
    </row>
    <row r="36" spans="1:20">
      <c r="A36" s="545">
        <f t="shared" si="9"/>
        <v>1</v>
      </c>
      <c r="B36" s="301" t="str">
        <f t="shared" si="10"/>
        <v>Karekietpark 28</v>
      </c>
      <c r="C36" s="301" t="str">
        <f t="shared" si="10"/>
        <v>CPOW</v>
      </c>
      <c r="D36" s="423"/>
      <c r="E36" s="304">
        <f>VLOOKUP($B14,'1.6-Machine-investeringskosten'!$B$97:$E$113,4,FALSE)</f>
        <v>0</v>
      </c>
      <c r="F36" s="304">
        <f t="shared" ca="1" si="5"/>
        <v>0</v>
      </c>
      <c r="G36" s="304">
        <f t="shared" ca="1" si="6"/>
        <v>0</v>
      </c>
      <c r="H36" s="304"/>
      <c r="I36" s="304">
        <f t="shared" ca="1" si="7"/>
        <v>0</v>
      </c>
      <c r="J36" s="485">
        <f>SUMIF('1.3a-Mutaties'!E:E,'1.1a-Jaarprijzen'!B36,'1.3a-Mutaties'!Z:Z)</f>
        <v>0</v>
      </c>
      <c r="K36" s="486"/>
      <c r="L36" s="304">
        <f>VLOOKUP(B36,'1.9-Glasbewassing'!B:Z,25,FALSE)</f>
        <v>0</v>
      </c>
      <c r="M36" s="305">
        <f t="shared" ca="1" si="8"/>
        <v>0</v>
      </c>
      <c r="O36" s="204">
        <f t="shared" ca="1" si="11"/>
        <v>0</v>
      </c>
      <c r="Q36" s="443"/>
      <c r="R36" s="1"/>
      <c r="S36" s="1"/>
      <c r="T36" s="1"/>
    </row>
    <row r="37" spans="1:20" hidden="1">
      <c r="A37" s="545">
        <f t="shared" si="9"/>
        <v>2</v>
      </c>
      <c r="B37" s="301">
        <f t="shared" si="10"/>
        <v>0</v>
      </c>
      <c r="C37" s="301">
        <f t="shared" si="10"/>
        <v>0</v>
      </c>
      <c r="D37" s="423"/>
      <c r="E37" s="304">
        <f>VLOOKUP($B15,'1.6-Machine-investeringskosten'!$B$97:$E$113,4,FALSE)</f>
        <v>0</v>
      </c>
      <c r="F37" s="304">
        <f t="shared" ca="1" si="5"/>
        <v>0</v>
      </c>
      <c r="G37" s="304">
        <f t="shared" ca="1" si="6"/>
        <v>0</v>
      </c>
      <c r="H37" s="304"/>
      <c r="I37" s="304">
        <f t="shared" ca="1" si="7"/>
        <v>0</v>
      </c>
      <c r="J37" s="485">
        <f>SUMIF('1.3a-Mutaties'!E:E,'1.1a-Jaarprijzen'!B37,'1.3a-Mutaties'!Z:Z)</f>
        <v>0</v>
      </c>
      <c r="K37" s="486"/>
      <c r="L37" s="304">
        <f>VLOOKUP(B37,'1.9-Glasbewassing'!B:Z,25,FALSE)</f>
        <v>0</v>
      </c>
      <c r="M37" s="305">
        <f t="shared" ca="1" si="8"/>
        <v>0</v>
      </c>
      <c r="O37" s="204" t="e">
        <f t="shared" ca="1" si="11"/>
        <v>#DIV/0!</v>
      </c>
      <c r="Q37" s="443"/>
      <c r="R37" s="1"/>
      <c r="S37" s="1"/>
      <c r="T37" s="1"/>
    </row>
    <row r="38" spans="1:20" hidden="1">
      <c r="A38" s="545">
        <f t="shared" si="9"/>
        <v>2</v>
      </c>
      <c r="B38" s="301">
        <f t="shared" si="10"/>
        <v>0</v>
      </c>
      <c r="C38" s="301">
        <f t="shared" si="10"/>
        <v>0</v>
      </c>
      <c r="D38" s="423"/>
      <c r="E38" s="304">
        <f>VLOOKUP($B16,'1.6-Machine-investeringskosten'!$B$97:$E$113,4,FALSE)</f>
        <v>0</v>
      </c>
      <c r="F38" s="304">
        <f t="shared" ca="1" si="5"/>
        <v>0</v>
      </c>
      <c r="G38" s="304">
        <f t="shared" ca="1" si="6"/>
        <v>0</v>
      </c>
      <c r="H38" s="304"/>
      <c r="I38" s="304">
        <f t="shared" ca="1" si="7"/>
        <v>0</v>
      </c>
      <c r="J38" s="485">
        <f>SUMIF('1.3a-Mutaties'!E:E,'1.1a-Jaarprijzen'!B38,'1.3a-Mutaties'!Z:Z)</f>
        <v>0</v>
      </c>
      <c r="K38" s="486"/>
      <c r="L38" s="304">
        <f>VLOOKUP(B38,'1.9-Glasbewassing'!B:Z,25,FALSE)</f>
        <v>0</v>
      </c>
      <c r="M38" s="305">
        <f t="shared" ca="1" si="8"/>
        <v>0</v>
      </c>
      <c r="O38" s="204" t="e">
        <f t="shared" ca="1" si="11"/>
        <v>#DIV/0!</v>
      </c>
      <c r="Q38" s="443"/>
      <c r="R38" s="1"/>
      <c r="S38" s="1"/>
      <c r="T38" s="1"/>
    </row>
    <row r="39" spans="1:20" hidden="1">
      <c r="A39" s="545">
        <f t="shared" si="9"/>
        <v>2</v>
      </c>
      <c r="B39" s="301">
        <f t="shared" si="10"/>
        <v>0</v>
      </c>
      <c r="C39" s="301">
        <f t="shared" si="10"/>
        <v>0</v>
      </c>
      <c r="D39" s="423"/>
      <c r="E39" s="304">
        <f>VLOOKUP($B17,'1.6-Machine-investeringskosten'!$B$97:$E$113,4,FALSE)</f>
        <v>0</v>
      </c>
      <c r="F39" s="304">
        <f t="shared" ca="1" si="5"/>
        <v>0</v>
      </c>
      <c r="G39" s="304">
        <f t="shared" ca="1" si="6"/>
        <v>0</v>
      </c>
      <c r="H39" s="304"/>
      <c r="I39" s="304">
        <f t="shared" ca="1" si="7"/>
        <v>0</v>
      </c>
      <c r="J39" s="485">
        <f>SUMIF('1.3a-Mutaties'!E:E,'1.1a-Jaarprijzen'!B39,'1.3a-Mutaties'!Z:Z)</f>
        <v>0</v>
      </c>
      <c r="K39" s="486"/>
      <c r="L39" s="304">
        <f>VLOOKUP(B39,'1.9-Glasbewassing'!B:Z,25,FALSE)</f>
        <v>0</v>
      </c>
      <c r="M39" s="305">
        <f t="shared" ca="1" si="8"/>
        <v>0</v>
      </c>
      <c r="O39" s="204" t="e">
        <f t="shared" ca="1" si="11"/>
        <v>#DIV/0!</v>
      </c>
      <c r="Q39" s="443"/>
      <c r="R39" s="1"/>
      <c r="S39" s="1"/>
      <c r="T39" s="1"/>
    </row>
    <row r="40" spans="1:20" hidden="1">
      <c r="A40" s="545">
        <f t="shared" si="9"/>
        <v>2</v>
      </c>
      <c r="B40" s="301">
        <f t="shared" si="10"/>
        <v>0</v>
      </c>
      <c r="C40" s="301">
        <f t="shared" si="10"/>
        <v>0</v>
      </c>
      <c r="D40" s="423"/>
      <c r="E40" s="304">
        <f>VLOOKUP($B18,'1.6-Machine-investeringskosten'!$B$97:$E$113,4,FALSE)</f>
        <v>0</v>
      </c>
      <c r="F40" s="304">
        <f t="shared" ca="1" si="5"/>
        <v>0</v>
      </c>
      <c r="G40" s="304">
        <f t="shared" ca="1" si="6"/>
        <v>0</v>
      </c>
      <c r="H40" s="304"/>
      <c r="I40" s="304">
        <f t="shared" ca="1" si="7"/>
        <v>0</v>
      </c>
      <c r="J40" s="485">
        <f>SUMIF('1.3a-Mutaties'!E:E,'1.1a-Jaarprijzen'!B40,'1.3a-Mutaties'!Z:Z)</f>
        <v>0</v>
      </c>
      <c r="K40" s="486"/>
      <c r="L40" s="304">
        <f>VLOOKUP(B40,'1.9-Glasbewassing'!B:Z,25,FALSE)</f>
        <v>0</v>
      </c>
      <c r="M40" s="305">
        <f t="shared" ca="1" si="8"/>
        <v>0</v>
      </c>
      <c r="O40" s="204" t="e">
        <f t="shared" ca="1" si="11"/>
        <v>#DIV/0!</v>
      </c>
      <c r="Q40" s="443"/>
      <c r="R40" s="1"/>
      <c r="S40" s="1"/>
      <c r="T40" s="1"/>
    </row>
    <row r="41" spans="1:20" hidden="1">
      <c r="A41" s="545">
        <f t="shared" si="9"/>
        <v>2</v>
      </c>
      <c r="B41" s="301">
        <f t="shared" si="10"/>
        <v>0</v>
      </c>
      <c r="C41" s="301">
        <f t="shared" si="10"/>
        <v>0</v>
      </c>
      <c r="D41" s="423"/>
      <c r="E41" s="304">
        <f>VLOOKUP($B19,'1.6-Machine-investeringskosten'!$B$97:$E$113,4,FALSE)</f>
        <v>0</v>
      </c>
      <c r="F41" s="304">
        <f t="shared" ca="1" si="5"/>
        <v>0</v>
      </c>
      <c r="G41" s="304">
        <f t="shared" ca="1" si="6"/>
        <v>0</v>
      </c>
      <c r="H41" s="304"/>
      <c r="I41" s="304">
        <f t="shared" ca="1" si="7"/>
        <v>0</v>
      </c>
      <c r="J41" s="485">
        <f>SUMIF('1.3a-Mutaties'!E:E,'1.1a-Jaarprijzen'!B41,'1.3a-Mutaties'!Z:Z)</f>
        <v>0</v>
      </c>
      <c r="K41" s="486"/>
      <c r="L41" s="304">
        <f>VLOOKUP(B41,'1.9-Glasbewassing'!B:Z,25,FALSE)</f>
        <v>0</v>
      </c>
      <c r="M41" s="305">
        <f t="shared" ca="1" si="8"/>
        <v>0</v>
      </c>
      <c r="O41" s="204" t="e">
        <f t="shared" ca="1" si="11"/>
        <v>#DIV/0!</v>
      </c>
      <c r="Q41" s="443"/>
      <c r="R41" s="1"/>
      <c r="S41" s="1"/>
      <c r="T41" s="1"/>
    </row>
    <row r="42" spans="1:20" hidden="1">
      <c r="A42" s="545">
        <f t="shared" si="9"/>
        <v>3</v>
      </c>
      <c r="B42" s="301">
        <f t="shared" si="10"/>
        <v>0</v>
      </c>
      <c r="C42" s="301">
        <f t="shared" si="10"/>
        <v>0</v>
      </c>
      <c r="D42" s="423"/>
      <c r="E42" s="304">
        <f>VLOOKUP($B20,'1.6-Machine-investeringskosten'!$B$97:$E$113,4,FALSE)</f>
        <v>0</v>
      </c>
      <c r="F42" s="304">
        <f t="shared" ca="1" si="5"/>
        <v>0</v>
      </c>
      <c r="G42" s="304">
        <f t="shared" ca="1" si="6"/>
        <v>0</v>
      </c>
      <c r="H42" s="304"/>
      <c r="I42" s="304">
        <f t="shared" ca="1" si="7"/>
        <v>0</v>
      </c>
      <c r="J42" s="485">
        <f>SUMIF('1.3a-Mutaties'!E:E,'1.1a-Jaarprijzen'!B42,'1.3a-Mutaties'!Z:Z)</f>
        <v>0</v>
      </c>
      <c r="K42" s="486"/>
      <c r="L42" s="304">
        <f>VLOOKUP(B42,'1.9-Glasbewassing'!B:Z,25,FALSE)</f>
        <v>0</v>
      </c>
      <c r="M42" s="305">
        <f t="shared" ca="1" si="8"/>
        <v>0</v>
      </c>
      <c r="O42" s="204" t="e">
        <f t="shared" ca="1" si="11"/>
        <v>#DIV/0!</v>
      </c>
      <c r="Q42" s="443"/>
      <c r="R42" s="1"/>
      <c r="S42" s="1"/>
      <c r="T42" s="1"/>
    </row>
    <row r="43" spans="1:20" hidden="1">
      <c r="A43" s="545">
        <f t="shared" si="9"/>
        <v>3</v>
      </c>
      <c r="B43" s="301">
        <f t="shared" si="10"/>
        <v>0</v>
      </c>
      <c r="C43" s="301">
        <f t="shared" si="10"/>
        <v>0</v>
      </c>
      <c r="D43" s="423"/>
      <c r="E43" s="304">
        <f>VLOOKUP($B21,'1.6-Machine-investeringskosten'!$B$97:$E$113,4,FALSE)</f>
        <v>0</v>
      </c>
      <c r="F43" s="304">
        <f t="shared" ca="1" si="5"/>
        <v>0</v>
      </c>
      <c r="G43" s="304">
        <f t="shared" ca="1" si="6"/>
        <v>0</v>
      </c>
      <c r="H43" s="304"/>
      <c r="I43" s="304">
        <f t="shared" ca="1" si="7"/>
        <v>0</v>
      </c>
      <c r="J43" s="485">
        <f>SUMIF('1.3a-Mutaties'!E:E,'1.1a-Jaarprijzen'!B43,'1.3a-Mutaties'!Z:Z)</f>
        <v>0</v>
      </c>
      <c r="K43" s="486"/>
      <c r="L43" s="304">
        <f>VLOOKUP(B43,'1.9-Glasbewassing'!B:Z,25,FALSE)</f>
        <v>0</v>
      </c>
      <c r="M43" s="305">
        <f t="shared" ca="1" si="8"/>
        <v>0</v>
      </c>
      <c r="O43" s="204" t="e">
        <f t="shared" ca="1" si="11"/>
        <v>#DIV/0!</v>
      </c>
      <c r="Q43" s="443"/>
      <c r="R43" s="1"/>
      <c r="S43" s="1"/>
      <c r="T43" s="1"/>
    </row>
    <row r="44" spans="1:20" hidden="1">
      <c r="A44" s="545">
        <f t="shared" si="9"/>
        <v>3</v>
      </c>
      <c r="B44" s="301">
        <f t="shared" si="10"/>
        <v>0</v>
      </c>
      <c r="C44" s="301">
        <f t="shared" si="10"/>
        <v>0</v>
      </c>
      <c r="D44" s="423"/>
      <c r="E44" s="304">
        <f>VLOOKUP($B22,'1.6-Machine-investeringskosten'!$B$97:$E$113,4,FALSE)</f>
        <v>0</v>
      </c>
      <c r="F44" s="304">
        <f t="shared" ca="1" si="5"/>
        <v>0</v>
      </c>
      <c r="G44" s="304">
        <f t="shared" ca="1" si="6"/>
        <v>0</v>
      </c>
      <c r="H44" s="304"/>
      <c r="I44" s="304">
        <f t="shared" ca="1" si="7"/>
        <v>0</v>
      </c>
      <c r="J44" s="485">
        <f>SUMIF('1.3a-Mutaties'!E:E,'1.1a-Jaarprijzen'!B44,'1.3a-Mutaties'!Z:Z)</f>
        <v>0</v>
      </c>
      <c r="K44" s="486"/>
      <c r="L44" s="304">
        <f>VLOOKUP(B44,'1.9-Glasbewassing'!B:Z,25,FALSE)</f>
        <v>0</v>
      </c>
      <c r="M44" s="305">
        <f t="shared" ca="1" si="8"/>
        <v>0</v>
      </c>
      <c r="O44" s="204" t="e">
        <f t="shared" ca="1" si="11"/>
        <v>#DIV/0!</v>
      </c>
      <c r="Q44" s="443"/>
      <c r="R44" s="1"/>
      <c r="S44" s="1"/>
      <c r="T44" s="1"/>
    </row>
    <row r="45" spans="1:20" hidden="1">
      <c r="A45" s="545">
        <f t="shared" si="9"/>
        <v>3</v>
      </c>
      <c r="B45" s="301">
        <f t="shared" si="10"/>
        <v>0</v>
      </c>
      <c r="C45" s="301">
        <f t="shared" si="10"/>
        <v>0</v>
      </c>
      <c r="D45" s="423"/>
      <c r="E45" s="304">
        <f>VLOOKUP($B23,'1.6-Machine-investeringskosten'!$B$97:$E$113,4,FALSE)</f>
        <v>0</v>
      </c>
      <c r="F45" s="304">
        <f t="shared" ca="1" si="5"/>
        <v>0</v>
      </c>
      <c r="G45" s="304">
        <f t="shared" ca="1" si="6"/>
        <v>0</v>
      </c>
      <c r="H45" s="304"/>
      <c r="I45" s="304">
        <f t="shared" ca="1" si="7"/>
        <v>0</v>
      </c>
      <c r="J45" s="485">
        <f>SUMIF('1.3a-Mutaties'!E:E,'1.1a-Jaarprijzen'!B45,'1.3a-Mutaties'!Z:Z)</f>
        <v>0</v>
      </c>
      <c r="K45" s="486"/>
      <c r="L45" s="304">
        <f>VLOOKUP(B45,'1.9-Glasbewassing'!B:Z,25,FALSE)</f>
        <v>0</v>
      </c>
      <c r="M45" s="305">
        <f t="shared" ca="1" si="8"/>
        <v>0</v>
      </c>
      <c r="O45" s="204" t="e">
        <f t="shared" ca="1" si="11"/>
        <v>#DIV/0!</v>
      </c>
      <c r="Q45" s="443"/>
      <c r="R45" s="1"/>
      <c r="S45" s="1"/>
      <c r="T45" s="1"/>
    </row>
    <row r="46" spans="1:20" hidden="1">
      <c r="A46" s="545">
        <f t="shared" si="9"/>
        <v>3</v>
      </c>
      <c r="B46" s="301">
        <f t="shared" si="10"/>
        <v>0</v>
      </c>
      <c r="C46" s="301">
        <f t="shared" si="10"/>
        <v>0</v>
      </c>
      <c r="D46" s="423"/>
      <c r="E46" s="304">
        <f>VLOOKUP($B24,'1.6-Machine-investeringskosten'!$B$97:$E$113,4,FALSE)</f>
        <v>0</v>
      </c>
      <c r="F46" s="304">
        <f t="shared" ca="1" si="5"/>
        <v>0</v>
      </c>
      <c r="G46" s="304">
        <f t="shared" ca="1" si="6"/>
        <v>0</v>
      </c>
      <c r="H46" s="304"/>
      <c r="I46" s="304">
        <f t="shared" ca="1" si="7"/>
        <v>0</v>
      </c>
      <c r="J46" s="485">
        <f>SUMIF('1.3a-Mutaties'!E:E,'1.1a-Jaarprijzen'!B46,'1.3a-Mutaties'!Z:Z)</f>
        <v>0</v>
      </c>
      <c r="K46" s="486"/>
      <c r="L46" s="304">
        <f>VLOOKUP(B46,'1.9-Glasbewassing'!B:Z,25,FALSE)</f>
        <v>0</v>
      </c>
      <c r="M46" s="305">
        <f t="shared" ca="1" si="8"/>
        <v>0</v>
      </c>
      <c r="O46" s="204" t="e">
        <f t="shared" ca="1" si="11"/>
        <v>#DIV/0!</v>
      </c>
      <c r="Q46" s="443"/>
      <c r="R46" s="1"/>
      <c r="S46" s="1"/>
      <c r="T46" s="1"/>
    </row>
    <row r="47" spans="1:20" hidden="1">
      <c r="A47" s="545">
        <f t="shared" si="9"/>
        <v>3</v>
      </c>
      <c r="B47" s="301">
        <f t="shared" si="10"/>
        <v>0</v>
      </c>
      <c r="C47" s="301">
        <f t="shared" si="10"/>
        <v>0</v>
      </c>
      <c r="D47" s="423"/>
      <c r="E47" s="304">
        <f>VLOOKUP($B25,'1.6-Machine-investeringskosten'!$B$97:$E$113,4,FALSE)</f>
        <v>0</v>
      </c>
      <c r="F47" s="304">
        <f t="shared" ca="1" si="5"/>
        <v>0</v>
      </c>
      <c r="G47" s="304">
        <f t="shared" ca="1" si="6"/>
        <v>0</v>
      </c>
      <c r="H47" s="304"/>
      <c r="I47" s="304">
        <f t="shared" ca="1" si="7"/>
        <v>0</v>
      </c>
      <c r="J47" s="485">
        <f>SUMIF('1.3a-Mutaties'!E:E,'1.1a-Jaarprijzen'!B47,'1.3a-Mutaties'!Z:Z)</f>
        <v>0</v>
      </c>
      <c r="K47" s="486"/>
      <c r="L47" s="304">
        <f>VLOOKUP(B47,'1.9-Glasbewassing'!B:Z,25,FALSE)</f>
        <v>0</v>
      </c>
      <c r="M47" s="305">
        <f t="shared" ca="1" si="8"/>
        <v>0</v>
      </c>
      <c r="O47" s="204" t="e">
        <f t="shared" ca="1" si="11"/>
        <v>#DIV/0!</v>
      </c>
      <c r="Q47" s="443"/>
      <c r="R47" s="1"/>
      <c r="S47" s="1"/>
      <c r="T47" s="1"/>
    </row>
    <row r="48" spans="1:20" hidden="1">
      <c r="A48" s="545">
        <f t="shared" si="9"/>
        <v>3</v>
      </c>
      <c r="B48" s="301">
        <f t="shared" si="10"/>
        <v>0</v>
      </c>
      <c r="C48" s="301">
        <f t="shared" si="10"/>
        <v>0</v>
      </c>
      <c r="D48" s="423"/>
      <c r="E48" s="304">
        <f>VLOOKUP($B26,'1.6-Machine-investeringskosten'!$B$97:$E$113,4,FALSE)</f>
        <v>0</v>
      </c>
      <c r="F48" s="304">
        <f t="shared" ca="1" si="5"/>
        <v>0</v>
      </c>
      <c r="G48" s="304">
        <f t="shared" ca="1" si="6"/>
        <v>0</v>
      </c>
      <c r="H48" s="304"/>
      <c r="I48" s="304">
        <f t="shared" ca="1" si="7"/>
        <v>0</v>
      </c>
      <c r="J48" s="485">
        <f>SUMIF('1.3a-Mutaties'!E:E,'1.1a-Jaarprijzen'!B48,'1.3a-Mutaties'!Z:Z)</f>
        <v>0</v>
      </c>
      <c r="K48" s="486"/>
      <c r="L48" s="304">
        <f>VLOOKUP(B48,'1.9-Glasbewassing'!B:Z,25,FALSE)</f>
        <v>0</v>
      </c>
      <c r="M48" s="305">
        <f t="shared" ca="1" si="8"/>
        <v>0</v>
      </c>
      <c r="O48" s="204" t="e">
        <f t="shared" ca="1" si="11"/>
        <v>#DIV/0!</v>
      </c>
      <c r="Q48" s="443"/>
      <c r="R48" s="1"/>
      <c r="S48" s="1"/>
      <c r="T48" s="1"/>
    </row>
    <row r="49" spans="1:20">
      <c r="A49" s="544"/>
      <c r="E49" s="200"/>
      <c r="F49" s="200"/>
      <c r="G49" s="200"/>
      <c r="H49" s="200"/>
      <c r="I49" s="200"/>
      <c r="M49" s="203"/>
      <c r="P49"/>
      <c r="Q49"/>
    </row>
    <row r="50" spans="1:20" s="275" customFormat="1" ht="23" customHeight="1">
      <c r="B50" s="274"/>
      <c r="C50" s="274"/>
      <c r="D50" s="274"/>
      <c r="E50" s="276"/>
      <c r="F50" s="422"/>
      <c r="G50" s="422"/>
      <c r="H50" s="306" t="s">
        <v>269</v>
      </c>
      <c r="I50" s="277">
        <f ca="1">SUM(I32:I49)</f>
        <v>0</v>
      </c>
      <c r="J50" s="277"/>
      <c r="K50" s="559"/>
      <c r="L50" s="278">
        <f>SUM(L32:L49)</f>
        <v>0</v>
      </c>
      <c r="M50" s="278">
        <f ca="1">SUM(M32:M49)</f>
        <v>0</v>
      </c>
      <c r="N50" s="274"/>
      <c r="O50" s="278"/>
      <c r="P50" s="278"/>
      <c r="Q50" s="274"/>
      <c r="R50" s="274"/>
    </row>
    <row r="51" spans="1:20" s="275" customFormat="1" ht="16">
      <c r="B51" s="274"/>
      <c r="C51" s="274"/>
      <c r="D51" s="274"/>
      <c r="E51" s="276"/>
      <c r="F51" s="422"/>
      <c r="G51" s="422"/>
      <c r="H51" s="306"/>
      <c r="I51" s="277"/>
      <c r="J51" s="277"/>
      <c r="K51" s="306"/>
      <c r="L51" s="278"/>
      <c r="M51" s="278"/>
      <c r="N51" s="274"/>
      <c r="O51" s="279"/>
      <c r="P51" s="274"/>
      <c r="Q51" s="274"/>
      <c r="R51" s="274"/>
    </row>
    <row r="52" spans="1:20">
      <c r="E52" s="201"/>
      <c r="F52" s="201"/>
      <c r="M52" s="204"/>
      <c r="R52" s="1"/>
    </row>
    <row r="53" spans="1:20" s="272" customFormat="1" ht="39">
      <c r="B53" s="273" t="s">
        <v>121</v>
      </c>
      <c r="C53" s="273"/>
      <c r="D53" s="269" t="s">
        <v>273</v>
      </c>
      <c r="E53" s="270" t="s">
        <v>143</v>
      </c>
      <c r="F53" s="270" t="s">
        <v>64</v>
      </c>
      <c r="G53" s="270" t="s">
        <v>65</v>
      </c>
      <c r="H53" s="270" t="s">
        <v>229</v>
      </c>
      <c r="I53" s="270" t="s">
        <v>40</v>
      </c>
      <c r="J53" s="270" t="s">
        <v>157</v>
      </c>
      <c r="K53" s="270" t="s">
        <v>156</v>
      </c>
      <c r="L53" s="270" t="s">
        <v>66</v>
      </c>
      <c r="M53" s="270" t="s">
        <v>198</v>
      </c>
      <c r="N53" s="271"/>
      <c r="O53" s="271"/>
      <c r="P53" s="271"/>
      <c r="Q53" s="271"/>
      <c r="R53" s="271"/>
      <c r="S53" s="271"/>
      <c r="T53" s="271"/>
    </row>
    <row r="54" spans="1:20">
      <c r="B54" s="468"/>
      <c r="E54" s="201"/>
      <c r="F54" s="201"/>
      <c r="R54" s="1"/>
    </row>
    <row r="55" spans="1:20">
      <c r="B55" s="546">
        <v>1</v>
      </c>
      <c r="C55" s="469">
        <f ca="1">SUMIF($G$11:$O$26,$B55,$O$11:$O$26)</f>
        <v>0</v>
      </c>
      <c r="D55" s="443">
        <f ca="1">SUMIF($A$33:$M$48,$B55,$D$33:$D$48)</f>
        <v>0</v>
      </c>
      <c r="E55" s="443">
        <f ca="1">SUMIF($A$33:$M$48,$B55,$E$33:$E$48)</f>
        <v>0</v>
      </c>
      <c r="F55" s="443">
        <f ca="1">SUMIF($A$33:$M$48,$B55,$F$33:$F$48)</f>
        <v>0</v>
      </c>
      <c r="G55" s="443">
        <f ca="1">SUMIF($A$33:$M$48,$B55,$G$33:$G$48)</f>
        <v>0</v>
      </c>
      <c r="H55" s="443">
        <f ca="1">SUMIF($A$33:$M$48,$B55,$H$33:$H$48)</f>
        <v>0</v>
      </c>
      <c r="I55" s="443">
        <f ca="1">SUMIF($A$33:$M$48,$B55,$I$33:$I$48)</f>
        <v>0</v>
      </c>
      <c r="J55" s="443">
        <f ca="1">SUMIF($A$33:$M$48,$B55,$J$33:$J$48)</f>
        <v>0</v>
      </c>
      <c r="K55" s="443"/>
      <c r="L55" s="443">
        <f ca="1">SUMIF($A$33:$M$48,$B55,$L$33:$L$48)</f>
        <v>0</v>
      </c>
      <c r="M55" s="443">
        <f ca="1">SUMIF($A$33:$M$48,$B55,$M$33:$M$48)</f>
        <v>0</v>
      </c>
      <c r="R55" s="1"/>
    </row>
    <row r="56" spans="1:20">
      <c r="B56" s="546">
        <v>2</v>
      </c>
      <c r="C56" s="469">
        <f ca="1">SUMIF($G$11:$O$26,$B56,$O$11:$O$26)</f>
        <v>0</v>
      </c>
      <c r="D56" s="443">
        <f ca="1">SUMIF($A$33:$M$48,$B56,$D$33:$D$48)</f>
        <v>0</v>
      </c>
      <c r="E56" s="443">
        <f ca="1">SUMIF($A$33:$M$48,$B56,$E$33:$E$48)</f>
        <v>0</v>
      </c>
      <c r="F56" s="443">
        <f ca="1">SUMIF($A$33:$M$48,$B56,$F$33:$F$48)</f>
        <v>0</v>
      </c>
      <c r="G56" s="443">
        <f ca="1">SUMIF($A$33:$M$48,$B56,$G$33:$G$48)</f>
        <v>0</v>
      </c>
      <c r="H56" s="443">
        <f ca="1">SUMIF($A$33:$M$48,$B56,$H$33:$H$48)</f>
        <v>0</v>
      </c>
      <c r="I56" s="443">
        <f ca="1">SUMIF($A$33:$M$48,$B56,$I$33:$I$48)</f>
        <v>0</v>
      </c>
      <c r="J56" s="443">
        <f ca="1">SUMIF($A$33:$M$48,$B56,$J$33:$J$48)</f>
        <v>0</v>
      </c>
      <c r="K56" s="443"/>
      <c r="L56" s="443">
        <f ca="1">SUMIF($A$33:$M$48,$B56,$L$33:$L$48)</f>
        <v>0</v>
      </c>
      <c r="M56" s="443">
        <f ca="1">SUMIF($A$33:$M$48,$B56,$M$33:$M$48)</f>
        <v>0</v>
      </c>
      <c r="R56" s="1"/>
    </row>
    <row r="57" spans="1:20">
      <c r="B57" s="546">
        <v>3</v>
      </c>
      <c r="C57" s="469">
        <f ca="1">SUMIF($G$11:$O$26,$B57,$O$11:$O$26)</f>
        <v>0</v>
      </c>
      <c r="D57" s="443">
        <f ca="1">SUMIF($A$33:$M$48,$B57,$D$33:$D$48)</f>
        <v>0</v>
      </c>
      <c r="E57" s="443">
        <f ca="1">SUMIF($A$33:$M$48,$B57,$E$33:$E$48)</f>
        <v>0</v>
      </c>
      <c r="F57" s="443">
        <f ca="1">SUMIF($A$33:$M$48,$B57,$F$33:$F$48)</f>
        <v>0</v>
      </c>
      <c r="G57" s="443">
        <f ca="1">SUMIF($A$33:$M$48,$B57,$G$33:$G$48)</f>
        <v>0</v>
      </c>
      <c r="H57" s="443">
        <f ca="1">SUMIF($A$33:$M$48,$B57,$H$33:$H$48)</f>
        <v>0</v>
      </c>
      <c r="I57" s="443">
        <f ca="1">SUMIF($A$33:$M$48,$B57,$I$33:$I$48)</f>
        <v>0</v>
      </c>
      <c r="J57" s="443">
        <f ca="1">SUMIF($A$33:$M$48,$B57,$J$33:$J$48)</f>
        <v>0</v>
      </c>
      <c r="K57" s="443"/>
      <c r="L57" s="443">
        <f ca="1">SUMIF($A$33:$M$48,$B57,$L$33:$L$48)</f>
        <v>0</v>
      </c>
      <c r="M57" s="443">
        <f ca="1">SUMIF($A$33:$M$48,$B57,$M$33:$M$48)</f>
        <v>0</v>
      </c>
      <c r="R57" s="1"/>
    </row>
    <row r="58" spans="1:20">
      <c r="B58" s="468"/>
      <c r="E58" s="201"/>
      <c r="F58" s="201"/>
      <c r="R58" s="1"/>
    </row>
    <row r="59" spans="1:20" s="275" customFormat="1" ht="23" customHeight="1">
      <c r="B59" s="274"/>
      <c r="C59" s="274"/>
      <c r="D59" s="274"/>
      <c r="E59" s="276"/>
      <c r="F59" s="422"/>
      <c r="G59" s="422"/>
      <c r="H59" s="306" t="s">
        <v>269</v>
      </c>
      <c r="I59" s="277">
        <f ca="1">SUM(I55:I58)</f>
        <v>0</v>
      </c>
      <c r="J59" s="277">
        <f ca="1">SUM(J55:J58)</f>
        <v>0</v>
      </c>
      <c r="K59" s="306" t="s">
        <v>269</v>
      </c>
      <c r="L59" s="278">
        <f ca="1">SUM(L55:L58)</f>
        <v>0</v>
      </c>
      <c r="M59" s="278">
        <f ca="1">SUM(M55:M58)</f>
        <v>0</v>
      </c>
      <c r="N59" s="274"/>
      <c r="O59" s="279"/>
      <c r="P59" s="274"/>
      <c r="Q59" s="274"/>
      <c r="R59" s="274"/>
    </row>
    <row r="60" spans="1:20" s="272" customFormat="1" ht="39">
      <c r="B60" s="273" t="s">
        <v>121</v>
      </c>
      <c r="C60" s="273" t="s">
        <v>237</v>
      </c>
      <c r="D60" s="273" t="s">
        <v>330</v>
      </c>
      <c r="E60" s="270" t="s">
        <v>331</v>
      </c>
      <c r="F60" s="270" t="s">
        <v>183</v>
      </c>
      <c r="G60" s="270" t="s">
        <v>646</v>
      </c>
      <c r="H60" s="270"/>
      <c r="I60" s="270"/>
      <c r="J60" s="270"/>
      <c r="K60" s="270"/>
      <c r="L60" s="270"/>
      <c r="M60" s="270"/>
      <c r="N60" s="271"/>
      <c r="O60" s="271"/>
      <c r="P60" s="271"/>
      <c r="Q60" s="271"/>
      <c r="R60" s="271"/>
      <c r="S60" s="271"/>
      <c r="T60" s="271"/>
    </row>
    <row r="61" spans="1:20">
      <c r="B61" s="283"/>
      <c r="E61" s="201"/>
      <c r="F61" s="201"/>
      <c r="R61" s="1"/>
    </row>
    <row r="62" spans="1:20">
      <c r="B62" s="546">
        <v>1</v>
      </c>
      <c r="C62" s="663">
        <f ca="1">SUMIF($A$11:$E$26,$B62,$E$11:$E$26)+SUMIF($A$11:$E$26,$B62,$F$11:$F$26)</f>
        <v>7473.1031116316663</v>
      </c>
      <c r="D62" s="666">
        <f ca="1">SUMIF($A$11:$M$26,$B62,$H$11:$H$26)</f>
        <v>0</v>
      </c>
      <c r="E62" s="666">
        <f ca="1">SUMIF($A$11:$M$26,$B62,$I$11:$I$26)</f>
        <v>0</v>
      </c>
      <c r="F62" s="666">
        <f ca="1">SUMIF($A$11:$M$26,$B62,$K$11:$K$26)</f>
        <v>0</v>
      </c>
      <c r="G62" s="666">
        <f ca="1">SUMIF($A$11:$M$26,$B62,$L$11:$L$26)</f>
        <v>4326</v>
      </c>
      <c r="H62" s="474"/>
      <c r="R62" s="1"/>
    </row>
    <row r="63" spans="1:20">
      <c r="B63" s="546">
        <v>2</v>
      </c>
      <c r="C63" s="663">
        <f ca="1">SUMIF($A$11:$E$26,$B63,$E$11:$E$26)+SUMIF($A$11:$E$26,$B63,$F$11:$F$26)</f>
        <v>0</v>
      </c>
      <c r="D63" s="666">
        <f ca="1">SUMIF($A$11:$M$26,$B63,$H$11:$H$26)</f>
        <v>0</v>
      </c>
      <c r="E63" s="666">
        <f ca="1">SUMIF($A$11:$M$26,$B63,$I$11:$I$26)</f>
        <v>0</v>
      </c>
      <c r="F63" s="666">
        <f ca="1">SUMIF($A$11:$M$26,$B63,$K$11:$K$26)</f>
        <v>0</v>
      </c>
      <c r="G63" s="666">
        <f ca="1">SUMIF($A$11:$M$26,$B63,$L$11:$L$26)</f>
        <v>49264.119999999995</v>
      </c>
      <c r="H63" s="474"/>
      <c r="R63" s="1"/>
    </row>
    <row r="64" spans="1:20">
      <c r="B64" s="546">
        <v>3</v>
      </c>
      <c r="C64" s="663">
        <f ca="1">SUMIF($A$11:$E$26,$B64,$E$11:$E$26)+SUMIF($A$11:$E$26,$B64,$F$11:$F$26)</f>
        <v>0</v>
      </c>
      <c r="D64" s="666">
        <f ca="1">SUMIF($A$11:$M$26,$B64,$H$11:$H$26)</f>
        <v>0</v>
      </c>
      <c r="E64" s="666">
        <f ca="1">SUMIF($A$11:$M$26,$B64,$I$11:$I$26)</f>
        <v>0</v>
      </c>
      <c r="F64" s="666">
        <f ca="1">SUMIF($A$11:$M$26,$B64,$K$11:$K$26)</f>
        <v>0</v>
      </c>
      <c r="G64" s="666">
        <f ca="1">SUMIF($A$11:$M$26,$B64,$L$11:$L$26)</f>
        <v>68969.767999999996</v>
      </c>
      <c r="R64" s="1"/>
    </row>
    <row r="65" spans="2:18" ht="14" thickBot="1">
      <c r="B65" s="283"/>
      <c r="C65" s="664"/>
      <c r="D65" s="201"/>
      <c r="E65" s="201"/>
      <c r="F65" s="201"/>
      <c r="R65" s="1"/>
    </row>
    <row r="66" spans="2:18" ht="15" thickTop="1" thickBot="1">
      <c r="B66" s="283"/>
      <c r="C66" s="665">
        <f ca="1">SUM(C62:C64)</f>
        <v>7473.1031116316663</v>
      </c>
      <c r="D66" s="727">
        <f ca="1">SUM(D62:E64)</f>
        <v>0</v>
      </c>
      <c r="E66" s="728"/>
      <c r="F66" s="667">
        <f ca="1">SUM(F62:F64)</f>
        <v>0</v>
      </c>
      <c r="G66" s="667">
        <f ca="1">SUM(G62:H64)</f>
        <v>122559.88799999999</v>
      </c>
      <c r="R66" s="1"/>
    </row>
    <row r="67" spans="2:18" ht="14" thickTop="1">
      <c r="B67" s="283"/>
      <c r="D67" s="474"/>
      <c r="E67" s="201"/>
      <c r="F67" s="201"/>
      <c r="R67" s="1"/>
    </row>
    <row r="68" spans="2:18">
      <c r="B68" s="284"/>
      <c r="C68" s="281"/>
      <c r="D68" s="281"/>
      <c r="E68" s="281"/>
      <c r="F68" s="281"/>
      <c r="G68" s="281"/>
      <c r="H68" s="281"/>
      <c r="I68" s="280"/>
      <c r="J68" s="280"/>
      <c r="K68" s="280"/>
      <c r="L68" s="420"/>
      <c r="M68" s="280"/>
      <c r="R68" s="1"/>
    </row>
    <row r="69" spans="2:18">
      <c r="B69" s="285"/>
      <c r="C69" s="292" t="s">
        <v>238</v>
      </c>
      <c r="D69" s="292" t="s">
        <v>238</v>
      </c>
      <c r="E69" s="292" t="s">
        <v>238</v>
      </c>
      <c r="F69" s="292" t="s">
        <v>238</v>
      </c>
      <c r="G69" s="292" t="s">
        <v>238</v>
      </c>
      <c r="H69" s="282"/>
      <c r="I69" s="280"/>
      <c r="J69" s="280"/>
      <c r="K69" s="280"/>
      <c r="L69" s="280"/>
      <c r="M69" s="280"/>
      <c r="R69" s="1"/>
    </row>
    <row r="70" spans="2:18">
      <c r="B70" s="285"/>
      <c r="C70" s="477">
        <v>2017</v>
      </c>
      <c r="D70" s="477">
        <f>C70+1</f>
        <v>2018</v>
      </c>
      <c r="E70" s="477">
        <f>D70+1</f>
        <v>2019</v>
      </c>
      <c r="F70" s="477">
        <f>E70+1</f>
        <v>2020</v>
      </c>
      <c r="G70" s="477">
        <f>F70+1</f>
        <v>2021</v>
      </c>
      <c r="H70" s="282"/>
      <c r="I70" s="280"/>
      <c r="J70" s="280"/>
      <c r="K70" s="280"/>
      <c r="L70" s="280"/>
      <c r="M70" s="280"/>
      <c r="R70" s="1"/>
    </row>
    <row r="71" spans="2:18" s="275" customFormat="1" ht="18" customHeight="1">
      <c r="B71" s="294" t="s">
        <v>239</v>
      </c>
      <c r="C71" s="295"/>
      <c r="D71" s="295"/>
      <c r="E71" s="295"/>
      <c r="F71" s="295"/>
      <c r="G71" s="296"/>
      <c r="H71" s="297"/>
      <c r="I71" s="298"/>
      <c r="J71" s="298"/>
      <c r="K71" s="298"/>
      <c r="L71" s="298"/>
      <c r="M71" s="298"/>
      <c r="N71" s="274"/>
      <c r="O71" s="274"/>
      <c r="P71" s="274"/>
      <c r="Q71" s="274"/>
      <c r="R71" s="274"/>
    </row>
    <row r="72" spans="2:18" ht="21.75" customHeight="1">
      <c r="B72" s="286" t="s">
        <v>240</v>
      </c>
      <c r="C72" s="299"/>
      <c r="D72" s="299"/>
      <c r="E72" s="299"/>
      <c r="F72" s="299"/>
      <c r="G72" s="299"/>
      <c r="H72" s="282"/>
      <c r="I72" s="280"/>
      <c r="J72" s="280"/>
      <c r="K72" s="280"/>
      <c r="L72" s="280"/>
      <c r="M72" s="280"/>
      <c r="R72" s="1"/>
    </row>
    <row r="73" spans="2:18">
      <c r="B73" s="287">
        <v>1</v>
      </c>
      <c r="C73" s="293">
        <f>B73*C72+B73</f>
        <v>1</v>
      </c>
      <c r="D73" s="293">
        <f>C73*D72+C73</f>
        <v>1</v>
      </c>
      <c r="E73" s="293">
        <f>D73*E72+D73</f>
        <v>1</v>
      </c>
      <c r="F73" s="293">
        <f>E73*F72+E73</f>
        <v>1</v>
      </c>
      <c r="G73" s="293">
        <f>F73*G72+F73</f>
        <v>1</v>
      </c>
      <c r="H73" s="282"/>
      <c r="I73" s="280"/>
      <c r="J73" s="280"/>
      <c r="K73" s="280"/>
      <c r="L73" s="280"/>
      <c r="M73" s="280"/>
      <c r="R73" s="1"/>
    </row>
    <row r="74" spans="2:18" hidden="1">
      <c r="B74" s="285"/>
      <c r="C74" s="288">
        <f>MAX(B73:G73)-1</f>
        <v>0</v>
      </c>
      <c r="D74" s="290"/>
      <c r="E74" s="290"/>
      <c r="F74" s="290"/>
      <c r="G74" s="290"/>
      <c r="H74" s="282"/>
      <c r="I74" s="280"/>
      <c r="J74" s="280"/>
      <c r="K74" s="280"/>
      <c r="L74" s="280"/>
      <c r="M74" s="280"/>
      <c r="R74" s="1"/>
    </row>
    <row r="75" spans="2:18">
      <c r="B75" s="283"/>
      <c r="C75" s="280"/>
      <c r="D75" s="280"/>
      <c r="E75" s="291"/>
      <c r="F75" s="291"/>
      <c r="G75" s="280"/>
      <c r="H75" s="289"/>
      <c r="I75" s="280"/>
      <c r="J75" s="280"/>
      <c r="K75" s="280"/>
      <c r="L75" s="280"/>
      <c r="M75" s="280"/>
      <c r="R75" s="1"/>
    </row>
    <row r="76" spans="2:18">
      <c r="B76" s="283"/>
      <c r="E76" s="201"/>
      <c r="F76" s="201"/>
      <c r="H76" s="280"/>
      <c r="I76" s="280"/>
      <c r="J76" s="280"/>
      <c r="K76" s="280"/>
      <c r="L76" s="280"/>
      <c r="M76" s="280"/>
      <c r="R76" s="1"/>
    </row>
    <row r="77" spans="2:18" hidden="1">
      <c r="E77" s="201"/>
      <c r="F77" s="201"/>
      <c r="R77" s="1"/>
    </row>
    <row r="78" spans="2:18" hidden="1">
      <c r="E78" s="201"/>
      <c r="F78" s="201"/>
      <c r="R78" s="1"/>
    </row>
    <row r="79" spans="2:18" hidden="1">
      <c r="E79" s="201"/>
      <c r="F79" s="201"/>
      <c r="R79" s="1"/>
    </row>
    <row r="80" spans="2:18" hidden="1">
      <c r="E80" s="201"/>
      <c r="F80" s="201"/>
      <c r="R80" s="1"/>
    </row>
    <row r="81" spans="5:18" hidden="1">
      <c r="E81" s="201"/>
      <c r="F81" s="201"/>
      <c r="R81" s="1"/>
    </row>
    <row r="82" spans="5:18" hidden="1">
      <c r="E82" s="201"/>
      <c r="F82" s="201"/>
      <c r="R82" s="1"/>
    </row>
    <row r="83" spans="5:18" hidden="1">
      <c r="E83" s="201"/>
      <c r="F83" s="201"/>
      <c r="R83" s="1"/>
    </row>
    <row r="84" spans="5:18" hidden="1">
      <c r="E84" s="201"/>
      <c r="F84" s="201"/>
      <c r="R84" s="1"/>
    </row>
    <row r="85" spans="5:18" hidden="1">
      <c r="E85" s="201"/>
      <c r="F85" s="201"/>
      <c r="R85" s="1"/>
    </row>
    <row r="86" spans="5:18" hidden="1">
      <c r="E86" s="201"/>
      <c r="F86" s="201"/>
      <c r="R86" s="1"/>
    </row>
    <row r="87" spans="5:18" hidden="1">
      <c r="E87" s="201"/>
      <c r="F87" s="201"/>
      <c r="R87" s="1"/>
    </row>
    <row r="88" spans="5:18" hidden="1">
      <c r="E88" s="201"/>
      <c r="F88" s="201"/>
      <c r="R88" s="1"/>
    </row>
    <row r="89" spans="5:18" hidden="1">
      <c r="E89" s="201"/>
      <c r="F89" s="201"/>
      <c r="R89" s="1"/>
    </row>
    <row r="90" spans="5:18" hidden="1">
      <c r="E90" s="201"/>
      <c r="F90" s="201"/>
      <c r="R90" s="1"/>
    </row>
    <row r="91" spans="5:18" hidden="1">
      <c r="E91" s="201"/>
      <c r="F91" s="201"/>
      <c r="R91" s="1"/>
    </row>
    <row r="92" spans="5:18" hidden="1">
      <c r="E92" s="201"/>
      <c r="F92" s="201"/>
      <c r="R92" s="1"/>
    </row>
    <row r="93" spans="5:18" hidden="1">
      <c r="E93" s="201"/>
      <c r="F93" s="201"/>
      <c r="R93" s="1"/>
    </row>
    <row r="94" spans="5:18" hidden="1">
      <c r="E94" s="201"/>
      <c r="F94" s="201"/>
      <c r="R94" s="1"/>
    </row>
    <row r="95" spans="5:18" hidden="1">
      <c r="E95" s="201"/>
      <c r="F95" s="201"/>
      <c r="R95" s="1"/>
    </row>
    <row r="96" spans="5:18" hidden="1">
      <c r="E96" s="201"/>
      <c r="F96" s="201"/>
      <c r="R96" s="1"/>
    </row>
    <row r="97" spans="5:18" hidden="1">
      <c r="E97" s="201"/>
      <c r="F97" s="201"/>
      <c r="R97" s="1"/>
    </row>
    <row r="98" spans="5:18" hidden="1">
      <c r="E98" s="201"/>
      <c r="F98" s="201"/>
      <c r="R98" s="1"/>
    </row>
    <row r="99" spans="5:18" hidden="1">
      <c r="E99" s="201"/>
      <c r="F99" s="201"/>
      <c r="R99" s="1"/>
    </row>
    <row r="100" spans="5:18" hidden="1">
      <c r="E100" s="201"/>
      <c r="F100" s="201"/>
      <c r="R100" s="1"/>
    </row>
    <row r="101" spans="5:18" hidden="1">
      <c r="E101" s="201"/>
      <c r="F101" s="201"/>
      <c r="R101" s="1"/>
    </row>
    <row r="102" spans="5:18" hidden="1">
      <c r="E102" s="201"/>
      <c r="F102" s="201"/>
      <c r="R102" s="1"/>
    </row>
    <row r="103" spans="5:18" hidden="1">
      <c r="E103" s="201"/>
      <c r="F103" s="201"/>
      <c r="R103" s="1"/>
    </row>
    <row r="104" spans="5:18" hidden="1">
      <c r="E104" s="201"/>
      <c r="F104" s="201"/>
      <c r="R104" s="1"/>
    </row>
    <row r="105" spans="5:18" hidden="1">
      <c r="E105" s="201"/>
      <c r="F105" s="201"/>
      <c r="R105" s="1"/>
    </row>
    <row r="106" spans="5:18" hidden="1">
      <c r="E106" s="201"/>
      <c r="F106" s="201"/>
      <c r="R106" s="1"/>
    </row>
    <row r="107" spans="5:18" hidden="1">
      <c r="E107" s="201"/>
      <c r="F107" s="201"/>
      <c r="R107" s="1"/>
    </row>
    <row r="108" spans="5:18" hidden="1">
      <c r="E108" s="201"/>
      <c r="F108" s="201"/>
      <c r="R108" s="1"/>
    </row>
    <row r="109" spans="5:18" hidden="1">
      <c r="E109" s="201"/>
      <c r="F109" s="201"/>
      <c r="R109" s="1"/>
    </row>
    <row r="110" spans="5:18" hidden="1">
      <c r="E110" s="201"/>
      <c r="F110" s="201"/>
      <c r="R110" s="1"/>
    </row>
    <row r="111" spans="5:18" hidden="1">
      <c r="E111" s="201"/>
      <c r="F111" s="201"/>
      <c r="R111" s="1"/>
    </row>
    <row r="112" spans="5:18" hidden="1">
      <c r="E112" s="201"/>
      <c r="F112" s="201"/>
      <c r="R112" s="1"/>
    </row>
    <row r="113" spans="5:18" hidden="1">
      <c r="E113" s="201"/>
      <c r="F113" s="201"/>
      <c r="R113" s="1"/>
    </row>
    <row r="114" spans="5:18" hidden="1">
      <c r="E114" s="201"/>
      <c r="F114" s="201"/>
      <c r="R114" s="1"/>
    </row>
    <row r="115" spans="5:18" hidden="1">
      <c r="E115" s="201"/>
      <c r="F115" s="201"/>
      <c r="R115" s="1"/>
    </row>
    <row r="116" spans="5:18" hidden="1">
      <c r="E116" s="201"/>
      <c r="F116" s="201"/>
      <c r="R116" s="1"/>
    </row>
    <row r="117" spans="5:18" hidden="1">
      <c r="E117" s="201"/>
      <c r="F117" s="201"/>
      <c r="R117" s="1"/>
    </row>
    <row r="118" spans="5:18" hidden="1">
      <c r="E118" s="201"/>
      <c r="F118" s="201"/>
      <c r="R118" s="1"/>
    </row>
    <row r="119" spans="5:18" hidden="1">
      <c r="E119" s="201"/>
      <c r="F119" s="201"/>
      <c r="R119" s="1"/>
    </row>
    <row r="120" spans="5:18" hidden="1">
      <c r="E120" s="201"/>
      <c r="F120" s="201"/>
      <c r="R120" s="1"/>
    </row>
    <row r="121" spans="5:18" hidden="1">
      <c r="E121" s="201"/>
      <c r="F121" s="201"/>
      <c r="R121" s="1"/>
    </row>
    <row r="122" spans="5:18" hidden="1">
      <c r="E122" s="201"/>
      <c r="F122" s="201"/>
      <c r="R122" s="1"/>
    </row>
    <row r="123" spans="5:18" hidden="1">
      <c r="E123" s="201"/>
      <c r="F123" s="201"/>
      <c r="R123" s="1"/>
    </row>
    <row r="124" spans="5:18" hidden="1">
      <c r="E124" s="201"/>
      <c r="F124" s="201"/>
      <c r="R124" s="1"/>
    </row>
    <row r="125" spans="5:18" hidden="1">
      <c r="E125" s="201"/>
      <c r="F125" s="201"/>
      <c r="R125" s="1"/>
    </row>
    <row r="126" spans="5:18" hidden="1">
      <c r="E126" s="201"/>
      <c r="F126" s="201"/>
      <c r="R126" s="1"/>
    </row>
    <row r="127" spans="5:18" hidden="1">
      <c r="E127" s="201"/>
      <c r="F127" s="201"/>
      <c r="R127" s="1"/>
    </row>
    <row r="128" spans="5:18" hidden="1">
      <c r="E128" s="201"/>
      <c r="F128" s="201"/>
      <c r="R128" s="1"/>
    </row>
    <row r="129" spans="5:18" hidden="1">
      <c r="E129" s="201"/>
      <c r="F129" s="201"/>
      <c r="R129" s="1"/>
    </row>
    <row r="130" spans="5:18" hidden="1">
      <c r="E130" s="201"/>
      <c r="F130" s="201"/>
      <c r="R130" s="1"/>
    </row>
    <row r="131" spans="5:18" hidden="1">
      <c r="E131" s="201"/>
      <c r="F131" s="201"/>
      <c r="R131" s="1"/>
    </row>
    <row r="132" spans="5:18" hidden="1">
      <c r="E132" s="201"/>
      <c r="F132" s="201"/>
      <c r="R132" s="1"/>
    </row>
    <row r="133" spans="5:18" hidden="1">
      <c r="E133" s="201"/>
      <c r="F133" s="201"/>
      <c r="R133" s="1"/>
    </row>
    <row r="134" spans="5:18" hidden="1">
      <c r="E134" s="201"/>
      <c r="F134" s="201"/>
      <c r="R134" s="1"/>
    </row>
    <row r="135" spans="5:18" hidden="1">
      <c r="E135" s="201"/>
      <c r="F135" s="201"/>
      <c r="R135" s="1"/>
    </row>
    <row r="136" spans="5:18" hidden="1">
      <c r="E136" s="201"/>
      <c r="F136" s="201"/>
      <c r="R136" s="1"/>
    </row>
    <row r="137" spans="5:18" hidden="1">
      <c r="E137" s="201"/>
      <c r="F137" s="201"/>
      <c r="R137" s="1"/>
    </row>
    <row r="138" spans="5:18" hidden="1">
      <c r="E138" s="201"/>
      <c r="F138" s="201"/>
      <c r="R138" s="1"/>
    </row>
    <row r="139" spans="5:18" hidden="1">
      <c r="E139" s="201"/>
      <c r="F139" s="201"/>
      <c r="R139" s="1"/>
    </row>
    <row r="140" spans="5:18" hidden="1">
      <c r="E140" s="201"/>
      <c r="F140" s="201"/>
      <c r="R140" s="1"/>
    </row>
    <row r="141" spans="5:18" hidden="1">
      <c r="E141" s="201"/>
      <c r="F141" s="201"/>
      <c r="R141" s="1"/>
    </row>
    <row r="142" spans="5:18" hidden="1">
      <c r="E142" s="201"/>
      <c r="F142" s="201"/>
      <c r="R142" s="1"/>
    </row>
    <row r="143" spans="5:18" hidden="1">
      <c r="E143" s="201"/>
      <c r="F143" s="201"/>
      <c r="R143" s="1"/>
    </row>
    <row r="144" spans="5:18" hidden="1">
      <c r="E144" s="201"/>
      <c r="F144" s="201"/>
      <c r="R144" s="1"/>
    </row>
    <row r="145" spans="5:18" hidden="1">
      <c r="E145" s="201"/>
      <c r="F145" s="201"/>
      <c r="R145" s="1"/>
    </row>
    <row r="146" spans="5:18" hidden="1">
      <c r="E146" s="201"/>
      <c r="F146" s="201"/>
      <c r="R146" s="1"/>
    </row>
    <row r="147" spans="5:18" hidden="1">
      <c r="E147" s="201"/>
      <c r="F147" s="201"/>
      <c r="R147" s="1"/>
    </row>
    <row r="148" spans="5:18" hidden="1">
      <c r="E148" s="201"/>
      <c r="F148" s="201"/>
      <c r="R148" s="1"/>
    </row>
    <row r="149" spans="5:18" hidden="1">
      <c r="E149" s="201"/>
      <c r="F149" s="201"/>
      <c r="R149" s="1"/>
    </row>
    <row r="150" spans="5:18" hidden="1">
      <c r="E150" s="201"/>
      <c r="F150" s="201"/>
      <c r="R150" s="1"/>
    </row>
    <row r="151" spans="5:18" hidden="1">
      <c r="E151" s="201"/>
      <c r="F151" s="201"/>
      <c r="R151" s="1"/>
    </row>
    <row r="152" spans="5:18" hidden="1">
      <c r="E152" s="201"/>
      <c r="F152" s="201"/>
      <c r="R152" s="1"/>
    </row>
    <row r="153" spans="5:18" hidden="1">
      <c r="E153" s="201"/>
      <c r="F153" s="201"/>
      <c r="R153" s="1"/>
    </row>
    <row r="154" spans="5:18" hidden="1">
      <c r="E154" s="201"/>
      <c r="F154" s="201"/>
      <c r="R154" s="1"/>
    </row>
    <row r="155" spans="5:18" hidden="1">
      <c r="E155" s="201"/>
      <c r="F155" s="201"/>
      <c r="R155" s="1"/>
    </row>
    <row r="156" spans="5:18" hidden="1">
      <c r="E156" s="201"/>
      <c r="F156" s="201"/>
      <c r="R156" s="1"/>
    </row>
    <row r="157" spans="5:18" hidden="1">
      <c r="E157" s="201"/>
      <c r="F157" s="201"/>
      <c r="R157" s="1"/>
    </row>
    <row r="158" spans="5:18" hidden="1">
      <c r="E158" s="201"/>
      <c r="F158" s="201"/>
      <c r="R158" s="1"/>
    </row>
    <row r="159" spans="5:18" hidden="1">
      <c r="E159" s="201"/>
      <c r="F159" s="201"/>
      <c r="R159" s="1"/>
    </row>
    <row r="160" spans="5:18" hidden="1">
      <c r="E160" s="201"/>
      <c r="F160" s="201"/>
      <c r="R160" s="1"/>
    </row>
    <row r="161" spans="5:18" hidden="1">
      <c r="E161" s="201"/>
      <c r="F161" s="201"/>
      <c r="R161" s="1"/>
    </row>
    <row r="162" spans="5:18" hidden="1">
      <c r="E162" s="201"/>
      <c r="F162" s="201"/>
      <c r="R162" s="1"/>
    </row>
    <row r="163" spans="5:18" hidden="1">
      <c r="E163" s="201"/>
      <c r="F163" s="201"/>
      <c r="R163" s="1"/>
    </row>
    <row r="164" spans="5:18" hidden="1">
      <c r="E164" s="201"/>
      <c r="F164" s="201"/>
      <c r="R164" s="1"/>
    </row>
    <row r="165" spans="5:18" hidden="1">
      <c r="E165" s="201"/>
      <c r="F165" s="201"/>
      <c r="R165" s="1"/>
    </row>
    <row r="166" spans="5:18" hidden="1">
      <c r="E166" s="201"/>
      <c r="F166" s="201"/>
      <c r="R166" s="1"/>
    </row>
    <row r="167" spans="5:18" hidden="1">
      <c r="E167" s="201"/>
      <c r="F167" s="201"/>
      <c r="R167" s="1"/>
    </row>
    <row r="168" spans="5:18" hidden="1">
      <c r="E168" s="201"/>
      <c r="F168" s="201"/>
      <c r="R168" s="1"/>
    </row>
    <row r="169" spans="5:18" hidden="1">
      <c r="E169" s="201"/>
      <c r="F169" s="201"/>
      <c r="R169" s="1"/>
    </row>
    <row r="170" spans="5:18" hidden="1">
      <c r="E170" s="201"/>
      <c r="F170" s="201"/>
      <c r="R170" s="1"/>
    </row>
    <row r="171" spans="5:18" hidden="1">
      <c r="E171" s="201"/>
      <c r="F171" s="201"/>
      <c r="R171" s="1"/>
    </row>
    <row r="172" spans="5:18" hidden="1">
      <c r="E172" s="201"/>
      <c r="F172" s="201"/>
      <c r="R172" s="1"/>
    </row>
    <row r="173" spans="5:18" hidden="1">
      <c r="E173" s="201"/>
      <c r="F173" s="201"/>
      <c r="R173" s="1"/>
    </row>
    <row r="174" spans="5:18" hidden="1">
      <c r="E174" s="201"/>
      <c r="F174" s="201"/>
      <c r="R174" s="1"/>
    </row>
    <row r="175" spans="5:18" hidden="1">
      <c r="E175" s="201"/>
      <c r="F175" s="201"/>
      <c r="R175" s="1"/>
    </row>
    <row r="176" spans="5:18" hidden="1">
      <c r="E176" s="201"/>
      <c r="F176" s="201"/>
      <c r="R176" s="1"/>
    </row>
    <row r="177" spans="5:18" hidden="1">
      <c r="E177" s="201"/>
      <c r="F177" s="201"/>
      <c r="R177" s="1"/>
    </row>
    <row r="178" spans="5:18" hidden="1">
      <c r="E178" s="201"/>
      <c r="F178" s="201"/>
      <c r="R178" s="1"/>
    </row>
    <row r="179" spans="5:18" hidden="1">
      <c r="E179" s="201"/>
      <c r="F179" s="201"/>
      <c r="R179" s="1"/>
    </row>
    <row r="180" spans="5:18" hidden="1">
      <c r="E180" s="201"/>
      <c r="F180" s="201"/>
      <c r="R180" s="1"/>
    </row>
    <row r="181" spans="5:18" hidden="1">
      <c r="E181" s="201"/>
      <c r="F181" s="201"/>
      <c r="R181" s="1"/>
    </row>
    <row r="182" spans="5:18" hidden="1">
      <c r="E182" s="201"/>
      <c r="F182" s="201"/>
      <c r="R182" s="1"/>
    </row>
    <row r="183" spans="5:18" hidden="1">
      <c r="E183" s="201"/>
      <c r="F183" s="201"/>
      <c r="R183" s="1"/>
    </row>
    <row r="184" spans="5:18" hidden="1">
      <c r="E184" s="201"/>
      <c r="F184" s="201"/>
      <c r="R184" s="1"/>
    </row>
    <row r="185" spans="5:18" hidden="1">
      <c r="E185" s="201"/>
      <c r="F185" s="201"/>
      <c r="R185" s="1"/>
    </row>
    <row r="186" spans="5:18" hidden="1">
      <c r="E186" s="201"/>
      <c r="F186" s="201"/>
      <c r="R186" s="1"/>
    </row>
    <row r="187" spans="5:18" hidden="1">
      <c r="E187" s="201"/>
      <c r="F187" s="201"/>
      <c r="R187" s="1"/>
    </row>
    <row r="188" spans="5:18" hidden="1">
      <c r="E188" s="201"/>
      <c r="F188" s="201"/>
      <c r="R188" s="1"/>
    </row>
    <row r="189" spans="5:18" hidden="1">
      <c r="E189" s="201"/>
      <c r="F189" s="201"/>
    </row>
    <row r="190" spans="5:18" hidden="1">
      <c r="E190" s="201"/>
      <c r="F190" s="201"/>
    </row>
    <row r="191" spans="5:18" hidden="1">
      <c r="E191" s="201"/>
      <c r="F191" s="201"/>
    </row>
    <row r="192" spans="5:18" hidden="1">
      <c r="E192" s="201"/>
      <c r="F192" s="201"/>
    </row>
    <row r="193" spans="5:6" hidden="1">
      <c r="E193" s="201"/>
      <c r="F193" s="201"/>
    </row>
    <row r="194" spans="5:6" hidden="1">
      <c r="E194" s="201"/>
      <c r="F194" s="201"/>
    </row>
    <row r="195" spans="5:6" hidden="1">
      <c r="E195" s="201"/>
      <c r="F195" s="201"/>
    </row>
    <row r="196" spans="5:6" hidden="1">
      <c r="E196" s="201"/>
      <c r="F196" s="201"/>
    </row>
    <row r="197" spans="5:6" hidden="1">
      <c r="E197" s="201"/>
      <c r="F197" s="201"/>
    </row>
    <row r="198" spans="5:6" hidden="1">
      <c r="E198" s="201"/>
      <c r="F198" s="201"/>
    </row>
    <row r="199" spans="5:6" hidden="1">
      <c r="E199" s="201"/>
      <c r="F199" s="201"/>
    </row>
    <row r="200" spans="5:6" hidden="1">
      <c r="E200" s="201"/>
      <c r="F200" s="201"/>
    </row>
    <row r="201" spans="5:6" hidden="1">
      <c r="E201" s="201"/>
      <c r="F201" s="201"/>
    </row>
    <row r="202" spans="5:6" hidden="1">
      <c r="E202" s="201"/>
      <c r="F202" s="201"/>
    </row>
    <row r="203" spans="5:6" hidden="1">
      <c r="E203" s="201"/>
      <c r="F203" s="201"/>
    </row>
    <row r="204" spans="5:6" hidden="1">
      <c r="E204" s="201"/>
      <c r="F204" s="201"/>
    </row>
    <row r="205" spans="5:6" hidden="1">
      <c r="E205" s="201"/>
      <c r="F205" s="201"/>
    </row>
    <row r="206" spans="5:6" hidden="1">
      <c r="E206" s="201"/>
      <c r="F206" s="201"/>
    </row>
    <row r="207" spans="5:6" hidden="1">
      <c r="E207" s="201"/>
      <c r="F207" s="201"/>
    </row>
    <row r="208" spans="5:6" hidden="1">
      <c r="E208" s="201"/>
      <c r="F208" s="201"/>
    </row>
    <row r="209" spans="5:6" hidden="1">
      <c r="E209" s="201"/>
      <c r="F209" s="201"/>
    </row>
    <row r="210" spans="5:6" hidden="1">
      <c r="E210" s="201"/>
      <c r="F210" s="201"/>
    </row>
    <row r="211" spans="5:6" hidden="1">
      <c r="E211" s="201"/>
      <c r="F211" s="201"/>
    </row>
    <row r="212" spans="5:6" hidden="1">
      <c r="E212" s="201"/>
      <c r="F212" s="201"/>
    </row>
    <row r="213" spans="5:6" hidden="1">
      <c r="E213" s="201"/>
      <c r="F213" s="201"/>
    </row>
    <row r="214" spans="5:6" hidden="1">
      <c r="E214" s="201"/>
      <c r="F214" s="201"/>
    </row>
    <row r="215" spans="5:6" hidden="1">
      <c r="E215" s="201"/>
      <c r="F215" s="201"/>
    </row>
    <row r="216" spans="5:6" hidden="1">
      <c r="E216" s="201"/>
      <c r="F216" s="201"/>
    </row>
    <row r="217" spans="5:6" hidden="1">
      <c r="E217" s="201"/>
      <c r="F217" s="201"/>
    </row>
    <row r="218" spans="5:6" hidden="1">
      <c r="E218" s="201"/>
      <c r="F218" s="201"/>
    </row>
    <row r="219" spans="5:6" hidden="1">
      <c r="E219" s="201"/>
      <c r="F219" s="201"/>
    </row>
    <row r="220" spans="5:6" hidden="1">
      <c r="E220" s="201"/>
      <c r="F220" s="201"/>
    </row>
    <row r="221" spans="5:6" hidden="1">
      <c r="E221" s="201"/>
      <c r="F221" s="201"/>
    </row>
    <row r="222" spans="5:6" hidden="1">
      <c r="E222" s="201"/>
      <c r="F222" s="201"/>
    </row>
    <row r="223" spans="5:6" hidden="1">
      <c r="E223" s="201"/>
      <c r="F223" s="201"/>
    </row>
    <row r="224" spans="5:6" hidden="1">
      <c r="E224" s="201"/>
      <c r="F224" s="201"/>
    </row>
    <row r="225" spans="5:6" hidden="1">
      <c r="E225" s="201"/>
      <c r="F225" s="201"/>
    </row>
    <row r="226" spans="5:6" hidden="1">
      <c r="E226" s="201"/>
      <c r="F226" s="201"/>
    </row>
    <row r="227" spans="5:6" hidden="1">
      <c r="E227" s="201"/>
      <c r="F227" s="201"/>
    </row>
    <row r="228" spans="5:6" hidden="1">
      <c r="E228" s="201"/>
      <c r="F228" s="201"/>
    </row>
    <row r="229" spans="5:6" hidden="1">
      <c r="E229" s="201"/>
      <c r="F229" s="201"/>
    </row>
    <row r="230" spans="5:6" hidden="1">
      <c r="E230" s="201"/>
      <c r="F230" s="201"/>
    </row>
    <row r="231" spans="5:6" hidden="1">
      <c r="E231" s="201"/>
      <c r="F231" s="201"/>
    </row>
    <row r="232" spans="5:6" hidden="1">
      <c r="E232" s="201"/>
      <c r="F232" s="201"/>
    </row>
    <row r="233" spans="5:6" hidden="1">
      <c r="E233" s="201"/>
      <c r="F233" s="201"/>
    </row>
    <row r="234" spans="5:6" hidden="1">
      <c r="E234" s="201"/>
      <c r="F234" s="201"/>
    </row>
    <row r="235" spans="5:6" hidden="1">
      <c r="E235" s="201"/>
      <c r="F235" s="201"/>
    </row>
    <row r="236" spans="5:6" hidden="1">
      <c r="E236" s="201"/>
      <c r="F236" s="201"/>
    </row>
    <row r="237" spans="5:6" hidden="1">
      <c r="E237" s="201"/>
      <c r="F237" s="201"/>
    </row>
    <row r="238" spans="5:6" hidden="1">
      <c r="E238" s="201"/>
      <c r="F238" s="201"/>
    </row>
    <row r="239" spans="5:6" hidden="1">
      <c r="E239" s="201"/>
      <c r="F239" s="201"/>
    </row>
    <row r="240" spans="5:6" hidden="1">
      <c r="E240" s="201"/>
      <c r="F240" s="201"/>
    </row>
    <row r="241" spans="5:6" hidden="1">
      <c r="E241" s="201"/>
      <c r="F241" s="201"/>
    </row>
    <row r="242" spans="5:6" hidden="1">
      <c r="E242" s="201"/>
      <c r="F242" s="201"/>
    </row>
    <row r="243" spans="5:6" hidden="1">
      <c r="E243" s="201"/>
      <c r="F243" s="201"/>
    </row>
    <row r="244" spans="5:6" hidden="1">
      <c r="E244" s="201"/>
      <c r="F244" s="201"/>
    </row>
    <row r="245" spans="5:6" hidden="1">
      <c r="E245" s="201"/>
      <c r="F245" s="201"/>
    </row>
    <row r="246" spans="5:6"/>
    <row r="247" spans="5:6"/>
    <row r="248" spans="5:6"/>
  </sheetData>
  <sortState ref="A20:T26">
    <sortCondition ref="B20"/>
  </sortState>
  <mergeCells count="1">
    <mergeCell ref="D66:E66"/>
  </mergeCells>
  <phoneticPr fontId="37"/>
  <printOptions horizontalCentered="1"/>
  <pageMargins left="0.2" right="0.2" top="0.4" bottom="0.4" header="0.39000000000000007" footer="0.2"/>
  <pageSetup paperSize="9" scale="50" orientation="landscape"/>
  <headerFooter>
    <oddHeader>&amp;L&amp;C&amp;R</oddHeader>
    <oddFooter>&amp;L&amp;"Verdana,Regular"&amp;F-&amp;A_x000D_ICCA b.v. ©&amp;R&amp;"Verdana,Regular"printversie &amp;D</oddFooter>
  </headerFooter>
  <drawing r:id="rId1"/>
  <extLst>
    <ext xmlns:mx="http://schemas.microsoft.com/office/mac/excel/2008/main" uri="{64002731-A6B0-56B0-2670-7721B7C09600}">
      <mx:PLV Mode="0" OnePage="0" WScale="5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 enableFormatConditionsCalculation="0">
    <pageSetUpPr autoPageBreaks="0" fitToPage="1"/>
  </sheetPr>
  <dimension ref="C1:AB51"/>
  <sheetViews>
    <sheetView showGridLines="0" showZeros="0" showOutlineSymbols="0" topLeftCell="B1" zoomScaleSheetLayoutView="75" workbookViewId="0"/>
  </sheetViews>
  <sheetFormatPr baseColWidth="10" defaultColWidth="10.7109375" defaultRowHeight="13" x14ac:dyDescent="0"/>
  <cols>
    <col min="1" max="1" width="0" style="88" hidden="1" customWidth="1"/>
    <col min="2" max="2" width="2.28515625" style="88" customWidth="1"/>
    <col min="3" max="4" width="16.85546875" style="78" customWidth="1"/>
    <col min="5" max="5" width="12.42578125" style="83" customWidth="1"/>
    <col min="6" max="6" width="36.85546875" style="84" customWidth="1"/>
    <col min="7" max="7" width="19.140625" style="84" bestFit="1" customWidth="1"/>
    <col min="8" max="8" width="10.85546875" style="86" customWidth="1"/>
    <col min="9" max="9" width="11.7109375" style="86" customWidth="1"/>
    <col min="10" max="10" width="9.85546875" style="86" hidden="1" customWidth="1"/>
    <col min="11" max="11" width="11.85546875" style="87" customWidth="1"/>
    <col min="12" max="12" width="9.7109375" style="81" customWidth="1"/>
    <col min="13" max="13" width="9.28515625" style="81" customWidth="1"/>
    <col min="14" max="14" width="13.5703125" style="82" customWidth="1"/>
    <col min="15" max="15" width="16.7109375" style="82" customWidth="1"/>
    <col min="16" max="16" width="4.5703125" style="82" customWidth="1"/>
    <col min="17" max="17" width="13" style="82" customWidth="1"/>
    <col min="18" max="18" width="18.5703125" style="82" hidden="1" customWidth="1"/>
    <col min="19" max="19" width="12.28515625" style="82" hidden="1" customWidth="1"/>
    <col min="20" max="20" width="18.7109375" style="85" hidden="1" customWidth="1"/>
    <col min="21" max="21" width="6" style="78" hidden="1" customWidth="1"/>
    <col min="22" max="25" width="0" style="88" hidden="1" customWidth="1"/>
    <col min="26" max="26" width="15.5703125" style="89" hidden="1" customWidth="1"/>
    <col min="27" max="28" width="15.5703125" style="88" hidden="1" customWidth="1"/>
    <col min="29" max="16384" width="10.7109375" style="88"/>
  </cols>
  <sheetData>
    <row r="1" spans="3:26" s="71" customFormat="1">
      <c r="C1" s="63"/>
      <c r="D1" s="63"/>
      <c r="E1" s="63"/>
      <c r="F1" s="64"/>
      <c r="G1" s="64"/>
      <c r="H1" s="65"/>
      <c r="I1" s="65"/>
      <c r="J1" s="65"/>
      <c r="K1" s="66"/>
      <c r="L1" s="67"/>
      <c r="M1" s="67"/>
      <c r="N1" s="68"/>
      <c r="O1" s="68"/>
      <c r="P1" s="68"/>
      <c r="Q1" s="68"/>
      <c r="R1" s="68"/>
      <c r="S1" s="68"/>
      <c r="T1" s="69"/>
      <c r="U1" s="70"/>
      <c r="Z1" s="60"/>
    </row>
    <row r="2" spans="3:26" s="71" customFormat="1">
      <c r="C2" s="63"/>
      <c r="D2" s="63"/>
      <c r="E2" s="63"/>
      <c r="F2" s="64"/>
      <c r="G2" s="64"/>
      <c r="H2" s="65"/>
      <c r="I2" s="65"/>
      <c r="J2" s="65"/>
      <c r="K2" s="66"/>
      <c r="L2" s="67"/>
      <c r="M2" s="67"/>
      <c r="N2" s="68"/>
      <c r="O2" s="68"/>
      <c r="P2" s="68"/>
      <c r="Q2" s="68"/>
      <c r="R2" s="68"/>
      <c r="S2" s="68"/>
      <c r="T2" s="69"/>
      <c r="U2" s="70"/>
      <c r="Z2" s="60"/>
    </row>
    <row r="3" spans="3:26" s="33" customFormat="1" ht="16">
      <c r="C3" s="72" t="str">
        <f>'1.1a-Jaarprijzen'!B2</f>
        <v>Naam opdrachtgever</v>
      </c>
      <c r="D3" s="72"/>
      <c r="F3" s="30" t="str">
        <f>'1.1a-Jaarprijzen'!C2</f>
        <v>Stichting CPOW</v>
      </c>
      <c r="H3" s="65"/>
      <c r="I3" s="65"/>
      <c r="J3" s="65"/>
      <c r="K3" s="66"/>
      <c r="L3" s="74"/>
      <c r="M3" s="74"/>
      <c r="N3" s="75"/>
      <c r="O3" s="75"/>
      <c r="P3" s="75"/>
      <c r="Q3" s="75"/>
      <c r="R3" s="75"/>
      <c r="S3" s="75"/>
    </row>
    <row r="4" spans="3:26" s="33" customFormat="1" ht="16">
      <c r="C4" s="72" t="str">
        <f>'1.1a-Jaarprijzen'!B3</f>
        <v>Omschrijving blad</v>
      </c>
      <c r="D4" s="72"/>
      <c r="F4" s="72" t="s">
        <v>159</v>
      </c>
      <c r="G4" s="31"/>
      <c r="H4" s="65"/>
      <c r="I4" s="65"/>
      <c r="J4" s="65"/>
      <c r="K4" s="66"/>
      <c r="L4" s="74"/>
      <c r="M4" s="74"/>
      <c r="N4" s="75"/>
      <c r="O4" s="75"/>
      <c r="P4" s="75"/>
      <c r="Q4" s="75"/>
      <c r="R4" s="75"/>
      <c r="S4" s="75"/>
    </row>
    <row r="5" spans="3:26" s="33" customFormat="1" ht="16">
      <c r="C5" s="72" t="str">
        <f>'1.1a-Jaarprijzen'!B4</f>
        <v>Adres/plaats</v>
      </c>
      <c r="D5" s="72"/>
      <c r="F5" s="30" t="str">
        <f>'1.1a-Jaarprijzen'!C4</f>
        <v>Primair onderwijs Purmerend e.o.</v>
      </c>
      <c r="G5" s="77"/>
      <c r="H5" s="77"/>
      <c r="I5" s="77"/>
      <c r="J5" s="77"/>
      <c r="K5" s="74"/>
      <c r="L5" s="74"/>
      <c r="M5" s="74"/>
      <c r="N5" s="75"/>
      <c r="O5" s="75"/>
      <c r="P5" s="75"/>
      <c r="Q5" s="75"/>
      <c r="R5" s="75"/>
      <c r="S5" s="75"/>
    </row>
    <row r="6" spans="3:26" s="33" customFormat="1" ht="16">
      <c r="C6" s="72" t="str">
        <f>'1.1a-Jaarprijzen'!B5</f>
        <v>Besteknummer</v>
      </c>
      <c r="D6" s="72"/>
      <c r="F6" s="30" t="str">
        <f>'1.1a-Jaarprijzen'!C5</f>
        <v>0302-52-2015 V1</v>
      </c>
      <c r="G6" s="31"/>
      <c r="H6" s="73"/>
      <c r="I6" s="73"/>
      <c r="J6" s="73"/>
      <c r="K6" s="74"/>
      <c r="L6" s="74"/>
      <c r="M6" s="74"/>
      <c r="N6" s="75"/>
      <c r="O6" s="75"/>
      <c r="P6" s="75"/>
      <c r="Q6" s="75"/>
      <c r="R6" s="75"/>
      <c r="S6" s="75"/>
    </row>
    <row r="7" spans="3:26" s="33" customFormat="1" ht="16">
      <c r="C7" s="72" t="str">
        <f>'1.1a-Jaarprijzen'!B6</f>
        <v>Naam leverancier</v>
      </c>
      <c r="D7" s="72"/>
      <c r="F7" s="30" t="str">
        <f>'1.1a-Jaarprijzen'!C6</f>
        <v>[NAAM LEVERANCIER]</v>
      </c>
      <c r="G7" s="585">
        <f>Voorblad!$E$15</f>
        <v>42370</v>
      </c>
      <c r="H7" s="73"/>
      <c r="I7" s="73"/>
      <c r="J7" s="73"/>
      <c r="K7" s="74"/>
      <c r="L7" s="74"/>
      <c r="M7" s="74"/>
      <c r="N7" s="75"/>
      <c r="O7" s="75"/>
      <c r="P7" s="75"/>
      <c r="Q7" s="75"/>
      <c r="R7" s="75"/>
      <c r="S7" s="75"/>
    </row>
    <row r="8" spans="3:26" s="71" customFormat="1">
      <c r="C8" s="78"/>
      <c r="D8" s="78"/>
      <c r="E8" s="79"/>
      <c r="F8" s="80"/>
      <c r="G8" s="80"/>
      <c r="H8" s="65"/>
      <c r="I8" s="65"/>
      <c r="J8" s="65"/>
      <c r="K8" s="66"/>
      <c r="L8" s="67"/>
      <c r="M8" s="67"/>
      <c r="N8" s="68"/>
      <c r="O8" s="68"/>
      <c r="P8" s="68"/>
      <c r="Q8" s="68"/>
      <c r="R8" s="68"/>
      <c r="S8" s="68"/>
      <c r="T8" s="69"/>
      <c r="U8" s="70"/>
      <c r="Z8" s="60"/>
    </row>
    <row r="9" spans="3:26" s="61" customFormat="1" ht="39">
      <c r="C9" s="310" t="s">
        <v>341</v>
      </c>
      <c r="D9" s="310" t="s">
        <v>342</v>
      </c>
      <c r="E9" s="269" t="s">
        <v>38</v>
      </c>
      <c r="F9" s="311" t="s">
        <v>236</v>
      </c>
      <c r="G9" s="312" t="s">
        <v>128</v>
      </c>
      <c r="H9" s="313" t="s">
        <v>325</v>
      </c>
      <c r="I9" s="313" t="s">
        <v>324</v>
      </c>
      <c r="J9" s="313"/>
      <c r="K9" s="314" t="s">
        <v>16</v>
      </c>
      <c r="L9" s="315" t="s">
        <v>142</v>
      </c>
      <c r="M9" s="315" t="s">
        <v>80</v>
      </c>
      <c r="N9" s="316" t="s">
        <v>176</v>
      </c>
      <c r="O9" s="317" t="s">
        <v>83</v>
      </c>
      <c r="P9" s="317" t="s">
        <v>17</v>
      </c>
      <c r="Q9" s="426"/>
      <c r="R9" s="426"/>
    </row>
    <row r="10" spans="3:26" s="71" customFormat="1" hidden="1">
      <c r="C10" s="318">
        <v>0</v>
      </c>
      <c r="D10" s="318"/>
      <c r="E10" s="319">
        <v>0</v>
      </c>
      <c r="F10" s="320">
        <v>0</v>
      </c>
      <c r="G10" s="320">
        <v>0</v>
      </c>
      <c r="H10" s="331">
        <v>0</v>
      </c>
      <c r="I10" s="331">
        <v>0</v>
      </c>
      <c r="J10" s="331">
        <v>0</v>
      </c>
      <c r="K10" s="330">
        <v>0</v>
      </c>
      <c r="L10" s="331">
        <v>0</v>
      </c>
      <c r="M10" s="331"/>
      <c r="N10" s="332">
        <v>0</v>
      </c>
      <c r="O10" s="333"/>
      <c r="P10" s="309"/>
      <c r="U10" s="60"/>
    </row>
    <row r="11" spans="3:26" s="71" customFormat="1">
      <c r="C11" s="323">
        <v>1040</v>
      </c>
      <c r="D11" s="321">
        <v>101</v>
      </c>
      <c r="E11" s="321">
        <v>40</v>
      </c>
      <c r="F11" s="322" t="s">
        <v>404</v>
      </c>
      <c r="G11" s="441" t="s">
        <v>406</v>
      </c>
      <c r="H11" s="479"/>
      <c r="I11" s="557"/>
      <c r="J11" s="334"/>
      <c r="K11" s="553">
        <f t="shared" ref="K11:K30" si="0">IF(H11=0,0,E11/(H11+I11))</f>
        <v>0</v>
      </c>
      <c r="L11" s="335">
        <f>SUMIF('1.3-Basis ruimtestaat'!M:M,C11,'1.3-Basis ruimtestaat'!K:K)</f>
        <v>437.12335519594649</v>
      </c>
      <c r="M11" s="335">
        <f>SUMIF('1.3-Basis ruimtestaat'!M:M,C11,'1.3-Basis ruimtestaat'!L:L)</f>
        <v>0</v>
      </c>
      <c r="N11" s="336">
        <f t="shared" ref="N11:N20" si="1">IF(L11=0,"",L11/$L$35)</f>
        <v>6.222497644377082E-2</v>
      </c>
      <c r="O11" s="338"/>
      <c r="P11" s="157" t="s">
        <v>75</v>
      </c>
      <c r="U11" s="60"/>
    </row>
    <row r="12" spans="3:26" s="71" customFormat="1">
      <c r="C12" s="323">
        <v>2040</v>
      </c>
      <c r="D12" s="549">
        <v>102</v>
      </c>
      <c r="E12" s="321">
        <v>40</v>
      </c>
      <c r="F12" s="322" t="s">
        <v>635</v>
      </c>
      <c r="G12" s="551" t="s">
        <v>406</v>
      </c>
      <c r="H12" s="557"/>
      <c r="I12" s="557"/>
      <c r="J12" s="334"/>
      <c r="K12" s="553">
        <f t="shared" si="0"/>
        <v>0</v>
      </c>
      <c r="L12" s="554">
        <f>SUMIF('1.3-Basis ruimtestaat'!M:M,C12,'1.3-Basis ruimtestaat'!K:K)</f>
        <v>19.749544053565735</v>
      </c>
      <c r="M12" s="554">
        <f>SUMIF('1.3-Basis ruimtestaat'!M:M,C12,'1.3-Basis ruimtestaat'!L:L)</f>
        <v>0</v>
      </c>
      <c r="N12" s="555">
        <f t="shared" si="1"/>
        <v>2.8113686878100215E-3</v>
      </c>
      <c r="O12" s="338"/>
      <c r="P12" s="157" t="s">
        <v>75</v>
      </c>
      <c r="U12" s="60"/>
    </row>
    <row r="13" spans="3:26" s="71" customFormat="1">
      <c r="C13" s="323">
        <v>2200</v>
      </c>
      <c r="D13" s="321">
        <v>102</v>
      </c>
      <c r="E13" s="321">
        <v>200</v>
      </c>
      <c r="F13" s="550" t="s">
        <v>635</v>
      </c>
      <c r="G13" s="441" t="s">
        <v>405</v>
      </c>
      <c r="H13" s="557"/>
      <c r="I13" s="557"/>
      <c r="J13" s="334"/>
      <c r="K13" s="553">
        <f t="shared" si="0"/>
        <v>0</v>
      </c>
      <c r="L13" s="554">
        <f>SUMIF('1.3-Basis ruimtestaat'!M:M,C13,'1.3-Basis ruimtestaat'!K:K)</f>
        <v>612.05820387155995</v>
      </c>
      <c r="M13" s="554">
        <f>SUMIF('1.3-Basis ruimtestaat'!M:M,C13,'1.3-Basis ruimtestaat'!L:L)</f>
        <v>0</v>
      </c>
      <c r="N13" s="555">
        <f t="shared" si="1"/>
        <v>8.7127138976713425E-2</v>
      </c>
      <c r="O13" s="338"/>
      <c r="P13" s="157" t="s">
        <v>75</v>
      </c>
      <c r="U13" s="60"/>
    </row>
    <row r="14" spans="3:26" s="71" customFormat="1">
      <c r="C14" s="323">
        <v>3040</v>
      </c>
      <c r="D14" s="549">
        <v>103</v>
      </c>
      <c r="E14" s="321">
        <v>40</v>
      </c>
      <c r="F14" s="322" t="s">
        <v>655</v>
      </c>
      <c r="G14" s="441" t="s">
        <v>406</v>
      </c>
      <c r="H14" s="557"/>
      <c r="I14" s="557"/>
      <c r="J14" s="334"/>
      <c r="K14" s="553">
        <f t="shared" si="0"/>
        <v>0</v>
      </c>
      <c r="L14" s="554">
        <f>SUMIF('1.3-Basis ruimtestaat'!M:M,C14,'1.3-Basis ruimtestaat'!K:K)</f>
        <v>4.74</v>
      </c>
      <c r="M14" s="554">
        <f>SUMIF('1.3-Basis ruimtestaat'!M:M,C14,'1.3-Basis ruimtestaat'!L:L)</f>
        <v>0</v>
      </c>
      <c r="N14" s="555">
        <f t="shared" si="1"/>
        <v>6.7474406214524957E-4</v>
      </c>
      <c r="O14" s="556"/>
      <c r="P14" s="157" t="s">
        <v>75</v>
      </c>
      <c r="U14" s="60"/>
    </row>
    <row r="15" spans="3:26" s="71" customFormat="1">
      <c r="C15" s="323">
        <v>3200</v>
      </c>
      <c r="D15" s="549">
        <v>103</v>
      </c>
      <c r="E15" s="321">
        <v>200</v>
      </c>
      <c r="F15" s="550" t="s">
        <v>655</v>
      </c>
      <c r="G15" s="441" t="s">
        <v>405</v>
      </c>
      <c r="H15" s="557"/>
      <c r="I15" s="557"/>
      <c r="J15" s="334"/>
      <c r="K15" s="553">
        <f t="shared" si="0"/>
        <v>0</v>
      </c>
      <c r="L15" s="554">
        <f>SUMIF('1.3-Basis ruimtestaat'!M:M,C15,'1.3-Basis ruimtestaat'!K:K)</f>
        <v>1382.7273029136543</v>
      </c>
      <c r="M15" s="554">
        <f>SUMIF('1.3-Basis ruimtestaat'!M:M,C15,'1.3-Basis ruimtestaat'!L:L)</f>
        <v>0</v>
      </c>
      <c r="N15" s="555">
        <f t="shared" si="1"/>
        <v>0.19683270827154092</v>
      </c>
      <c r="O15" s="338"/>
      <c r="P15" s="157" t="s">
        <v>75</v>
      </c>
      <c r="U15" s="60"/>
    </row>
    <row r="16" spans="3:26" s="71" customFormat="1">
      <c r="C16" s="323">
        <v>4040</v>
      </c>
      <c r="D16" s="321">
        <v>104</v>
      </c>
      <c r="E16" s="321">
        <v>40</v>
      </c>
      <c r="F16" s="322" t="s">
        <v>408</v>
      </c>
      <c r="G16" s="441" t="s">
        <v>406</v>
      </c>
      <c r="H16" s="557"/>
      <c r="I16" s="557"/>
      <c r="J16" s="334"/>
      <c r="K16" s="553">
        <f t="shared" si="0"/>
        <v>0</v>
      </c>
      <c r="L16" s="554">
        <f>SUMIF('1.3-Basis ruimtestaat'!M:M,C16,'1.3-Basis ruimtestaat'!K:K)</f>
        <v>0</v>
      </c>
      <c r="M16" s="554">
        <f>SUMIF('1.3-Basis ruimtestaat'!M:M,C16,'1.3-Basis ruimtestaat'!L:L)</f>
        <v>0</v>
      </c>
      <c r="N16" s="555" t="str">
        <f t="shared" si="1"/>
        <v/>
      </c>
      <c r="O16" s="556"/>
      <c r="P16" s="157" t="s">
        <v>318</v>
      </c>
      <c r="U16" s="60"/>
    </row>
    <row r="17" spans="3:26" s="71" customFormat="1">
      <c r="C17" s="323">
        <v>4200</v>
      </c>
      <c r="D17" s="549">
        <v>104</v>
      </c>
      <c r="E17" s="321">
        <v>200</v>
      </c>
      <c r="F17" s="322" t="s">
        <v>408</v>
      </c>
      <c r="G17" s="441" t="s">
        <v>405</v>
      </c>
      <c r="H17" s="557"/>
      <c r="I17" s="557"/>
      <c r="J17" s="334"/>
      <c r="K17" s="553">
        <f t="shared" si="0"/>
        <v>0</v>
      </c>
      <c r="L17" s="554">
        <f>SUMIF('1.3-Basis ruimtestaat'!M:M,C17,'1.3-Basis ruimtestaat'!K:K)</f>
        <v>289.01548271569777</v>
      </c>
      <c r="M17" s="554">
        <f>SUMIF('1.3-Basis ruimtestaat'!M:M,C17,'1.3-Basis ruimtestaat'!L:L)</f>
        <v>0</v>
      </c>
      <c r="N17" s="555">
        <f t="shared" si="1"/>
        <v>4.1141662622459926E-2</v>
      </c>
      <c r="O17" s="338"/>
      <c r="P17" s="157" t="s">
        <v>318</v>
      </c>
      <c r="U17" s="60"/>
    </row>
    <row r="18" spans="3:26" s="71" customFormat="1">
      <c r="C18" s="323">
        <v>4255</v>
      </c>
      <c r="D18" s="549">
        <v>104</v>
      </c>
      <c r="E18" s="321">
        <v>255</v>
      </c>
      <c r="F18" s="322" t="s">
        <v>408</v>
      </c>
      <c r="G18" s="441" t="s">
        <v>407</v>
      </c>
      <c r="H18" s="557"/>
      <c r="I18" s="557"/>
      <c r="J18" s="334"/>
      <c r="K18" s="553">
        <f t="shared" si="0"/>
        <v>0</v>
      </c>
      <c r="L18" s="554">
        <f>SUMIF('1.3-Basis ruimtestaat'!M:M,C18,'1.3-Basis ruimtestaat'!K:K)</f>
        <v>0</v>
      </c>
      <c r="M18" s="554">
        <f>SUMIF('1.3-Basis ruimtestaat'!M:M,C18,'1.3-Basis ruimtestaat'!L:L)</f>
        <v>0</v>
      </c>
      <c r="N18" s="555" t="str">
        <f t="shared" si="1"/>
        <v/>
      </c>
      <c r="O18" s="556"/>
      <c r="P18" s="157" t="s">
        <v>318</v>
      </c>
      <c r="U18" s="60"/>
    </row>
    <row r="19" spans="3:26" s="71" customFormat="1">
      <c r="C19" s="323">
        <v>5040</v>
      </c>
      <c r="D19" s="321">
        <v>105</v>
      </c>
      <c r="E19" s="321">
        <v>40</v>
      </c>
      <c r="F19" s="322" t="s">
        <v>409</v>
      </c>
      <c r="G19" s="441" t="s">
        <v>406</v>
      </c>
      <c r="H19" s="557"/>
      <c r="I19" s="557"/>
      <c r="J19" s="334"/>
      <c r="K19" s="553">
        <f t="shared" si="0"/>
        <v>0</v>
      </c>
      <c r="L19" s="554">
        <f>SUMIF('1.3-Basis ruimtestaat'!M:M,C19,'1.3-Basis ruimtestaat'!K:K)</f>
        <v>0</v>
      </c>
      <c r="M19" s="554">
        <f>SUMIF('1.3-Basis ruimtestaat'!M:M,C19,'1.3-Basis ruimtestaat'!L:L)</f>
        <v>0</v>
      </c>
      <c r="N19" s="555" t="str">
        <f t="shared" si="1"/>
        <v/>
      </c>
      <c r="O19" s="556"/>
      <c r="P19" s="157" t="s">
        <v>75</v>
      </c>
      <c r="U19" s="60"/>
    </row>
    <row r="20" spans="3:26" s="71" customFormat="1">
      <c r="C20" s="323">
        <v>5200</v>
      </c>
      <c r="D20" s="549">
        <v>105</v>
      </c>
      <c r="E20" s="321">
        <v>200</v>
      </c>
      <c r="F20" s="322" t="s">
        <v>409</v>
      </c>
      <c r="G20" s="441" t="s">
        <v>405</v>
      </c>
      <c r="H20" s="557"/>
      <c r="I20" s="557"/>
      <c r="J20" s="334"/>
      <c r="K20" s="553">
        <f t="shared" si="0"/>
        <v>0</v>
      </c>
      <c r="L20" s="554">
        <f>SUMIF('1.3-Basis ruimtestaat'!M:M,C20,'1.3-Basis ruimtestaat'!K:K)</f>
        <v>23.756057631962491</v>
      </c>
      <c r="M20" s="554">
        <f>SUMIF('1.3-Basis ruimtestaat'!M:M,C20,'1.3-Basis ruimtestaat'!L:L)</f>
        <v>0</v>
      </c>
      <c r="N20" s="555">
        <f t="shared" si="1"/>
        <v>3.3817001745035922E-3</v>
      </c>
      <c r="O20" s="338"/>
      <c r="P20" s="157" t="s">
        <v>75</v>
      </c>
      <c r="U20" s="60"/>
    </row>
    <row r="21" spans="3:26" s="71" customFormat="1">
      <c r="C21" s="548">
        <v>6040</v>
      </c>
      <c r="D21" s="549">
        <v>106</v>
      </c>
      <c r="E21" s="549">
        <v>40</v>
      </c>
      <c r="F21" s="550" t="s">
        <v>410</v>
      </c>
      <c r="G21" s="551" t="s">
        <v>406</v>
      </c>
      <c r="H21" s="557"/>
      <c r="I21" s="557"/>
      <c r="J21" s="552"/>
      <c r="K21" s="553">
        <f t="shared" ref="K21" si="2">IF(H21=0,0,E21/(H21+I21))</f>
        <v>0</v>
      </c>
      <c r="L21" s="554">
        <f>SUMIF('1.3-Basis ruimtestaat'!M:M,C21,'1.3-Basis ruimtestaat'!K:K)</f>
        <v>0</v>
      </c>
      <c r="M21" s="554">
        <f>SUMIF('1.3-Basis ruimtestaat'!M:M,C21,'1.3-Basis ruimtestaat'!L:L)</f>
        <v>0</v>
      </c>
      <c r="N21" s="555" t="str">
        <f t="shared" ref="N21" si="3">IF(L21=0,"",L21/$L$35)</f>
        <v/>
      </c>
      <c r="O21" s="556"/>
      <c r="P21" s="157" t="s">
        <v>319</v>
      </c>
      <c r="U21" s="60"/>
    </row>
    <row r="22" spans="3:26" s="71" customFormat="1">
      <c r="C22" s="323">
        <v>6200</v>
      </c>
      <c r="D22" s="549">
        <v>106</v>
      </c>
      <c r="E22" s="321">
        <v>200</v>
      </c>
      <c r="F22" s="322" t="s">
        <v>410</v>
      </c>
      <c r="G22" s="441" t="s">
        <v>405</v>
      </c>
      <c r="H22" s="557"/>
      <c r="I22" s="557"/>
      <c r="J22" s="334"/>
      <c r="K22" s="553">
        <f t="shared" si="0"/>
        <v>0</v>
      </c>
      <c r="L22" s="554">
        <f>SUMIF('1.3-Basis ruimtestaat'!M:M,C22,'1.3-Basis ruimtestaat'!K:K)</f>
        <v>606.13554983690938</v>
      </c>
      <c r="M22" s="554">
        <f>SUMIF('1.3-Basis ruimtestaat'!M:M,C22,'1.3-Basis ruimtestaat'!L:L)</f>
        <v>0</v>
      </c>
      <c r="N22" s="555">
        <f t="shared" ref="N22:N28" si="4">IF(L22=0,"",L22/$L$35)</f>
        <v>8.6284042849704756E-2</v>
      </c>
      <c r="O22" s="338"/>
      <c r="P22" s="157" t="s">
        <v>319</v>
      </c>
      <c r="U22" s="60"/>
    </row>
    <row r="23" spans="3:26" s="71" customFormat="1">
      <c r="C23" s="323">
        <v>7040</v>
      </c>
      <c r="D23" s="321">
        <v>107</v>
      </c>
      <c r="E23" s="321">
        <v>40</v>
      </c>
      <c r="F23" s="322" t="s">
        <v>320</v>
      </c>
      <c r="G23" s="441" t="s">
        <v>406</v>
      </c>
      <c r="H23" s="557"/>
      <c r="I23" s="557"/>
      <c r="J23" s="334"/>
      <c r="K23" s="553">
        <f t="shared" si="0"/>
        <v>0</v>
      </c>
      <c r="L23" s="554">
        <f>SUMIF('1.3-Basis ruimtestaat'!M:M,C23,'1.3-Basis ruimtestaat'!K:K)</f>
        <v>0</v>
      </c>
      <c r="M23" s="554">
        <f>SUMIF('1.3-Basis ruimtestaat'!M:M,C23,'1.3-Basis ruimtestaat'!L:L)</f>
        <v>0</v>
      </c>
      <c r="N23" s="555" t="str">
        <f t="shared" si="4"/>
        <v/>
      </c>
      <c r="O23" s="338"/>
      <c r="P23" s="157" t="s">
        <v>319</v>
      </c>
      <c r="U23" s="60"/>
    </row>
    <row r="24" spans="3:26" s="71" customFormat="1">
      <c r="C24" s="323">
        <v>7200</v>
      </c>
      <c r="D24" s="549">
        <v>107</v>
      </c>
      <c r="E24" s="321">
        <v>200</v>
      </c>
      <c r="F24" s="322" t="s">
        <v>320</v>
      </c>
      <c r="G24" s="441" t="s">
        <v>405</v>
      </c>
      <c r="H24" s="557"/>
      <c r="I24" s="557"/>
      <c r="J24" s="334"/>
      <c r="K24" s="553">
        <f t="shared" si="0"/>
        <v>0</v>
      </c>
      <c r="L24" s="554">
        <f>SUMIF('1.3-Basis ruimtestaat'!M:M,C24,'1.3-Basis ruimtestaat'!K:K)</f>
        <v>2984.6514991230806</v>
      </c>
      <c r="M24" s="554">
        <f>SUMIF('1.3-Basis ruimtestaat'!M:M,C24,'1.3-Basis ruimtestaat'!L:L)</f>
        <v>0</v>
      </c>
      <c r="N24" s="555">
        <f t="shared" si="4"/>
        <v>0.42486832839793587</v>
      </c>
      <c r="O24" s="338"/>
      <c r="P24" s="157" t="s">
        <v>319</v>
      </c>
      <c r="U24" s="60"/>
    </row>
    <row r="25" spans="3:26" s="71" customFormat="1">
      <c r="C25" s="323">
        <v>8005</v>
      </c>
      <c r="D25" s="321">
        <v>108</v>
      </c>
      <c r="E25" s="321">
        <v>5</v>
      </c>
      <c r="F25" s="322" t="s">
        <v>468</v>
      </c>
      <c r="G25" s="441" t="s">
        <v>466</v>
      </c>
      <c r="H25" s="557"/>
      <c r="I25" s="557"/>
      <c r="J25" s="334"/>
      <c r="K25" s="553">
        <f t="shared" si="0"/>
        <v>0</v>
      </c>
      <c r="L25" s="554">
        <f>SUMIF('1.3-Basis ruimtestaat'!M:M,C25,'1.3-Basis ruimtestaat'!K:K)</f>
        <v>44.133143954494201</v>
      </c>
      <c r="M25" s="554">
        <f>SUMIF('1.3-Basis ruimtestaat'!M:M,C25,'1.3-Basis ruimtestaat'!L:L)</f>
        <v>0</v>
      </c>
      <c r="N25" s="555">
        <f t="shared" si="4"/>
        <v>6.2824001744929275E-3</v>
      </c>
      <c r="O25" s="556"/>
      <c r="P25" s="157" t="s">
        <v>319</v>
      </c>
      <c r="U25" s="60"/>
    </row>
    <row r="26" spans="3:26" s="71" customFormat="1">
      <c r="C26" s="548">
        <v>8160</v>
      </c>
      <c r="D26" s="549">
        <v>108</v>
      </c>
      <c r="E26" s="549">
        <v>160</v>
      </c>
      <c r="F26" s="550" t="s">
        <v>411</v>
      </c>
      <c r="G26" s="551" t="s">
        <v>467</v>
      </c>
      <c r="H26" s="557"/>
      <c r="I26" s="557"/>
      <c r="J26" s="552"/>
      <c r="K26" s="553">
        <f t="shared" si="0"/>
        <v>0</v>
      </c>
      <c r="L26" s="554">
        <f>SUMIF('1.3-Basis ruimtestaat'!M:M,C26,'1.3-Basis ruimtestaat'!K:K)</f>
        <v>0</v>
      </c>
      <c r="M26" s="554">
        <f>SUMIF('1.3-Basis ruimtestaat'!M:M,C26,'1.3-Basis ruimtestaat'!L:L)</f>
        <v>0</v>
      </c>
      <c r="N26" s="555" t="str">
        <f t="shared" si="4"/>
        <v/>
      </c>
      <c r="O26" s="556"/>
      <c r="P26" s="157" t="s">
        <v>319</v>
      </c>
      <c r="U26" s="60"/>
    </row>
    <row r="27" spans="3:26" s="71" customFormat="1">
      <c r="C27" s="323">
        <v>8200</v>
      </c>
      <c r="D27" s="549">
        <v>108</v>
      </c>
      <c r="E27" s="321">
        <v>200</v>
      </c>
      <c r="F27" s="550" t="s">
        <v>411</v>
      </c>
      <c r="G27" s="441" t="s">
        <v>405</v>
      </c>
      <c r="H27" s="557"/>
      <c r="I27" s="557"/>
      <c r="J27" s="334"/>
      <c r="K27" s="553">
        <f t="shared" si="0"/>
        <v>0</v>
      </c>
      <c r="L27" s="554">
        <f>SUMIF('1.3-Basis ruimtestaat'!M:M,C27,'1.3-Basis ruimtestaat'!K:K)</f>
        <v>620.79568916061567</v>
      </c>
      <c r="M27" s="554">
        <f>SUMIF('1.3-Basis ruimtestaat'!M:M,C27,'1.3-Basis ruimtestaat'!L:L)</f>
        <v>0</v>
      </c>
      <c r="N27" s="555">
        <f t="shared" si="4"/>
        <v>8.8370929338922669E-2</v>
      </c>
      <c r="O27" s="338"/>
      <c r="P27" s="157" t="s">
        <v>319</v>
      </c>
      <c r="U27" s="60"/>
    </row>
    <row r="28" spans="3:26" s="71" customFormat="1">
      <c r="C28" s="323">
        <v>8251</v>
      </c>
      <c r="D28" s="549">
        <v>108</v>
      </c>
      <c r="E28" s="321">
        <v>251</v>
      </c>
      <c r="F28" s="322" t="s">
        <v>411</v>
      </c>
      <c r="G28" s="441" t="s">
        <v>407</v>
      </c>
      <c r="H28" s="557"/>
      <c r="I28" s="557"/>
      <c r="J28" s="334"/>
      <c r="K28" s="553">
        <f t="shared" si="0"/>
        <v>0</v>
      </c>
      <c r="L28" s="554">
        <f>SUMIF('1.3-Basis ruimtestaat'!M:M,C28,'1.3-Basis ruimtestaat'!K:K)</f>
        <v>0</v>
      </c>
      <c r="M28" s="554">
        <f>SUMIF('1.3-Basis ruimtestaat'!M:M,C28,'1.3-Basis ruimtestaat'!L:L)</f>
        <v>0</v>
      </c>
      <c r="N28" s="555" t="str">
        <f t="shared" si="4"/>
        <v/>
      </c>
      <c r="O28" s="338"/>
      <c r="P28" s="157" t="s">
        <v>319</v>
      </c>
      <c r="U28" s="60"/>
    </row>
    <row r="29" spans="3:26" s="71" customFormat="1">
      <c r="C29" s="548">
        <v>9200</v>
      </c>
      <c r="D29" s="549">
        <v>109</v>
      </c>
      <c r="E29" s="549">
        <v>200</v>
      </c>
      <c r="F29" s="550" t="s">
        <v>377</v>
      </c>
      <c r="G29" s="551" t="s">
        <v>405</v>
      </c>
      <c r="H29" s="557"/>
      <c r="I29" s="557"/>
      <c r="J29" s="552"/>
      <c r="K29" s="553">
        <f t="shared" si="0"/>
        <v>0</v>
      </c>
      <c r="L29" s="554">
        <f>SUMIF('1.3-Basis ruimtestaat'!M:M,C29,'1.3-Basis ruimtestaat'!K:K)</f>
        <v>0</v>
      </c>
      <c r="M29" s="554">
        <f>SUMIF('1.3-Basis ruimtestaat'!M:M,C29,'1.3-Basis ruimtestaat'!L:L)</f>
        <v>0</v>
      </c>
      <c r="N29" s="555" t="str">
        <f t="shared" ref="N29" si="5">IF(L29=0,"",L29/$L$35)</f>
        <v/>
      </c>
      <c r="O29" s="556"/>
      <c r="P29" s="157" t="s">
        <v>75</v>
      </c>
      <c r="U29" s="60"/>
    </row>
    <row r="30" spans="3:26" s="71" customFormat="1">
      <c r="C30" s="548">
        <v>10200</v>
      </c>
      <c r="D30" s="549">
        <v>110</v>
      </c>
      <c r="E30" s="549">
        <v>200</v>
      </c>
      <c r="F30" s="550" t="s">
        <v>376</v>
      </c>
      <c r="G30" s="551" t="s">
        <v>405</v>
      </c>
      <c r="H30" s="557"/>
      <c r="I30" s="557"/>
      <c r="J30" s="552"/>
      <c r="K30" s="553">
        <f t="shared" si="0"/>
        <v>0</v>
      </c>
      <c r="L30" s="554">
        <f>SUMIF('1.3-Basis ruimtestaat'!M:M,C30,'1.3-Basis ruimtestaat'!K:K)</f>
        <v>0</v>
      </c>
      <c r="M30" s="554">
        <f>SUMIF('1.3-Basis ruimtestaat'!M:M,C30,'1.3-Basis ruimtestaat'!L:L)</f>
        <v>0</v>
      </c>
      <c r="N30" s="555" t="str">
        <f>IF(L30=0,"",L30/$L$35)</f>
        <v/>
      </c>
      <c r="O30" s="556"/>
      <c r="P30" s="157" t="s">
        <v>75</v>
      </c>
      <c r="U30" s="60"/>
    </row>
    <row r="31" spans="3:26">
      <c r="C31" s="323" t="s">
        <v>27</v>
      </c>
      <c r="D31" s="321"/>
      <c r="E31" s="321"/>
      <c r="F31" s="322" t="s">
        <v>412</v>
      </c>
      <c r="G31" s="441"/>
      <c r="H31" s="328"/>
      <c r="I31" s="328"/>
      <c r="J31" s="334"/>
      <c r="K31" s="553"/>
      <c r="L31" s="554">
        <f>SUMIF('1.3-Basis ruimtestaat'!M:M,C31,'1.3-Basis ruimtestaat'!K:K)</f>
        <v>0</v>
      </c>
      <c r="M31" s="554">
        <f>SUMIF('1.3-Basis ruimtestaat'!M:M,C31,'1.3-Basis ruimtestaat'!L:L)</f>
        <v>324.33543532868919</v>
      </c>
      <c r="N31" s="555" t="str">
        <f>IF(L31=0,"",L31/$L$35)</f>
        <v/>
      </c>
      <c r="O31" s="338"/>
      <c r="P31" s="157"/>
      <c r="Q31" s="71"/>
      <c r="R31" s="88"/>
      <c r="S31" s="88"/>
      <c r="T31" s="88"/>
      <c r="U31" s="89"/>
      <c r="Z31" s="88"/>
    </row>
    <row r="32" spans="3:26">
      <c r="C32" s="324" t="s">
        <v>222</v>
      </c>
      <c r="D32" s="324"/>
      <c r="E32" s="325"/>
      <c r="F32" s="326" t="s">
        <v>413</v>
      </c>
      <c r="G32" s="327"/>
      <c r="H32" s="328"/>
      <c r="I32" s="328"/>
      <c r="J32" s="329">
        <v>0</v>
      </c>
      <c r="K32" s="337"/>
      <c r="L32" s="335">
        <f>SUMIF('1.3-Basis ruimtestaat'!M:M,C32,'1.3-Basis ruimtestaat'!K:K)</f>
        <v>0</v>
      </c>
      <c r="M32" s="335">
        <f>SUMIF('1.3-Basis ruimtestaat'!M:M,C32,'1.3-Basis ruimtestaat'!L:L)</f>
        <v>0</v>
      </c>
      <c r="N32" s="336" t="str">
        <f>IF(L32=0,"",L32/$L$35)</f>
        <v/>
      </c>
      <c r="O32" s="338"/>
      <c r="P32" s="157"/>
      <c r="Q32" s="88"/>
      <c r="R32" s="88"/>
      <c r="S32" s="88"/>
      <c r="T32" s="88"/>
      <c r="U32" s="89"/>
      <c r="Z32" s="88"/>
    </row>
    <row r="33" spans="3:26">
      <c r="C33" s="324" t="s">
        <v>460</v>
      </c>
      <c r="D33" s="324"/>
      <c r="E33" s="325"/>
      <c r="F33" s="326" t="s">
        <v>461</v>
      </c>
      <c r="G33" s="327"/>
      <c r="H33" s="328"/>
      <c r="I33" s="328"/>
      <c r="J33" s="329">
        <v>0</v>
      </c>
      <c r="K33" s="337"/>
      <c r="L33" s="335">
        <f>SUMIF('1.3-Basis ruimtestaat'!M:M,C33,'1.3-Basis ruimtestaat'!K:K)</f>
        <v>0</v>
      </c>
      <c r="M33" s="335">
        <f>SUMIF('1.3-Basis ruimtestaat'!M:M,C33,'1.3-Basis ruimtestaat'!L:L)</f>
        <v>123.88184784549392</v>
      </c>
      <c r="N33" s="336" t="str">
        <f>IF(L33=0,"",L33/$L$35)</f>
        <v/>
      </c>
      <c r="O33" s="338"/>
      <c r="P33" s="157"/>
      <c r="Q33" s="88"/>
      <c r="R33" s="211">
        <f>SUM(Meters)</f>
        <v>7024.8858284574844</v>
      </c>
      <c r="S33" s="88"/>
      <c r="T33" s="88"/>
      <c r="U33" s="89"/>
      <c r="Z33" s="88"/>
    </row>
    <row r="34" spans="3:26" ht="23" customHeight="1">
      <c r="E34" s="63"/>
      <c r="F34" s="64"/>
      <c r="G34" s="69"/>
      <c r="H34" s="65"/>
      <c r="I34" s="65"/>
      <c r="J34" s="65"/>
      <c r="K34" s="65"/>
      <c r="O34" s="69"/>
      <c r="P34" s="70"/>
      <c r="Q34" s="88"/>
      <c r="R34" s="212">
        <f>R33-L35</f>
        <v>0</v>
      </c>
      <c r="S34" s="213" t="s">
        <v>244</v>
      </c>
      <c r="T34" s="88"/>
      <c r="U34" s="89"/>
      <c r="Z34" s="88"/>
    </row>
    <row r="35" spans="3:26">
      <c r="C35" s="339" t="s">
        <v>32</v>
      </c>
      <c r="D35" s="475"/>
      <c r="E35" s="63"/>
      <c r="F35" s="64"/>
      <c r="G35" s="69"/>
      <c r="H35" s="65"/>
      <c r="I35" s="65"/>
      <c r="J35" s="65"/>
      <c r="K35" s="417"/>
      <c r="L35" s="418">
        <f>SUM(L11:L33)</f>
        <v>7024.8858284574853</v>
      </c>
      <c r="M35" s="418">
        <f>SUM(M11:M33)</f>
        <v>448.21728317418308</v>
      </c>
      <c r="N35" s="419">
        <f>SUM(N10:N33)</f>
        <v>1.0000000000000002</v>
      </c>
      <c r="O35" s="69"/>
      <c r="P35" s="70"/>
      <c r="Q35" s="88"/>
      <c r="R35" s="88"/>
      <c r="S35" s="88"/>
      <c r="T35" s="88"/>
      <c r="U35" s="89"/>
      <c r="Z35" s="88"/>
    </row>
    <row r="36" spans="3:26">
      <c r="E36" s="63"/>
      <c r="F36" s="64"/>
      <c r="G36" s="69"/>
      <c r="H36" s="65"/>
      <c r="I36" s="65"/>
      <c r="J36" s="65"/>
      <c r="K36" s="66"/>
      <c r="O36" s="69"/>
      <c r="P36" s="70"/>
      <c r="Q36" s="88"/>
      <c r="R36" s="88"/>
      <c r="S36" s="88"/>
      <c r="T36" s="88"/>
      <c r="U36" s="89"/>
      <c r="Z36" s="88"/>
    </row>
    <row r="37" spans="3:26">
      <c r="G37" s="85"/>
      <c r="O37" s="85"/>
      <c r="P37" s="78"/>
      <c r="Q37" s="88"/>
    </row>
    <row r="38" spans="3:26">
      <c r="C38" s="90" t="s">
        <v>220</v>
      </c>
      <c r="D38" s="90"/>
      <c r="E38" s="91"/>
      <c r="F38" s="91"/>
      <c r="G38" s="85"/>
    </row>
    <row r="39" spans="3:26">
      <c r="C39" s="91" t="s">
        <v>49</v>
      </c>
      <c r="D39" s="91"/>
      <c r="E39" s="91" t="s">
        <v>53</v>
      </c>
      <c r="G39" s="85"/>
    </row>
    <row r="40" spans="3:26">
      <c r="C40" s="91" t="s">
        <v>67</v>
      </c>
      <c r="D40" s="91"/>
      <c r="E40" s="91" t="s">
        <v>22</v>
      </c>
      <c r="G40" s="85"/>
      <c r="O40" s="82">
        <f>'1.1a-Jaarprijzen'!P50</f>
        <v>0</v>
      </c>
    </row>
    <row r="41" spans="3:26">
      <c r="C41" s="91" t="s">
        <v>126</v>
      </c>
      <c r="D41" s="91"/>
      <c r="E41" s="91" t="s">
        <v>141</v>
      </c>
      <c r="G41" s="85"/>
    </row>
    <row r="42" spans="3:26">
      <c r="C42" s="91" t="s">
        <v>74</v>
      </c>
      <c r="D42" s="91"/>
      <c r="E42" s="91" t="s">
        <v>174</v>
      </c>
      <c r="G42" s="85"/>
    </row>
    <row r="43" spans="3:26">
      <c r="C43" s="91" t="s">
        <v>61</v>
      </c>
      <c r="D43" s="91"/>
      <c r="E43" s="91" t="s">
        <v>205</v>
      </c>
      <c r="G43" s="85"/>
    </row>
    <row r="44" spans="3:26">
      <c r="C44" s="91" t="s">
        <v>71</v>
      </c>
      <c r="D44" s="91"/>
      <c r="E44" s="91" t="s">
        <v>223</v>
      </c>
    </row>
    <row r="45" spans="3:26">
      <c r="C45" s="91" t="s">
        <v>279</v>
      </c>
      <c r="D45" s="91"/>
      <c r="E45" s="91" t="s">
        <v>281</v>
      </c>
      <c r="G45" s="85"/>
    </row>
    <row r="46" spans="3:26">
      <c r="C46" s="91" t="s">
        <v>280</v>
      </c>
      <c r="D46" s="91"/>
      <c r="E46" s="91" t="s">
        <v>282</v>
      </c>
      <c r="G46" s="85"/>
    </row>
    <row r="47" spans="3:26">
      <c r="C47" s="91" t="s">
        <v>283</v>
      </c>
      <c r="D47" s="91"/>
      <c r="E47" s="91" t="s">
        <v>308</v>
      </c>
    </row>
    <row r="48" spans="3:26">
      <c r="C48" s="91" t="s">
        <v>284</v>
      </c>
      <c r="D48" s="91"/>
      <c r="E48" s="91" t="s">
        <v>285</v>
      </c>
    </row>
    <row r="49" spans="3:8">
      <c r="C49" s="91" t="s">
        <v>169</v>
      </c>
      <c r="D49" s="91"/>
      <c r="E49" s="91" t="s">
        <v>619</v>
      </c>
    </row>
    <row r="51" spans="3:8">
      <c r="G51"/>
      <c r="H51"/>
    </row>
  </sheetData>
  <autoFilter ref="C9:P9"/>
  <sortState ref="C11:AB31">
    <sortCondition ref="C11"/>
  </sortState>
  <phoneticPr fontId="9"/>
  <conditionalFormatting sqref="H13:I30">
    <cfRule type="cellIs" dxfId="124" priority="216" stopIfTrue="1" operator="lessThanOrEqual">
      <formula>0</formula>
    </cfRule>
  </conditionalFormatting>
  <conditionalFormatting sqref="H11">
    <cfRule type="cellIs" dxfId="123" priority="206" stopIfTrue="1" operator="lessThanOrEqual">
      <formula>0</formula>
    </cfRule>
  </conditionalFormatting>
  <conditionalFormatting sqref="I11">
    <cfRule type="cellIs" dxfId="122" priority="161" stopIfTrue="1" operator="lessThanOrEqual">
      <formula>0</formula>
    </cfRule>
  </conditionalFormatting>
  <conditionalFormatting sqref="H12">
    <cfRule type="cellIs" dxfId="121" priority="158" stopIfTrue="1" operator="lessThanOrEqual">
      <formula>0</formula>
    </cfRule>
  </conditionalFormatting>
  <conditionalFormatting sqref="I12">
    <cfRule type="cellIs" dxfId="120" priority="154" stopIfTrue="1" operator="lessThanOrEqual">
      <formula>0</formula>
    </cfRule>
  </conditionalFormatting>
  <printOptions horizontalCentered="1" gridLinesSet="0"/>
  <pageMargins left="0.2" right="0.2" top="0.59" bottom="0.4" header="0.39000000000000007" footer="0.2"/>
  <pageSetup paperSize="9" scale="58" orientation="landscape"/>
  <headerFooter>
    <oddHeader>&amp;L&amp;C&amp;R</oddHeader>
    <oddFooter>&amp;L&amp;"Verdana,Regular"&amp;F-&amp;A_x000D_ICCA b.v. ©&amp;R&amp;"Verdana,Regular"printversie &amp;D</oddFooter>
  </headerFooter>
  <drawing r:id="rId1"/>
  <extLst>
    <ext xmlns:mx="http://schemas.microsoft.com/office/mac/excel/2008/main" uri="{64002731-A6B0-56B0-2670-7721B7C09600}">
      <mx:PLV Mode="0" OnePage="0" WScale="55"/>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 enableFormatConditionsCalculation="0"/>
  <dimension ref="A2:AD266"/>
  <sheetViews>
    <sheetView showGridLines="0" showZeros="0" showOutlineSymbols="0" zoomScaleSheetLayoutView="65" workbookViewId="0">
      <selection activeCell="Z11" sqref="Z11"/>
    </sheetView>
  </sheetViews>
  <sheetFormatPr baseColWidth="10" defaultColWidth="0" defaultRowHeight="13" x14ac:dyDescent="0"/>
  <cols>
    <col min="1" max="1" width="0.140625" style="60" customWidth="1"/>
    <col min="2" max="2" width="8" style="60" customWidth="1"/>
    <col min="3" max="3" width="9.140625" style="60" customWidth="1"/>
    <col min="4" max="4" width="6.28515625" style="60" customWidth="1"/>
    <col min="5" max="5" width="16" style="1" customWidth="1"/>
    <col min="6" max="6" width="7.7109375" style="94" customWidth="1"/>
    <col min="7" max="7" width="7.7109375" style="95" customWidth="1"/>
    <col min="8" max="8" width="19.5703125" style="60" customWidth="1"/>
    <col min="9" max="9" width="36.85546875" style="96" customWidth="1"/>
    <col min="10" max="10" width="10.28515625" style="60" customWidth="1"/>
    <col min="11" max="11" width="8" style="675" customWidth="1"/>
    <col min="12" max="12" width="6.42578125" style="675" customWidth="1"/>
    <col min="13" max="13" width="11.5703125" style="98" customWidth="1"/>
    <col min="14" max="14" width="4.7109375" style="117" hidden="1" customWidth="1"/>
    <col min="15" max="15" width="9.28515625" style="117" hidden="1" customWidth="1"/>
    <col min="16" max="16" width="12" style="463" customWidth="1"/>
    <col min="17" max="17" width="8" style="117" customWidth="1"/>
    <col min="18" max="18" width="11.42578125" style="60" customWidth="1"/>
    <col min="19" max="19" width="8.7109375" style="60" customWidth="1"/>
    <col min="20" max="20" width="7" style="60" hidden="1" customWidth="1"/>
    <col min="21" max="21" width="11" style="94" customWidth="1"/>
    <col min="22" max="22" width="10.85546875" style="94" customWidth="1"/>
    <col min="23" max="23" width="7.28515625" style="60" hidden="1" customWidth="1"/>
    <col min="24" max="24" width="7.85546875" style="89" bestFit="1" customWidth="1"/>
    <col min="25" max="25" width="17.5703125" style="60" customWidth="1"/>
    <col min="26" max="26" width="13" style="94" bestFit="1" customWidth="1"/>
    <col min="27" max="27" width="9.85546875" style="94" customWidth="1"/>
    <col min="28" max="16384" width="8.7109375" style="60" hidden="1"/>
  </cols>
  <sheetData>
    <row r="2" spans="1:30">
      <c r="A2" s="92">
        <v>1</v>
      </c>
      <c r="B2" s="340"/>
      <c r="C2" s="340"/>
      <c r="D2" s="340"/>
      <c r="E2" s="205" t="s">
        <v>214</v>
      </c>
      <c r="N2" s="98"/>
      <c r="O2" s="98"/>
      <c r="Q2" s="98"/>
      <c r="R2" s="99"/>
      <c r="S2" s="99"/>
      <c r="T2" s="99"/>
      <c r="U2" s="69"/>
      <c r="V2" s="69"/>
      <c r="W2" s="99"/>
      <c r="X2" s="100"/>
      <c r="Y2" s="101"/>
      <c r="Z2" s="682"/>
    </row>
    <row r="3" spans="1:30" ht="18" customHeight="1">
      <c r="A3" s="92">
        <v>2</v>
      </c>
      <c r="B3" s="340"/>
      <c r="C3" s="340"/>
      <c r="D3" s="340"/>
      <c r="E3" s="207"/>
      <c r="F3" s="103"/>
      <c r="G3" s="104"/>
      <c r="H3" s="102"/>
      <c r="I3" s="105"/>
      <c r="J3" s="93"/>
      <c r="K3" s="676"/>
      <c r="L3" s="676"/>
      <c r="M3" s="107"/>
      <c r="N3" s="107"/>
      <c r="O3" s="674"/>
      <c r="P3" s="674"/>
      <c r="Q3" s="674"/>
      <c r="R3" s="108"/>
      <c r="S3" s="108"/>
      <c r="T3" s="108"/>
      <c r="U3" s="680"/>
      <c r="V3" s="680"/>
      <c r="W3" s="108"/>
      <c r="X3" s="109"/>
      <c r="Y3" s="110"/>
      <c r="Z3" s="683"/>
    </row>
    <row r="4" spans="1:30" ht="18" customHeight="1">
      <c r="A4" s="92">
        <v>3</v>
      </c>
      <c r="B4" s="340"/>
      <c r="C4" s="340"/>
      <c r="D4" s="340"/>
      <c r="E4" s="208" t="str">
        <f>'1.2-Kengetal'!C3</f>
        <v>Naam opdrachtgever</v>
      </c>
      <c r="F4" s="111"/>
      <c r="G4" s="209" t="str">
        <f>'1.2-Kengetal'!F3</f>
        <v>Stichting CPOW</v>
      </c>
      <c r="I4" s="105"/>
      <c r="J4" s="93"/>
      <c r="K4" s="676"/>
      <c r="L4" s="676"/>
      <c r="M4" s="107"/>
      <c r="N4" s="107"/>
      <c r="O4" s="674"/>
      <c r="P4" s="674"/>
      <c r="Q4" s="674"/>
      <c r="R4" s="108"/>
      <c r="S4" s="108"/>
      <c r="T4" s="108"/>
      <c r="U4" s="680"/>
      <c r="V4" s="680"/>
      <c r="W4" s="108"/>
      <c r="X4" s="109"/>
      <c r="Y4" s="93"/>
      <c r="Z4" s="684"/>
    </row>
    <row r="5" spans="1:30" ht="18" customHeight="1">
      <c r="A5" s="92">
        <v>4</v>
      </c>
      <c r="B5" s="340"/>
      <c r="C5" s="340"/>
      <c r="D5" s="340"/>
      <c r="E5" s="208" t="str">
        <f>'1.2-Kengetal'!C4</f>
        <v>Omschrijving blad</v>
      </c>
      <c r="F5" s="113"/>
      <c r="G5" s="531" t="s">
        <v>58</v>
      </c>
      <c r="I5" s="114"/>
      <c r="J5" s="93"/>
      <c r="K5" s="676"/>
      <c r="L5" s="676"/>
      <c r="M5" s="107"/>
      <c r="N5" s="107"/>
      <c r="O5" s="107"/>
      <c r="P5" s="464"/>
      <c r="Q5" s="107"/>
      <c r="R5" s="108"/>
      <c r="S5" s="108"/>
      <c r="T5" s="108"/>
      <c r="U5" s="680"/>
      <c r="V5" s="680"/>
      <c r="W5" s="108"/>
      <c r="X5" s="109"/>
      <c r="Y5" s="93"/>
      <c r="Z5" s="684"/>
    </row>
    <row r="6" spans="1:30" ht="18" customHeight="1">
      <c r="A6" s="92">
        <v>5</v>
      </c>
      <c r="B6" s="340"/>
      <c r="C6" s="340"/>
      <c r="D6" s="340"/>
      <c r="E6" s="208" t="str">
        <f>'1.2-Kengetal'!C5</f>
        <v>Adres/plaats</v>
      </c>
      <c r="F6" s="111"/>
      <c r="G6" s="209" t="str">
        <f>'1.2-Kengetal'!F5</f>
        <v>Primair onderwijs Purmerend e.o.</v>
      </c>
      <c r="H6" s="115"/>
      <c r="I6" s="115"/>
      <c r="J6" s="115"/>
      <c r="K6" s="677"/>
      <c r="L6" s="677"/>
      <c r="M6" s="107"/>
      <c r="N6" s="107"/>
      <c r="O6" s="107"/>
      <c r="P6" s="464"/>
      <c r="Q6" s="107"/>
      <c r="R6" s="108"/>
      <c r="S6" s="108"/>
      <c r="T6" s="108"/>
      <c r="U6" s="680"/>
      <c r="V6" s="680"/>
      <c r="W6" s="108"/>
      <c r="X6" s="109"/>
      <c r="Y6" s="93"/>
      <c r="Z6" s="684"/>
    </row>
    <row r="7" spans="1:30" ht="18" customHeight="1">
      <c r="A7" s="92">
        <v>6</v>
      </c>
      <c r="B7" s="340"/>
      <c r="C7" s="340"/>
      <c r="D7" s="340"/>
      <c r="E7" s="208" t="str">
        <f>'1.2-Kengetal'!C6</f>
        <v>Besteknummer</v>
      </c>
      <c r="F7" s="111"/>
      <c r="G7" s="209" t="str">
        <f>'1.2-Kengetal'!F6</f>
        <v>0302-52-2015 V1</v>
      </c>
      <c r="J7" s="93"/>
      <c r="K7" s="676"/>
      <c r="L7" s="676"/>
      <c r="M7" s="107"/>
      <c r="N7" s="107"/>
      <c r="O7" s="107"/>
      <c r="P7" s="464"/>
      <c r="Q7" s="107"/>
      <c r="R7" s="108"/>
      <c r="S7" s="108"/>
      <c r="T7" s="108"/>
      <c r="U7" s="680"/>
      <c r="V7" s="680"/>
      <c r="W7" s="108"/>
      <c r="X7" s="109"/>
      <c r="Y7" s="93"/>
      <c r="Z7" s="684"/>
    </row>
    <row r="8" spans="1:30" ht="18" customHeight="1">
      <c r="A8" s="92">
        <v>7</v>
      </c>
      <c r="B8" s="340"/>
      <c r="C8" s="340"/>
      <c r="D8" s="340"/>
      <c r="E8" s="208" t="str">
        <f>'1.2-Kengetal'!C7</f>
        <v>Naam leverancier</v>
      </c>
      <c r="F8" s="111"/>
      <c r="G8" s="209" t="str">
        <f>'1.2-Kengetal'!F7</f>
        <v>[NAAM LEVERANCIER]</v>
      </c>
      <c r="I8" s="585">
        <f>Voorblad!$E$15</f>
        <v>42370</v>
      </c>
      <c r="J8" s="93"/>
      <c r="K8" s="676"/>
      <c r="L8" s="676"/>
      <c r="M8" s="107"/>
      <c r="N8" s="107"/>
      <c r="O8" s="107"/>
      <c r="P8" s="464"/>
      <c r="Q8" s="107"/>
      <c r="R8" s="108"/>
      <c r="S8" s="108"/>
      <c r="T8" s="108"/>
      <c r="U8" s="680"/>
      <c r="V8" s="680"/>
      <c r="W8" s="108"/>
      <c r="X8" s="109"/>
      <c r="Y8" s="93"/>
      <c r="Z8" s="684"/>
    </row>
    <row r="9" spans="1:30">
      <c r="A9" s="92">
        <v>8</v>
      </c>
      <c r="B9" s="340"/>
      <c r="C9" s="340"/>
      <c r="D9" s="340"/>
      <c r="E9" s="207"/>
      <c r="F9" s="103"/>
      <c r="G9" s="104"/>
      <c r="H9" s="102"/>
      <c r="I9" s="105"/>
      <c r="J9" s="93"/>
      <c r="K9" s="676"/>
      <c r="L9" s="676"/>
      <c r="M9" s="107"/>
      <c r="N9" s="107"/>
      <c r="O9" s="107"/>
      <c r="P9" s="464"/>
      <c r="Q9" s="107"/>
      <c r="R9" s="108"/>
      <c r="S9" s="108"/>
      <c r="T9" s="108"/>
      <c r="U9" s="680"/>
      <c r="V9" s="680"/>
      <c r="W9" s="108"/>
      <c r="X9" s="109"/>
      <c r="Y9" s="110"/>
      <c r="Z9" s="683"/>
    </row>
    <row r="10" spans="1:30" s="350" customFormat="1" ht="43" customHeight="1">
      <c r="A10" s="343">
        <v>9</v>
      </c>
      <c r="B10" s="269" t="s">
        <v>457</v>
      </c>
      <c r="C10" s="269" t="s">
        <v>458</v>
      </c>
      <c r="D10" s="269" t="s">
        <v>271</v>
      </c>
      <c r="E10" s="269" t="s">
        <v>206</v>
      </c>
      <c r="F10" s="273" t="s">
        <v>39</v>
      </c>
      <c r="G10" s="344" t="s">
        <v>50</v>
      </c>
      <c r="H10" s="269" t="s">
        <v>227</v>
      </c>
      <c r="I10" s="345" t="s">
        <v>91</v>
      </c>
      <c r="J10" s="346" t="s">
        <v>180</v>
      </c>
      <c r="K10" s="315" t="s">
        <v>142</v>
      </c>
      <c r="L10" s="315" t="s">
        <v>80</v>
      </c>
      <c r="M10" s="470" t="s">
        <v>323</v>
      </c>
      <c r="N10" s="347" t="s">
        <v>337</v>
      </c>
      <c r="O10" s="347" t="s">
        <v>338</v>
      </c>
      <c r="P10" s="348" t="s">
        <v>38</v>
      </c>
      <c r="Q10" s="347" t="s">
        <v>243</v>
      </c>
      <c r="R10" s="348" t="s">
        <v>81</v>
      </c>
      <c r="S10" s="348" t="s">
        <v>326</v>
      </c>
      <c r="T10" s="348" t="s">
        <v>339</v>
      </c>
      <c r="U10" s="349" t="s">
        <v>325</v>
      </c>
      <c r="V10" s="348" t="s">
        <v>324</v>
      </c>
      <c r="W10" s="348" t="s">
        <v>340</v>
      </c>
      <c r="X10" s="269" t="s">
        <v>122</v>
      </c>
      <c r="Y10" s="346" t="s">
        <v>0</v>
      </c>
      <c r="Z10" s="685" t="s">
        <v>652</v>
      </c>
      <c r="AA10" s="685" t="s">
        <v>653</v>
      </c>
    </row>
    <row r="11" spans="1:30">
      <c r="A11" s="92">
        <f t="shared" ref="A11:A25" si="0">D11</f>
        <v>1</v>
      </c>
      <c r="B11" s="605"/>
      <c r="C11" s="590"/>
      <c r="D11" s="688">
        <v>1</v>
      </c>
      <c r="E11" s="591" t="s">
        <v>570</v>
      </c>
      <c r="F11" s="592" t="s">
        <v>348</v>
      </c>
      <c r="G11" s="593" t="s">
        <v>349</v>
      </c>
      <c r="H11" s="594" t="s">
        <v>350</v>
      </c>
      <c r="I11" s="595" t="str">
        <f t="shared" ref="I11:I25" si="1">IF($M11="",0,VLOOKUP($M11,Kengetal,4,FALSE))</f>
        <v>entree, gang, hal, repro, kopieer</v>
      </c>
      <c r="J11" s="594" t="s">
        <v>642</v>
      </c>
      <c r="K11" s="678">
        <v>5</v>
      </c>
      <c r="L11" s="678"/>
      <c r="M11" s="606">
        <v>3200</v>
      </c>
      <c r="N11" s="601"/>
      <c r="O11" s="602"/>
      <c r="P11" s="603">
        <f t="shared" ref="P11:P18" si="2">VLOOKUP(M11,Kengetal,3,FALSE)+VLOOKUP(N11,Kengetal,3,FALSE)+VLOOKUP(O11,Kengetal,3,FALSE)</f>
        <v>200</v>
      </c>
      <c r="Q11" s="689">
        <v>1</v>
      </c>
      <c r="R11" s="341">
        <f t="shared" ref="R11:R18" si="3">U11*K11*Q11</f>
        <v>0</v>
      </c>
      <c r="S11" s="341">
        <f t="shared" ref="S11:S18" si="4">V11*K11*Q11</f>
        <v>0</v>
      </c>
      <c r="T11" s="341">
        <f t="shared" ref="T11:T25" si="5">W11*K11*Q11</f>
        <v>0</v>
      </c>
      <c r="U11" s="681">
        <f t="shared" ref="U11:U25" si="6">VLOOKUP($M11,Kengetal,6,FALSE)</f>
        <v>0</v>
      </c>
      <c r="V11" s="681">
        <f t="shared" ref="V11:V25" si="7">VLOOKUP($M11,Kengetal,7,FALSE)</f>
        <v>0</v>
      </c>
      <c r="W11" s="459">
        <f t="shared" ref="W11:W25" si="8">VLOOKUP($O11,Kengetal,7,FALSE)</f>
        <v>0</v>
      </c>
      <c r="X11" s="460" t="str">
        <f t="shared" ref="X11:X18" si="9">IF(M11="","",VLOOKUP(M11,Kengetal,14,FALSE))</f>
        <v>V</v>
      </c>
      <c r="Y11" s="600"/>
      <c r="Z11" s="686" t="e">
        <f>(R11+S11)*'1.0-Contractblad'!$L$98</f>
        <v>#DIV/0!</v>
      </c>
      <c r="AA11" s="687">
        <f ca="1">VLOOKUP(E11,'1.1a-Jaarprijzen'!$B$33:$O$51,14,FALSE)*(L11+K11)</f>
        <v>0</v>
      </c>
      <c r="AB11" s="60">
        <f t="shared" ref="AB11:AB26" si="10">IF(M11=8255,R11+S11,0)</f>
        <v>0</v>
      </c>
      <c r="AD11" s="60" t="str">
        <f t="shared" ref="AD11:AD25" si="11">CONCATENATE(M11,"-",P11)</f>
        <v>3200-200</v>
      </c>
    </row>
    <row r="12" spans="1:30">
      <c r="A12" s="92">
        <f t="shared" si="0"/>
        <v>1</v>
      </c>
      <c r="B12" s="605"/>
      <c r="C12" s="590"/>
      <c r="D12" s="688">
        <v>1</v>
      </c>
      <c r="E12" s="591" t="s">
        <v>570</v>
      </c>
      <c r="F12" s="592" t="s">
        <v>348</v>
      </c>
      <c r="G12" s="593" t="s">
        <v>351</v>
      </c>
      <c r="H12" s="594" t="s">
        <v>350</v>
      </c>
      <c r="I12" s="595" t="str">
        <f t="shared" si="1"/>
        <v>entree, gang, hal, repro, kopieer</v>
      </c>
      <c r="J12" s="594" t="s">
        <v>642</v>
      </c>
      <c r="K12" s="678">
        <v>5</v>
      </c>
      <c r="L12" s="678"/>
      <c r="M12" s="606">
        <v>3200</v>
      </c>
      <c r="N12" s="601"/>
      <c r="O12" s="601"/>
      <c r="P12" s="603">
        <f t="shared" si="2"/>
        <v>200</v>
      </c>
      <c r="Q12" s="689">
        <v>1</v>
      </c>
      <c r="R12" s="341">
        <f t="shared" si="3"/>
        <v>0</v>
      </c>
      <c r="S12" s="341">
        <f t="shared" si="4"/>
        <v>0</v>
      </c>
      <c r="T12" s="341">
        <f t="shared" si="5"/>
        <v>0</v>
      </c>
      <c r="U12" s="681">
        <f t="shared" si="6"/>
        <v>0</v>
      </c>
      <c r="V12" s="681">
        <f t="shared" si="7"/>
        <v>0</v>
      </c>
      <c r="W12" s="459">
        <f t="shared" si="8"/>
        <v>0</v>
      </c>
      <c r="X12" s="460" t="str">
        <f t="shared" si="9"/>
        <v>V</v>
      </c>
      <c r="Y12" s="600"/>
      <c r="Z12" s="686" t="e">
        <f>(R12+S12)*'1.0-Contractblad'!$L$98</f>
        <v>#DIV/0!</v>
      </c>
      <c r="AA12" s="687">
        <f ca="1">VLOOKUP(E12,'1.1a-Jaarprijzen'!$B$33:$O$51,14,FALSE)*(L12+K12)</f>
        <v>0</v>
      </c>
      <c r="AB12" s="60">
        <f t="shared" si="10"/>
        <v>0</v>
      </c>
      <c r="AD12" s="60" t="str">
        <f t="shared" si="11"/>
        <v>3200-200</v>
      </c>
    </row>
    <row r="13" spans="1:30">
      <c r="A13" s="92">
        <f t="shared" si="0"/>
        <v>1</v>
      </c>
      <c r="B13" s="605"/>
      <c r="C13" s="590"/>
      <c r="D13" s="688">
        <v>1</v>
      </c>
      <c r="E13" s="591" t="s">
        <v>570</v>
      </c>
      <c r="F13" s="592" t="s">
        <v>348</v>
      </c>
      <c r="G13" s="593" t="s">
        <v>571</v>
      </c>
      <c r="H13" s="594" t="s">
        <v>350</v>
      </c>
      <c r="I13" s="595" t="str">
        <f t="shared" si="1"/>
        <v>entree, gang, hal, repro, kopieer</v>
      </c>
      <c r="J13" s="594" t="s">
        <v>642</v>
      </c>
      <c r="K13" s="678">
        <v>5</v>
      </c>
      <c r="L13" s="678"/>
      <c r="M13" s="606">
        <v>3200</v>
      </c>
      <c r="N13" s="601"/>
      <c r="O13" s="601"/>
      <c r="P13" s="603">
        <f t="shared" si="2"/>
        <v>200</v>
      </c>
      <c r="Q13" s="689">
        <v>1</v>
      </c>
      <c r="R13" s="341">
        <f t="shared" si="3"/>
        <v>0</v>
      </c>
      <c r="S13" s="341">
        <f t="shared" si="4"/>
        <v>0</v>
      </c>
      <c r="T13" s="341">
        <f t="shared" si="5"/>
        <v>0</v>
      </c>
      <c r="U13" s="681">
        <f t="shared" si="6"/>
        <v>0</v>
      </c>
      <c r="V13" s="681">
        <f t="shared" si="7"/>
        <v>0</v>
      </c>
      <c r="W13" s="459">
        <f t="shared" si="8"/>
        <v>0</v>
      </c>
      <c r="X13" s="460" t="str">
        <f t="shared" si="9"/>
        <v>V</v>
      </c>
      <c r="Y13" s="600"/>
      <c r="Z13" s="686" t="e">
        <f>(R13+S13)*'1.0-Contractblad'!$L$98</f>
        <v>#DIV/0!</v>
      </c>
      <c r="AA13" s="687">
        <f ca="1">VLOOKUP(E13,'1.1a-Jaarprijzen'!$B$33:$O$51,14,FALSE)*(L13+K13)</f>
        <v>0</v>
      </c>
      <c r="AB13" s="60">
        <f t="shared" si="10"/>
        <v>0</v>
      </c>
      <c r="AD13" s="60" t="str">
        <f t="shared" si="11"/>
        <v>3200-200</v>
      </c>
    </row>
    <row r="14" spans="1:30">
      <c r="A14" s="92">
        <f t="shared" si="0"/>
        <v>1</v>
      </c>
      <c r="B14" s="605"/>
      <c r="C14" s="590"/>
      <c r="D14" s="688">
        <v>1</v>
      </c>
      <c r="E14" s="591" t="s">
        <v>570</v>
      </c>
      <c r="F14" s="592" t="s">
        <v>348</v>
      </c>
      <c r="G14" s="593" t="s">
        <v>512</v>
      </c>
      <c r="H14" s="594" t="s">
        <v>350</v>
      </c>
      <c r="I14" s="595" t="str">
        <f t="shared" si="1"/>
        <v>entree, gang, hal, repro, kopieer</v>
      </c>
      <c r="J14" s="594" t="s">
        <v>642</v>
      </c>
      <c r="K14" s="678">
        <v>5</v>
      </c>
      <c r="L14" s="678"/>
      <c r="M14" s="606">
        <v>3200</v>
      </c>
      <c r="N14" s="601"/>
      <c r="O14" s="601"/>
      <c r="P14" s="603">
        <f t="shared" si="2"/>
        <v>200</v>
      </c>
      <c r="Q14" s="689">
        <v>1</v>
      </c>
      <c r="R14" s="341">
        <f t="shared" si="3"/>
        <v>0</v>
      </c>
      <c r="S14" s="341">
        <f t="shared" si="4"/>
        <v>0</v>
      </c>
      <c r="T14" s="341">
        <f t="shared" si="5"/>
        <v>0</v>
      </c>
      <c r="U14" s="681">
        <f t="shared" si="6"/>
        <v>0</v>
      </c>
      <c r="V14" s="681">
        <f t="shared" si="7"/>
        <v>0</v>
      </c>
      <c r="W14" s="459">
        <f t="shared" si="8"/>
        <v>0</v>
      </c>
      <c r="X14" s="460" t="str">
        <f t="shared" si="9"/>
        <v>V</v>
      </c>
      <c r="Y14" s="600"/>
      <c r="Z14" s="686" t="e">
        <f>(R14+S14)*'1.0-Contractblad'!$L$98</f>
        <v>#DIV/0!</v>
      </c>
      <c r="AA14" s="687">
        <f ca="1">VLOOKUP(E14,'1.1a-Jaarprijzen'!$B$33:$O$51,14,FALSE)*(L14+K14)</f>
        <v>0</v>
      </c>
      <c r="AB14" s="60">
        <f t="shared" si="10"/>
        <v>0</v>
      </c>
      <c r="AD14" s="60" t="str">
        <f t="shared" si="11"/>
        <v>3200-200</v>
      </c>
    </row>
    <row r="15" spans="1:30">
      <c r="A15" s="92">
        <f t="shared" si="0"/>
        <v>1</v>
      </c>
      <c r="B15" s="605"/>
      <c r="C15" s="590"/>
      <c r="D15" s="688">
        <v>1</v>
      </c>
      <c r="E15" s="591" t="s">
        <v>570</v>
      </c>
      <c r="F15" s="592" t="s">
        <v>348</v>
      </c>
      <c r="G15" s="593" t="s">
        <v>352</v>
      </c>
      <c r="H15" s="594" t="s">
        <v>312</v>
      </c>
      <c r="I15" s="595" t="str">
        <f t="shared" si="1"/>
        <v>entree, gang, hal, repro, kopieer</v>
      </c>
      <c r="J15" s="594" t="s">
        <v>493</v>
      </c>
      <c r="K15" s="678">
        <v>132</v>
      </c>
      <c r="L15" s="678"/>
      <c r="M15" s="606">
        <v>3200</v>
      </c>
      <c r="N15" s="601"/>
      <c r="O15" s="601"/>
      <c r="P15" s="603">
        <f t="shared" si="2"/>
        <v>200</v>
      </c>
      <c r="Q15" s="689">
        <v>1</v>
      </c>
      <c r="R15" s="341">
        <f t="shared" si="3"/>
        <v>0</v>
      </c>
      <c r="S15" s="341">
        <f t="shared" si="4"/>
        <v>0</v>
      </c>
      <c r="T15" s="341">
        <f t="shared" si="5"/>
        <v>0</v>
      </c>
      <c r="U15" s="681">
        <f t="shared" si="6"/>
        <v>0</v>
      </c>
      <c r="V15" s="681">
        <f t="shared" si="7"/>
        <v>0</v>
      </c>
      <c r="W15" s="459">
        <f t="shared" si="8"/>
        <v>0</v>
      </c>
      <c r="X15" s="460" t="str">
        <f t="shared" si="9"/>
        <v>V</v>
      </c>
      <c r="Y15" s="600"/>
      <c r="Z15" s="686" t="e">
        <f>(R15+S15)*'1.0-Contractblad'!$L$98</f>
        <v>#DIV/0!</v>
      </c>
      <c r="AA15" s="687">
        <f ca="1">VLOOKUP(E15,'1.1a-Jaarprijzen'!$B$33:$O$51,14,FALSE)*(L15+K15)</f>
        <v>0</v>
      </c>
      <c r="AB15" s="60">
        <f t="shared" si="10"/>
        <v>0</v>
      </c>
      <c r="AD15" s="60" t="str">
        <f t="shared" si="11"/>
        <v>3200-200</v>
      </c>
    </row>
    <row r="16" spans="1:30">
      <c r="A16" s="92">
        <f t="shared" si="0"/>
        <v>1</v>
      </c>
      <c r="B16" s="605"/>
      <c r="C16" s="590"/>
      <c r="D16" s="688">
        <v>1</v>
      </c>
      <c r="E16" s="591" t="s">
        <v>570</v>
      </c>
      <c r="F16" s="592" t="s">
        <v>348</v>
      </c>
      <c r="G16" s="593" t="s">
        <v>368</v>
      </c>
      <c r="H16" s="594" t="s">
        <v>312</v>
      </c>
      <c r="I16" s="595" t="str">
        <f t="shared" si="1"/>
        <v>entree, gang, hal, repro, kopieer</v>
      </c>
      <c r="J16" s="594" t="s">
        <v>493</v>
      </c>
      <c r="K16" s="678">
        <v>50</v>
      </c>
      <c r="L16" s="678"/>
      <c r="M16" s="606">
        <v>3200</v>
      </c>
      <c r="N16" s="601"/>
      <c r="O16" s="601"/>
      <c r="P16" s="603">
        <f t="shared" si="2"/>
        <v>200</v>
      </c>
      <c r="Q16" s="689">
        <v>1</v>
      </c>
      <c r="R16" s="341">
        <f t="shared" si="3"/>
        <v>0</v>
      </c>
      <c r="S16" s="341">
        <f t="shared" si="4"/>
        <v>0</v>
      </c>
      <c r="T16" s="341">
        <f t="shared" si="5"/>
        <v>0</v>
      </c>
      <c r="U16" s="681">
        <f t="shared" si="6"/>
        <v>0</v>
      </c>
      <c r="V16" s="681">
        <f t="shared" si="7"/>
        <v>0</v>
      </c>
      <c r="W16" s="459">
        <f t="shared" si="8"/>
        <v>0</v>
      </c>
      <c r="X16" s="460" t="str">
        <f t="shared" si="9"/>
        <v>V</v>
      </c>
      <c r="Y16" s="600"/>
      <c r="Z16" s="686" t="e">
        <f>(R16+S16)*'1.0-Contractblad'!$L$98</f>
        <v>#DIV/0!</v>
      </c>
      <c r="AA16" s="687">
        <f ca="1">VLOOKUP(E16,'1.1a-Jaarprijzen'!$B$33:$O$51,14,FALSE)*(L16+K16)</f>
        <v>0</v>
      </c>
      <c r="AB16" s="60">
        <f t="shared" si="10"/>
        <v>0</v>
      </c>
      <c r="AD16" s="60" t="str">
        <f t="shared" si="11"/>
        <v>3200-200</v>
      </c>
    </row>
    <row r="17" spans="1:30">
      <c r="A17" s="92">
        <f t="shared" si="0"/>
        <v>1</v>
      </c>
      <c r="B17" s="605"/>
      <c r="C17" s="590"/>
      <c r="D17" s="688">
        <v>1</v>
      </c>
      <c r="E17" s="591" t="s">
        <v>570</v>
      </c>
      <c r="F17" s="592" t="s">
        <v>348</v>
      </c>
      <c r="G17" s="593" t="s">
        <v>394</v>
      </c>
      <c r="H17" s="594" t="s">
        <v>312</v>
      </c>
      <c r="I17" s="595" t="str">
        <f t="shared" si="1"/>
        <v>entree, gang, hal, repro, kopieer</v>
      </c>
      <c r="J17" s="594" t="s">
        <v>493</v>
      </c>
      <c r="K17" s="678">
        <v>48</v>
      </c>
      <c r="L17" s="678"/>
      <c r="M17" s="606">
        <v>3200</v>
      </c>
      <c r="N17" s="601"/>
      <c r="O17" s="601"/>
      <c r="P17" s="603">
        <f t="shared" si="2"/>
        <v>200</v>
      </c>
      <c r="Q17" s="689">
        <v>1</v>
      </c>
      <c r="R17" s="341">
        <f t="shared" si="3"/>
        <v>0</v>
      </c>
      <c r="S17" s="341">
        <f t="shared" si="4"/>
        <v>0</v>
      </c>
      <c r="T17" s="341">
        <f t="shared" si="5"/>
        <v>0</v>
      </c>
      <c r="U17" s="681">
        <f t="shared" si="6"/>
        <v>0</v>
      </c>
      <c r="V17" s="681">
        <f t="shared" si="7"/>
        <v>0</v>
      </c>
      <c r="W17" s="459">
        <f t="shared" si="8"/>
        <v>0</v>
      </c>
      <c r="X17" s="460" t="str">
        <f t="shared" si="9"/>
        <v>V</v>
      </c>
      <c r="Y17" s="600"/>
      <c r="Z17" s="686" t="e">
        <f>(R17+S17)*'1.0-Contractblad'!$L$98</f>
        <v>#DIV/0!</v>
      </c>
      <c r="AA17" s="687">
        <f ca="1">VLOOKUP(E17,'1.1a-Jaarprijzen'!$B$33:$O$51,14,FALSE)*(L17+K17)</f>
        <v>0</v>
      </c>
      <c r="AB17" s="60">
        <f t="shared" si="10"/>
        <v>0</v>
      </c>
      <c r="AD17" s="60" t="str">
        <f t="shared" si="11"/>
        <v>3200-200</v>
      </c>
    </row>
    <row r="18" spans="1:30">
      <c r="A18" s="92">
        <f t="shared" si="0"/>
        <v>1</v>
      </c>
      <c r="B18" s="605"/>
      <c r="C18" s="590"/>
      <c r="D18" s="688">
        <v>1</v>
      </c>
      <c r="E18" s="591" t="s">
        <v>570</v>
      </c>
      <c r="F18" s="592" t="s">
        <v>348</v>
      </c>
      <c r="G18" s="593" t="s">
        <v>487</v>
      </c>
      <c r="H18" s="594" t="s">
        <v>312</v>
      </c>
      <c r="I18" s="595" t="str">
        <f t="shared" si="1"/>
        <v>entree, gang, hal, repro, kopieer</v>
      </c>
      <c r="J18" s="594" t="s">
        <v>493</v>
      </c>
      <c r="K18" s="678">
        <v>48</v>
      </c>
      <c r="L18" s="678"/>
      <c r="M18" s="606">
        <v>3200</v>
      </c>
      <c r="N18" s="601"/>
      <c r="O18" s="601"/>
      <c r="P18" s="603">
        <f t="shared" si="2"/>
        <v>200</v>
      </c>
      <c r="Q18" s="689">
        <v>1</v>
      </c>
      <c r="R18" s="341">
        <f t="shared" si="3"/>
        <v>0</v>
      </c>
      <c r="S18" s="341">
        <f t="shared" si="4"/>
        <v>0</v>
      </c>
      <c r="T18" s="341">
        <f t="shared" si="5"/>
        <v>0</v>
      </c>
      <c r="U18" s="681">
        <f t="shared" si="6"/>
        <v>0</v>
      </c>
      <c r="V18" s="681">
        <f t="shared" si="7"/>
        <v>0</v>
      </c>
      <c r="W18" s="459">
        <f t="shared" si="8"/>
        <v>0</v>
      </c>
      <c r="X18" s="460" t="str">
        <f t="shared" si="9"/>
        <v>V</v>
      </c>
      <c r="Y18" s="600"/>
      <c r="Z18" s="686" t="e">
        <f>(R18+S18)*'1.0-Contractblad'!$L$98</f>
        <v>#DIV/0!</v>
      </c>
      <c r="AA18" s="687">
        <f ca="1">VLOOKUP(E18,'1.1a-Jaarprijzen'!$B$33:$O$51,14,FALSE)*(L18+K18)</f>
        <v>0</v>
      </c>
      <c r="AB18" s="60">
        <f t="shared" si="10"/>
        <v>0</v>
      </c>
      <c r="AD18" s="60" t="str">
        <f t="shared" si="11"/>
        <v>3200-200</v>
      </c>
    </row>
    <row r="19" spans="1:30">
      <c r="A19" s="92">
        <f t="shared" si="0"/>
        <v>1</v>
      </c>
      <c r="B19" s="605"/>
      <c r="C19" s="590"/>
      <c r="D19" s="688">
        <v>1</v>
      </c>
      <c r="E19" s="591" t="s">
        <v>570</v>
      </c>
      <c r="F19" s="592" t="s">
        <v>348</v>
      </c>
      <c r="G19" s="593" t="s">
        <v>505</v>
      </c>
      <c r="H19" s="594" t="s">
        <v>312</v>
      </c>
      <c r="I19" s="595" t="str">
        <f t="shared" si="1"/>
        <v>entree, gang, hal, repro, kopieer</v>
      </c>
      <c r="J19" s="594" t="s">
        <v>493</v>
      </c>
      <c r="K19" s="678">
        <v>205</v>
      </c>
      <c r="L19" s="678"/>
      <c r="M19" s="606">
        <v>3200</v>
      </c>
      <c r="N19" s="601"/>
      <c r="O19" s="601"/>
      <c r="P19" s="603">
        <f t="shared" ref="P19:P28" si="12">VLOOKUP(M19,Kengetal,3,FALSE)+VLOOKUP(N19,Kengetal,3,FALSE)+VLOOKUP(O19,Kengetal,3,FALSE)</f>
        <v>200</v>
      </c>
      <c r="Q19" s="689">
        <v>1</v>
      </c>
      <c r="R19" s="596">
        <f t="shared" ref="R19:R28" si="13">U19*K19*Q19</f>
        <v>0</v>
      </c>
      <c r="S19" s="596">
        <f t="shared" ref="S19:S28" si="14">V19*K19*Q19</f>
        <v>0</v>
      </c>
      <c r="T19" s="341">
        <f t="shared" si="5"/>
        <v>0</v>
      </c>
      <c r="U19" s="681">
        <f t="shared" si="6"/>
        <v>0</v>
      </c>
      <c r="V19" s="681">
        <f t="shared" si="7"/>
        <v>0</v>
      </c>
      <c r="W19" s="459">
        <f t="shared" si="8"/>
        <v>0</v>
      </c>
      <c r="X19" s="599" t="str">
        <f t="shared" ref="X19:X28" si="15">IF(M19="","",VLOOKUP(M19,Kengetal,14,FALSE))</f>
        <v>V</v>
      </c>
      <c r="Y19" s="600"/>
      <c r="Z19" s="686" t="e">
        <f>(R19+S19)*'1.0-Contractblad'!$L$98</f>
        <v>#DIV/0!</v>
      </c>
      <c r="AA19" s="687">
        <f ca="1">VLOOKUP(E19,'1.1a-Jaarprijzen'!$B$33:$O$51,14,FALSE)*(L19+K19)</f>
        <v>0</v>
      </c>
      <c r="AB19" s="60">
        <f t="shared" si="10"/>
        <v>0</v>
      </c>
      <c r="AD19" s="60" t="str">
        <f t="shared" si="11"/>
        <v>3200-200</v>
      </c>
    </row>
    <row r="20" spans="1:30">
      <c r="A20" s="92">
        <f t="shared" si="0"/>
        <v>1</v>
      </c>
      <c r="B20" s="605"/>
      <c r="C20" s="590"/>
      <c r="D20" s="688">
        <v>1</v>
      </c>
      <c r="E20" s="591" t="s">
        <v>570</v>
      </c>
      <c r="F20" s="592" t="s">
        <v>348</v>
      </c>
      <c r="G20" s="593" t="s">
        <v>572</v>
      </c>
      <c r="H20" s="594" t="s">
        <v>402</v>
      </c>
      <c r="I20" s="595" t="str">
        <f t="shared" si="1"/>
        <v>leslokaal</v>
      </c>
      <c r="J20" s="594" t="s">
        <v>643</v>
      </c>
      <c r="K20" s="678">
        <v>24.2</v>
      </c>
      <c r="L20" s="678"/>
      <c r="M20" s="606">
        <v>7200</v>
      </c>
      <c r="N20" s="601"/>
      <c r="O20" s="601"/>
      <c r="P20" s="603">
        <f t="shared" si="12"/>
        <v>200</v>
      </c>
      <c r="Q20" s="689">
        <v>1</v>
      </c>
      <c r="R20" s="596">
        <f t="shared" si="13"/>
        <v>0</v>
      </c>
      <c r="S20" s="596">
        <f t="shared" si="14"/>
        <v>0</v>
      </c>
      <c r="T20" s="341">
        <f t="shared" si="5"/>
        <v>0</v>
      </c>
      <c r="U20" s="681">
        <f t="shared" si="6"/>
        <v>0</v>
      </c>
      <c r="V20" s="681">
        <f t="shared" si="7"/>
        <v>0</v>
      </c>
      <c r="W20" s="459">
        <f t="shared" si="8"/>
        <v>0</v>
      </c>
      <c r="X20" s="599" t="str">
        <f t="shared" si="15"/>
        <v>L</v>
      </c>
      <c r="Y20" s="600"/>
      <c r="Z20" s="686" t="e">
        <f>(R20+S20)*'1.0-Contractblad'!$L$98</f>
        <v>#DIV/0!</v>
      </c>
      <c r="AA20" s="687">
        <f ca="1">VLOOKUP(E20,'1.1a-Jaarprijzen'!$B$33:$O$51,14,FALSE)*(L20+K20)</f>
        <v>0</v>
      </c>
      <c r="AB20" s="60">
        <f t="shared" si="10"/>
        <v>0</v>
      </c>
      <c r="AD20" s="60" t="str">
        <f t="shared" si="11"/>
        <v>7200-200</v>
      </c>
    </row>
    <row r="21" spans="1:30">
      <c r="A21" s="92">
        <f t="shared" si="0"/>
        <v>1</v>
      </c>
      <c r="B21" s="605"/>
      <c r="C21" s="590"/>
      <c r="D21" s="688">
        <v>1</v>
      </c>
      <c r="E21" s="591" t="s">
        <v>570</v>
      </c>
      <c r="F21" s="592" t="s">
        <v>348</v>
      </c>
      <c r="G21" s="593" t="s">
        <v>573</v>
      </c>
      <c r="H21" s="594" t="s">
        <v>647</v>
      </c>
      <c r="I21" s="595" t="str">
        <f t="shared" si="1"/>
        <v>leslokaal</v>
      </c>
      <c r="J21" s="594" t="s">
        <v>643</v>
      </c>
      <c r="K21" s="678">
        <v>24.2</v>
      </c>
      <c r="L21" s="678"/>
      <c r="M21" s="606">
        <v>7200</v>
      </c>
      <c r="N21" s="601"/>
      <c r="O21" s="601"/>
      <c r="P21" s="603">
        <f t="shared" si="12"/>
        <v>200</v>
      </c>
      <c r="Q21" s="689">
        <v>1</v>
      </c>
      <c r="R21" s="596">
        <f t="shared" si="13"/>
        <v>0</v>
      </c>
      <c r="S21" s="596">
        <f t="shared" si="14"/>
        <v>0</v>
      </c>
      <c r="T21" s="341">
        <f t="shared" si="5"/>
        <v>0</v>
      </c>
      <c r="U21" s="681">
        <f t="shared" si="6"/>
        <v>0</v>
      </c>
      <c r="V21" s="681">
        <f t="shared" si="7"/>
        <v>0</v>
      </c>
      <c r="W21" s="459">
        <f t="shared" si="8"/>
        <v>0</v>
      </c>
      <c r="X21" s="599" t="str">
        <f t="shared" si="15"/>
        <v>L</v>
      </c>
      <c r="Y21" s="600"/>
      <c r="Z21" s="686" t="e">
        <f>(R21+S21)*'1.0-Contractblad'!$L$98</f>
        <v>#DIV/0!</v>
      </c>
      <c r="AA21" s="687">
        <f ca="1">VLOOKUP(E21,'1.1a-Jaarprijzen'!$B$33:$O$51,14,FALSE)*(L21+K21)</f>
        <v>0</v>
      </c>
      <c r="AB21" s="60">
        <f t="shared" si="10"/>
        <v>0</v>
      </c>
      <c r="AD21" s="60" t="str">
        <f t="shared" si="11"/>
        <v>7200-200</v>
      </c>
    </row>
    <row r="22" spans="1:30">
      <c r="A22" s="92"/>
      <c r="B22" s="605"/>
      <c r="C22" s="590"/>
      <c r="D22" s="688">
        <v>1</v>
      </c>
      <c r="E22" s="591" t="s">
        <v>570</v>
      </c>
      <c r="F22" s="592" t="s">
        <v>348</v>
      </c>
      <c r="G22" s="593" t="s">
        <v>574</v>
      </c>
      <c r="H22" s="594" t="s">
        <v>310</v>
      </c>
      <c r="I22" s="595" t="s">
        <v>409</v>
      </c>
      <c r="J22" s="594" t="s">
        <v>640</v>
      </c>
      <c r="K22" s="678">
        <v>4.8</v>
      </c>
      <c r="L22" s="678"/>
      <c r="M22" s="606">
        <v>5200</v>
      </c>
      <c r="N22" s="601"/>
      <c r="O22" s="601"/>
      <c r="P22" s="603">
        <f t="shared" si="12"/>
        <v>200</v>
      </c>
      <c r="Q22" s="689">
        <v>1</v>
      </c>
      <c r="R22" s="596">
        <f t="shared" si="13"/>
        <v>0</v>
      </c>
      <c r="S22" s="596">
        <f t="shared" si="14"/>
        <v>0</v>
      </c>
      <c r="T22" s="597">
        <v>1.0308995182677358</v>
      </c>
      <c r="U22" s="681">
        <f t="shared" si="6"/>
        <v>0</v>
      </c>
      <c r="V22" s="681">
        <f t="shared" si="7"/>
        <v>0</v>
      </c>
      <c r="W22" s="600"/>
      <c r="X22" s="599" t="str">
        <f t="shared" si="15"/>
        <v>V</v>
      </c>
      <c r="Y22" s="600"/>
      <c r="Z22" s="686" t="e">
        <f>(R22+S22)*'1.0-Contractblad'!$L$98</f>
        <v>#DIV/0!</v>
      </c>
      <c r="AA22" s="687">
        <f ca="1">VLOOKUP(E22,'1.1a-Jaarprijzen'!$B$33:$O$51,14,FALSE)*(L22+K22)</f>
        <v>0</v>
      </c>
    </row>
    <row r="23" spans="1:30">
      <c r="A23" s="92">
        <f t="shared" si="0"/>
        <v>1</v>
      </c>
      <c r="B23" s="605"/>
      <c r="C23" s="590"/>
      <c r="D23" s="688">
        <v>1</v>
      </c>
      <c r="E23" s="591" t="s">
        <v>570</v>
      </c>
      <c r="F23" s="592" t="s">
        <v>348</v>
      </c>
      <c r="G23" s="593" t="s">
        <v>648</v>
      </c>
      <c r="H23" s="594" t="s">
        <v>310</v>
      </c>
      <c r="I23" s="595" t="str">
        <f t="shared" si="1"/>
        <v>pantry, keuken</v>
      </c>
      <c r="J23" s="594" t="s">
        <v>640</v>
      </c>
      <c r="K23" s="678">
        <v>4.8</v>
      </c>
      <c r="L23" s="678"/>
      <c r="M23" s="606">
        <v>5200</v>
      </c>
      <c r="N23" s="601"/>
      <c r="O23" s="601"/>
      <c r="P23" s="603">
        <f t="shared" si="12"/>
        <v>200</v>
      </c>
      <c r="Q23" s="689">
        <v>1</v>
      </c>
      <c r="R23" s="596">
        <f t="shared" si="13"/>
        <v>0</v>
      </c>
      <c r="S23" s="596">
        <f t="shared" si="14"/>
        <v>0</v>
      </c>
      <c r="T23" s="341">
        <f t="shared" si="5"/>
        <v>0</v>
      </c>
      <c r="U23" s="681">
        <f t="shared" si="6"/>
        <v>0</v>
      </c>
      <c r="V23" s="681">
        <f t="shared" si="7"/>
        <v>0</v>
      </c>
      <c r="W23" s="459">
        <f t="shared" si="8"/>
        <v>0</v>
      </c>
      <c r="X23" s="599" t="str">
        <f t="shared" si="15"/>
        <v>V</v>
      </c>
      <c r="Y23" s="600"/>
      <c r="Z23" s="686" t="e">
        <f>(R23+S23)*'1.0-Contractblad'!$L$98</f>
        <v>#DIV/0!</v>
      </c>
      <c r="AA23" s="687">
        <f ca="1">VLOOKUP(E23,'1.1a-Jaarprijzen'!$B$33:$O$51,14,FALSE)*(L23+K23)</f>
        <v>0</v>
      </c>
      <c r="AB23" s="60">
        <f t="shared" si="10"/>
        <v>0</v>
      </c>
      <c r="AD23" s="60" t="str">
        <f t="shared" si="11"/>
        <v>5200-200</v>
      </c>
    </row>
    <row r="24" spans="1:30">
      <c r="A24" s="92">
        <f t="shared" si="0"/>
        <v>1</v>
      </c>
      <c r="B24" s="605"/>
      <c r="C24" s="590"/>
      <c r="D24" s="688">
        <v>1</v>
      </c>
      <c r="E24" s="591" t="s">
        <v>570</v>
      </c>
      <c r="F24" s="592" t="s">
        <v>348</v>
      </c>
      <c r="G24" s="593" t="s">
        <v>353</v>
      </c>
      <c r="H24" s="594" t="s">
        <v>320</v>
      </c>
      <c r="I24" s="595" t="str">
        <f t="shared" si="1"/>
        <v>leslokaal</v>
      </c>
      <c r="J24" s="594" t="s">
        <v>493</v>
      </c>
      <c r="K24" s="678">
        <v>57.5</v>
      </c>
      <c r="L24" s="678"/>
      <c r="M24" s="606">
        <v>7200</v>
      </c>
      <c r="N24" s="601"/>
      <c r="O24" s="601"/>
      <c r="P24" s="603">
        <f t="shared" si="12"/>
        <v>200</v>
      </c>
      <c r="Q24" s="689">
        <v>1</v>
      </c>
      <c r="R24" s="596">
        <f t="shared" si="13"/>
        <v>0</v>
      </c>
      <c r="S24" s="596">
        <f t="shared" si="14"/>
        <v>0</v>
      </c>
      <c r="T24" s="341">
        <f t="shared" si="5"/>
        <v>0</v>
      </c>
      <c r="U24" s="681">
        <f t="shared" si="6"/>
        <v>0</v>
      </c>
      <c r="V24" s="681">
        <f t="shared" si="7"/>
        <v>0</v>
      </c>
      <c r="W24" s="459">
        <f t="shared" si="8"/>
        <v>0</v>
      </c>
      <c r="X24" s="599" t="str">
        <f t="shared" si="15"/>
        <v>L</v>
      </c>
      <c r="Y24" s="600"/>
      <c r="Z24" s="686" t="e">
        <f>(R24+S24)*'1.0-Contractblad'!$L$98</f>
        <v>#DIV/0!</v>
      </c>
      <c r="AA24" s="687">
        <f ca="1">VLOOKUP(E24,'1.1a-Jaarprijzen'!$B$33:$O$51,14,FALSE)*(L24+K24)</f>
        <v>0</v>
      </c>
      <c r="AB24" s="60">
        <f t="shared" si="10"/>
        <v>0</v>
      </c>
      <c r="AD24" s="60" t="str">
        <f t="shared" si="11"/>
        <v>7200-200</v>
      </c>
    </row>
    <row r="25" spans="1:30">
      <c r="A25" s="92">
        <f t="shared" si="0"/>
        <v>1</v>
      </c>
      <c r="B25" s="605"/>
      <c r="C25" s="590"/>
      <c r="D25" s="688">
        <v>1</v>
      </c>
      <c r="E25" s="591" t="s">
        <v>570</v>
      </c>
      <c r="F25" s="592" t="s">
        <v>348</v>
      </c>
      <c r="G25" s="593" t="s">
        <v>354</v>
      </c>
      <c r="H25" s="594" t="s">
        <v>320</v>
      </c>
      <c r="I25" s="595" t="str">
        <f t="shared" si="1"/>
        <v>leslokaal</v>
      </c>
      <c r="J25" s="594" t="s">
        <v>493</v>
      </c>
      <c r="K25" s="678">
        <v>57.5</v>
      </c>
      <c r="L25" s="678"/>
      <c r="M25" s="606">
        <v>7200</v>
      </c>
      <c r="N25" s="601"/>
      <c r="O25" s="601"/>
      <c r="P25" s="603">
        <f t="shared" si="12"/>
        <v>200</v>
      </c>
      <c r="Q25" s="689">
        <v>1</v>
      </c>
      <c r="R25" s="596">
        <f t="shared" si="13"/>
        <v>0</v>
      </c>
      <c r="S25" s="596">
        <f t="shared" si="14"/>
        <v>0</v>
      </c>
      <c r="T25" s="341">
        <f t="shared" si="5"/>
        <v>0</v>
      </c>
      <c r="U25" s="681">
        <f t="shared" si="6"/>
        <v>0</v>
      </c>
      <c r="V25" s="681">
        <f t="shared" si="7"/>
        <v>0</v>
      </c>
      <c r="W25" s="459">
        <f t="shared" si="8"/>
        <v>0</v>
      </c>
      <c r="X25" s="599" t="str">
        <f t="shared" si="15"/>
        <v>L</v>
      </c>
      <c r="Y25" s="600"/>
      <c r="Z25" s="686" t="e">
        <f>(R25+S25)*'1.0-Contractblad'!$L$98</f>
        <v>#DIV/0!</v>
      </c>
      <c r="AA25" s="687">
        <f ca="1">VLOOKUP(E25,'1.1a-Jaarprijzen'!$B$33:$O$51,14,FALSE)*(L25+K25)</f>
        <v>0</v>
      </c>
      <c r="AB25" s="60">
        <f t="shared" si="10"/>
        <v>0</v>
      </c>
      <c r="AD25" s="60" t="str">
        <f t="shared" si="11"/>
        <v>7200-200</v>
      </c>
    </row>
    <row r="26" spans="1:30">
      <c r="A26" s="92">
        <f t="shared" ref="A26:A60" si="16">D26</f>
        <v>1</v>
      </c>
      <c r="B26" s="605"/>
      <c r="C26" s="590"/>
      <c r="D26" s="688">
        <v>1</v>
      </c>
      <c r="E26" s="591" t="s">
        <v>570</v>
      </c>
      <c r="F26" s="592" t="s">
        <v>348</v>
      </c>
      <c r="G26" s="593" t="s">
        <v>355</v>
      </c>
      <c r="H26" s="594" t="s">
        <v>320</v>
      </c>
      <c r="I26" s="595" t="str">
        <f t="shared" ref="I26:I60" si="17">IF($M26="",0,VLOOKUP($M26,Kengetal,4,FALSE))</f>
        <v>leslokaal</v>
      </c>
      <c r="J26" s="594" t="s">
        <v>403</v>
      </c>
      <c r="K26" s="678">
        <v>53.1</v>
      </c>
      <c r="L26" s="678"/>
      <c r="M26" s="606">
        <v>7200</v>
      </c>
      <c r="N26" s="601"/>
      <c r="O26" s="601"/>
      <c r="P26" s="603">
        <f t="shared" si="12"/>
        <v>200</v>
      </c>
      <c r="Q26" s="689">
        <v>1</v>
      </c>
      <c r="R26" s="596">
        <f t="shared" si="13"/>
        <v>0</v>
      </c>
      <c r="S26" s="596">
        <f t="shared" si="14"/>
        <v>0</v>
      </c>
      <c r="T26" s="341">
        <f t="shared" ref="T26:T60" si="18">W26*K26*Q26</f>
        <v>0</v>
      </c>
      <c r="U26" s="681">
        <f t="shared" ref="U26:U28" si="19">VLOOKUP($M26,Kengetal,6,FALSE)</f>
        <v>0</v>
      </c>
      <c r="V26" s="681">
        <f t="shared" ref="V26:V28" si="20">VLOOKUP($M26,Kengetal,7,FALSE)</f>
        <v>0</v>
      </c>
      <c r="W26" s="459">
        <f t="shared" ref="W26:W60" si="21">VLOOKUP($O26,Kengetal,7,FALSE)</f>
        <v>0</v>
      </c>
      <c r="X26" s="599" t="str">
        <f t="shared" si="15"/>
        <v>L</v>
      </c>
      <c r="Y26" s="600"/>
      <c r="Z26" s="686" t="e">
        <f>(R26+S26)*'1.0-Contractblad'!$L$98</f>
        <v>#DIV/0!</v>
      </c>
      <c r="AA26" s="687">
        <f ca="1">VLOOKUP(E26,'1.1a-Jaarprijzen'!$B$33:$O$51,14,FALSE)*(L26+K26)</f>
        <v>0</v>
      </c>
      <c r="AB26" s="60">
        <f t="shared" si="10"/>
        <v>0</v>
      </c>
      <c r="AD26" s="60" t="str">
        <f t="shared" ref="AD26:AD60" si="22">CONCATENATE(M26,"-",P26)</f>
        <v>7200-200</v>
      </c>
    </row>
    <row r="27" spans="1:30">
      <c r="A27" s="92">
        <f t="shared" si="16"/>
        <v>1</v>
      </c>
      <c r="B27" s="605"/>
      <c r="C27" s="590"/>
      <c r="D27" s="688">
        <v>1</v>
      </c>
      <c r="E27" s="591" t="s">
        <v>570</v>
      </c>
      <c r="F27" s="592" t="s">
        <v>348</v>
      </c>
      <c r="G27" s="593" t="s">
        <v>356</v>
      </c>
      <c r="H27" s="594" t="s">
        <v>320</v>
      </c>
      <c r="I27" s="595" t="str">
        <f t="shared" si="17"/>
        <v>leslokaal</v>
      </c>
      <c r="J27" s="594" t="s">
        <v>403</v>
      </c>
      <c r="K27" s="678">
        <v>53.1</v>
      </c>
      <c r="L27" s="678"/>
      <c r="M27" s="606">
        <v>7200</v>
      </c>
      <c r="N27" s="601"/>
      <c r="O27" s="601"/>
      <c r="P27" s="603">
        <f t="shared" si="12"/>
        <v>200</v>
      </c>
      <c r="Q27" s="689">
        <v>1</v>
      </c>
      <c r="R27" s="596">
        <f t="shared" si="13"/>
        <v>0</v>
      </c>
      <c r="S27" s="596">
        <f t="shared" si="14"/>
        <v>0</v>
      </c>
      <c r="T27" s="341">
        <f t="shared" si="18"/>
        <v>0</v>
      </c>
      <c r="U27" s="681">
        <f t="shared" si="19"/>
        <v>0</v>
      </c>
      <c r="V27" s="681">
        <f t="shared" si="20"/>
        <v>0</v>
      </c>
      <c r="W27" s="459">
        <f t="shared" si="21"/>
        <v>0</v>
      </c>
      <c r="X27" s="599" t="str">
        <f t="shared" si="15"/>
        <v>L</v>
      </c>
      <c r="Y27" s="600"/>
      <c r="Z27" s="686" t="e">
        <f>(R27+S27)*'1.0-Contractblad'!$L$98</f>
        <v>#DIV/0!</v>
      </c>
      <c r="AA27" s="687">
        <f ca="1">VLOOKUP(E27,'1.1a-Jaarprijzen'!$B$33:$O$51,14,FALSE)*(L27+K27)</f>
        <v>0</v>
      </c>
      <c r="AB27" s="60">
        <f t="shared" ref="AB27:AB60" si="23">IF(M27=8255,R27+S27,0)</f>
        <v>0</v>
      </c>
      <c r="AD27" s="60" t="str">
        <f t="shared" si="22"/>
        <v>7200-200</v>
      </c>
    </row>
    <row r="28" spans="1:30">
      <c r="A28" s="92">
        <f t="shared" si="16"/>
        <v>1</v>
      </c>
      <c r="B28" s="605"/>
      <c r="C28" s="590"/>
      <c r="D28" s="688">
        <v>1</v>
      </c>
      <c r="E28" s="591" t="s">
        <v>570</v>
      </c>
      <c r="F28" s="592" t="s">
        <v>348</v>
      </c>
      <c r="G28" s="593" t="s">
        <v>369</v>
      </c>
      <c r="H28" s="594" t="s">
        <v>320</v>
      </c>
      <c r="I28" s="595" t="str">
        <f t="shared" si="17"/>
        <v>leslokaal</v>
      </c>
      <c r="J28" s="594" t="s">
        <v>493</v>
      </c>
      <c r="K28" s="678">
        <v>62.1</v>
      </c>
      <c r="L28" s="678"/>
      <c r="M28" s="606">
        <v>7200</v>
      </c>
      <c r="N28" s="601"/>
      <c r="O28" s="601"/>
      <c r="P28" s="603">
        <f t="shared" si="12"/>
        <v>200</v>
      </c>
      <c r="Q28" s="689">
        <v>1</v>
      </c>
      <c r="R28" s="596">
        <f t="shared" si="13"/>
        <v>0</v>
      </c>
      <c r="S28" s="596">
        <f t="shared" si="14"/>
        <v>0</v>
      </c>
      <c r="T28" s="341">
        <f t="shared" si="18"/>
        <v>0</v>
      </c>
      <c r="U28" s="681">
        <f t="shared" si="19"/>
        <v>0</v>
      </c>
      <c r="V28" s="681">
        <f t="shared" si="20"/>
        <v>0</v>
      </c>
      <c r="W28" s="459">
        <f t="shared" si="21"/>
        <v>0</v>
      </c>
      <c r="X28" s="599" t="str">
        <f t="shared" si="15"/>
        <v>L</v>
      </c>
      <c r="Y28" s="600"/>
      <c r="Z28" s="686" t="e">
        <f>(R28+S28)*'1.0-Contractblad'!$L$98</f>
        <v>#DIV/0!</v>
      </c>
      <c r="AA28" s="687">
        <f ca="1">VLOOKUP(E28,'1.1a-Jaarprijzen'!$B$33:$O$51,14,FALSE)*(L28+K28)</f>
        <v>0</v>
      </c>
      <c r="AB28" s="60">
        <f t="shared" si="23"/>
        <v>0</v>
      </c>
      <c r="AD28" s="60" t="str">
        <f t="shared" si="22"/>
        <v>7200-200</v>
      </c>
    </row>
    <row r="29" spans="1:30">
      <c r="A29" s="92">
        <f t="shared" si="16"/>
        <v>1</v>
      </c>
      <c r="B29" s="605"/>
      <c r="C29" s="590"/>
      <c r="D29" s="688">
        <v>1</v>
      </c>
      <c r="E29" s="591" t="s">
        <v>570</v>
      </c>
      <c r="F29" s="592" t="s">
        <v>348</v>
      </c>
      <c r="G29" s="593" t="s">
        <v>370</v>
      </c>
      <c r="H29" s="594" t="s">
        <v>320</v>
      </c>
      <c r="I29" s="595" t="str">
        <f t="shared" si="17"/>
        <v>leslokaal</v>
      </c>
      <c r="J29" s="594" t="s">
        <v>493</v>
      </c>
      <c r="K29" s="678">
        <v>62.1</v>
      </c>
      <c r="L29" s="678"/>
      <c r="M29" s="606">
        <v>7200</v>
      </c>
      <c r="N29" s="601"/>
      <c r="O29" s="601"/>
      <c r="P29" s="603">
        <f t="shared" ref="P29:P60" si="24">VLOOKUP(M29,Kengetal,3,FALSE)+VLOOKUP(N29,Kengetal,3,FALSE)+VLOOKUP(O29,Kengetal,3,FALSE)</f>
        <v>200</v>
      </c>
      <c r="Q29" s="689">
        <v>1</v>
      </c>
      <c r="R29" s="341">
        <f t="shared" ref="R29:R60" si="25">U29*K29*Q29</f>
        <v>0</v>
      </c>
      <c r="S29" s="341">
        <f t="shared" ref="S29:S60" si="26">V29*K29*Q29</f>
        <v>0</v>
      </c>
      <c r="T29" s="341">
        <f t="shared" si="18"/>
        <v>0</v>
      </c>
      <c r="U29" s="681">
        <f t="shared" ref="U29:U60" si="27">VLOOKUP($M29,Kengetal,6,FALSE)</f>
        <v>0</v>
      </c>
      <c r="V29" s="681">
        <f t="shared" ref="V29:V60" si="28">VLOOKUP($M29,Kengetal,7,FALSE)</f>
        <v>0</v>
      </c>
      <c r="W29" s="459">
        <f t="shared" si="21"/>
        <v>0</v>
      </c>
      <c r="X29" s="460" t="str">
        <f t="shared" ref="X29:X60" si="29">IF(M29="","",VLOOKUP(M29,Kengetal,14,FALSE))</f>
        <v>L</v>
      </c>
      <c r="Y29" s="600"/>
      <c r="Z29" s="686" t="e">
        <f>(R29+S29)*'1.0-Contractblad'!$L$98</f>
        <v>#DIV/0!</v>
      </c>
      <c r="AA29" s="687">
        <f ca="1">VLOOKUP(E29,'1.1a-Jaarprijzen'!$B$33:$O$51,14,FALSE)*(L29+K29)</f>
        <v>0</v>
      </c>
      <c r="AB29" s="60">
        <f t="shared" si="23"/>
        <v>0</v>
      </c>
      <c r="AD29" s="60" t="str">
        <f t="shared" si="22"/>
        <v>7200-200</v>
      </c>
    </row>
    <row r="30" spans="1:30">
      <c r="A30" s="92">
        <f t="shared" si="16"/>
        <v>1</v>
      </c>
      <c r="B30" s="605"/>
      <c r="C30" s="590"/>
      <c r="D30" s="688">
        <v>1</v>
      </c>
      <c r="E30" s="591" t="s">
        <v>570</v>
      </c>
      <c r="F30" s="592" t="s">
        <v>348</v>
      </c>
      <c r="G30" s="593" t="s">
        <v>371</v>
      </c>
      <c r="H30" s="594" t="s">
        <v>320</v>
      </c>
      <c r="I30" s="595" t="str">
        <f t="shared" si="17"/>
        <v>leslokaal</v>
      </c>
      <c r="J30" s="594" t="s">
        <v>493</v>
      </c>
      <c r="K30" s="678">
        <v>62.1</v>
      </c>
      <c r="L30" s="678"/>
      <c r="M30" s="606">
        <v>7200</v>
      </c>
      <c r="N30" s="601"/>
      <c r="O30" s="601"/>
      <c r="P30" s="603">
        <f t="shared" si="24"/>
        <v>200</v>
      </c>
      <c r="Q30" s="689">
        <v>1</v>
      </c>
      <c r="R30" s="341">
        <f t="shared" si="25"/>
        <v>0</v>
      </c>
      <c r="S30" s="341">
        <f t="shared" si="26"/>
        <v>0</v>
      </c>
      <c r="T30" s="341">
        <f t="shared" si="18"/>
        <v>0</v>
      </c>
      <c r="U30" s="681">
        <f t="shared" si="27"/>
        <v>0</v>
      </c>
      <c r="V30" s="681">
        <f t="shared" si="28"/>
        <v>0</v>
      </c>
      <c r="W30" s="459">
        <f t="shared" si="21"/>
        <v>0</v>
      </c>
      <c r="X30" s="460" t="str">
        <f t="shared" si="29"/>
        <v>L</v>
      </c>
      <c r="Y30" s="600"/>
      <c r="Z30" s="686" t="e">
        <f>(R30+S30)*'1.0-Contractblad'!$L$98</f>
        <v>#DIV/0!</v>
      </c>
      <c r="AA30" s="687">
        <f ca="1">VLOOKUP(E30,'1.1a-Jaarprijzen'!$B$33:$O$51,14,FALSE)*(L30+K30)</f>
        <v>0</v>
      </c>
      <c r="AB30" s="60">
        <f t="shared" si="23"/>
        <v>0</v>
      </c>
      <c r="AD30" s="60" t="str">
        <f t="shared" si="22"/>
        <v>7200-200</v>
      </c>
    </row>
    <row r="31" spans="1:30">
      <c r="A31" s="92">
        <f t="shared" si="16"/>
        <v>1</v>
      </c>
      <c r="B31" s="605"/>
      <c r="C31" s="590"/>
      <c r="D31" s="688">
        <v>1</v>
      </c>
      <c r="E31" s="591" t="s">
        <v>570</v>
      </c>
      <c r="F31" s="592" t="s">
        <v>348</v>
      </c>
      <c r="G31" s="593" t="s">
        <v>372</v>
      </c>
      <c r="H31" s="594" t="s">
        <v>320</v>
      </c>
      <c r="I31" s="595" t="str">
        <f t="shared" si="17"/>
        <v>leslokaal</v>
      </c>
      <c r="J31" s="594" t="s">
        <v>493</v>
      </c>
      <c r="K31" s="678">
        <v>62.1</v>
      </c>
      <c r="L31" s="678"/>
      <c r="M31" s="606">
        <v>7200</v>
      </c>
      <c r="N31" s="601"/>
      <c r="O31" s="601"/>
      <c r="P31" s="603">
        <f t="shared" si="24"/>
        <v>200</v>
      </c>
      <c r="Q31" s="689">
        <v>1</v>
      </c>
      <c r="R31" s="341">
        <f t="shared" si="25"/>
        <v>0</v>
      </c>
      <c r="S31" s="341">
        <f t="shared" si="26"/>
        <v>0</v>
      </c>
      <c r="T31" s="341">
        <f t="shared" si="18"/>
        <v>0</v>
      </c>
      <c r="U31" s="681">
        <f t="shared" si="27"/>
        <v>0</v>
      </c>
      <c r="V31" s="681">
        <f t="shared" si="28"/>
        <v>0</v>
      </c>
      <c r="W31" s="459">
        <f t="shared" si="21"/>
        <v>0</v>
      </c>
      <c r="X31" s="460" t="str">
        <f t="shared" si="29"/>
        <v>L</v>
      </c>
      <c r="Y31" s="600"/>
      <c r="Z31" s="686" t="e">
        <f>(R31+S31)*'1.0-Contractblad'!$L$98</f>
        <v>#DIV/0!</v>
      </c>
      <c r="AA31" s="687">
        <f ca="1">VLOOKUP(E31,'1.1a-Jaarprijzen'!$B$33:$O$51,14,FALSE)*(L31+K31)</f>
        <v>0</v>
      </c>
      <c r="AB31" s="60">
        <f t="shared" si="23"/>
        <v>0</v>
      </c>
      <c r="AD31" s="60" t="str">
        <f t="shared" si="22"/>
        <v>7200-200</v>
      </c>
    </row>
    <row r="32" spans="1:30">
      <c r="A32" s="92">
        <f t="shared" si="16"/>
        <v>1</v>
      </c>
      <c r="B32" s="605"/>
      <c r="C32" s="590"/>
      <c r="D32" s="688">
        <v>1</v>
      </c>
      <c r="E32" s="591" t="s">
        <v>570</v>
      </c>
      <c r="F32" s="592" t="s">
        <v>348</v>
      </c>
      <c r="G32" s="593" t="s">
        <v>379</v>
      </c>
      <c r="H32" s="594" t="s">
        <v>320</v>
      </c>
      <c r="I32" s="595" t="str">
        <f t="shared" si="17"/>
        <v>leslokaal</v>
      </c>
      <c r="J32" s="594" t="s">
        <v>403</v>
      </c>
      <c r="K32" s="678">
        <v>53.1</v>
      </c>
      <c r="L32" s="678"/>
      <c r="M32" s="606">
        <v>7200</v>
      </c>
      <c r="N32" s="601"/>
      <c r="O32" s="601"/>
      <c r="P32" s="603">
        <f t="shared" si="24"/>
        <v>200</v>
      </c>
      <c r="Q32" s="689">
        <v>1</v>
      </c>
      <c r="R32" s="341">
        <f t="shared" si="25"/>
        <v>0</v>
      </c>
      <c r="S32" s="341">
        <f t="shared" si="26"/>
        <v>0</v>
      </c>
      <c r="T32" s="341">
        <f t="shared" si="18"/>
        <v>0</v>
      </c>
      <c r="U32" s="681">
        <f t="shared" si="27"/>
        <v>0</v>
      </c>
      <c r="V32" s="681">
        <f t="shared" si="28"/>
        <v>0</v>
      </c>
      <c r="W32" s="459">
        <f t="shared" si="21"/>
        <v>0</v>
      </c>
      <c r="X32" s="460" t="str">
        <f t="shared" si="29"/>
        <v>L</v>
      </c>
      <c r="Y32" s="600"/>
      <c r="Z32" s="686" t="e">
        <f>(R32+S32)*'1.0-Contractblad'!$L$98</f>
        <v>#DIV/0!</v>
      </c>
      <c r="AA32" s="687">
        <f ca="1">VLOOKUP(E32,'1.1a-Jaarprijzen'!$B$33:$O$51,14,FALSE)*(L32+K32)</f>
        <v>0</v>
      </c>
      <c r="AB32" s="60">
        <f t="shared" si="23"/>
        <v>0</v>
      </c>
      <c r="AD32" s="60" t="str">
        <f t="shared" si="22"/>
        <v>7200-200</v>
      </c>
    </row>
    <row r="33" spans="1:30">
      <c r="A33" s="92">
        <f t="shared" si="16"/>
        <v>1</v>
      </c>
      <c r="B33" s="605"/>
      <c r="C33" s="590"/>
      <c r="D33" s="688">
        <v>1</v>
      </c>
      <c r="E33" s="591" t="s">
        <v>570</v>
      </c>
      <c r="F33" s="592" t="s">
        <v>348</v>
      </c>
      <c r="G33" s="593" t="s">
        <v>380</v>
      </c>
      <c r="H33" s="594" t="s">
        <v>320</v>
      </c>
      <c r="I33" s="595" t="str">
        <f t="shared" si="17"/>
        <v>leslokaal</v>
      </c>
      <c r="J33" s="594" t="s">
        <v>403</v>
      </c>
      <c r="K33" s="678">
        <v>53.1</v>
      </c>
      <c r="L33" s="678"/>
      <c r="M33" s="606">
        <v>7200</v>
      </c>
      <c r="N33" s="601"/>
      <c r="O33" s="601"/>
      <c r="P33" s="603">
        <f t="shared" si="24"/>
        <v>200</v>
      </c>
      <c r="Q33" s="689">
        <v>1</v>
      </c>
      <c r="R33" s="341">
        <f t="shared" si="25"/>
        <v>0</v>
      </c>
      <c r="S33" s="341">
        <f t="shared" si="26"/>
        <v>0</v>
      </c>
      <c r="T33" s="341">
        <f t="shared" si="18"/>
        <v>0</v>
      </c>
      <c r="U33" s="681">
        <f t="shared" si="27"/>
        <v>0</v>
      </c>
      <c r="V33" s="681">
        <f t="shared" si="28"/>
        <v>0</v>
      </c>
      <c r="W33" s="459">
        <f t="shared" si="21"/>
        <v>0</v>
      </c>
      <c r="X33" s="460" t="str">
        <f t="shared" si="29"/>
        <v>L</v>
      </c>
      <c r="Y33" s="600"/>
      <c r="Z33" s="686" t="e">
        <f>(R33+S33)*'1.0-Contractblad'!$L$98</f>
        <v>#DIV/0!</v>
      </c>
      <c r="AA33" s="687">
        <f ca="1">VLOOKUP(E33,'1.1a-Jaarprijzen'!$B$33:$O$51,14,FALSE)*(L33+K33)</f>
        <v>0</v>
      </c>
      <c r="AB33" s="60">
        <f t="shared" si="23"/>
        <v>0</v>
      </c>
      <c r="AD33" s="60" t="str">
        <f t="shared" si="22"/>
        <v>7200-200</v>
      </c>
    </row>
    <row r="34" spans="1:30">
      <c r="A34" s="92">
        <f t="shared" si="16"/>
        <v>1</v>
      </c>
      <c r="B34" s="605"/>
      <c r="C34" s="590"/>
      <c r="D34" s="688">
        <v>1</v>
      </c>
      <c r="E34" s="591" t="s">
        <v>570</v>
      </c>
      <c r="F34" s="592" t="s">
        <v>348</v>
      </c>
      <c r="G34" s="593" t="s">
        <v>381</v>
      </c>
      <c r="H34" s="594" t="s">
        <v>320</v>
      </c>
      <c r="I34" s="595" t="str">
        <f t="shared" si="17"/>
        <v>leslokaal</v>
      </c>
      <c r="J34" s="594" t="s">
        <v>493</v>
      </c>
      <c r="K34" s="678">
        <v>57.5</v>
      </c>
      <c r="L34" s="678"/>
      <c r="M34" s="606">
        <v>7200</v>
      </c>
      <c r="N34" s="601"/>
      <c r="O34" s="601"/>
      <c r="P34" s="603">
        <f t="shared" si="24"/>
        <v>200</v>
      </c>
      <c r="Q34" s="689">
        <v>1</v>
      </c>
      <c r="R34" s="341">
        <f t="shared" si="25"/>
        <v>0</v>
      </c>
      <c r="S34" s="341">
        <f t="shared" si="26"/>
        <v>0</v>
      </c>
      <c r="T34" s="341">
        <f t="shared" si="18"/>
        <v>0</v>
      </c>
      <c r="U34" s="681">
        <f t="shared" si="27"/>
        <v>0</v>
      </c>
      <c r="V34" s="681">
        <f t="shared" si="28"/>
        <v>0</v>
      </c>
      <c r="W34" s="459">
        <f t="shared" si="21"/>
        <v>0</v>
      </c>
      <c r="X34" s="460" t="str">
        <f t="shared" si="29"/>
        <v>L</v>
      </c>
      <c r="Y34" s="600"/>
      <c r="Z34" s="686" t="e">
        <f>(R34+S34)*'1.0-Contractblad'!$L$98</f>
        <v>#DIV/0!</v>
      </c>
      <c r="AA34" s="687">
        <f ca="1">VLOOKUP(E34,'1.1a-Jaarprijzen'!$B$33:$O$51,14,FALSE)*(L34+K34)</f>
        <v>0</v>
      </c>
      <c r="AB34" s="60">
        <f t="shared" si="23"/>
        <v>0</v>
      </c>
      <c r="AD34" s="60" t="str">
        <f t="shared" si="22"/>
        <v>7200-200</v>
      </c>
    </row>
    <row r="35" spans="1:30">
      <c r="A35" s="92">
        <f t="shared" si="16"/>
        <v>1</v>
      </c>
      <c r="B35" s="529"/>
      <c r="C35" s="590"/>
      <c r="D35" s="688">
        <v>1</v>
      </c>
      <c r="E35" s="591" t="s">
        <v>570</v>
      </c>
      <c r="F35" s="592" t="s">
        <v>348</v>
      </c>
      <c r="G35" s="593" t="s">
        <v>575</v>
      </c>
      <c r="H35" s="594" t="s">
        <v>320</v>
      </c>
      <c r="I35" s="595" t="str">
        <f t="shared" si="17"/>
        <v>leslokaal</v>
      </c>
      <c r="J35" s="594" t="s">
        <v>403</v>
      </c>
      <c r="K35" s="678">
        <v>57.5</v>
      </c>
      <c r="L35" s="678"/>
      <c r="M35" s="606">
        <v>7200</v>
      </c>
      <c r="N35" s="601"/>
      <c r="O35" s="601"/>
      <c r="P35" s="603">
        <f t="shared" si="24"/>
        <v>200</v>
      </c>
      <c r="Q35" s="689">
        <v>1</v>
      </c>
      <c r="R35" s="341">
        <f t="shared" si="25"/>
        <v>0</v>
      </c>
      <c r="S35" s="341">
        <f t="shared" si="26"/>
        <v>0</v>
      </c>
      <c r="T35" s="341">
        <f t="shared" si="18"/>
        <v>0</v>
      </c>
      <c r="U35" s="681">
        <f t="shared" si="27"/>
        <v>0</v>
      </c>
      <c r="V35" s="681">
        <f t="shared" si="28"/>
        <v>0</v>
      </c>
      <c r="W35" s="459">
        <f t="shared" si="21"/>
        <v>0</v>
      </c>
      <c r="X35" s="460" t="str">
        <f t="shared" si="29"/>
        <v>L</v>
      </c>
      <c r="Y35" s="461"/>
      <c r="Z35" s="686" t="e">
        <f>(R35+S35)*'1.0-Contractblad'!$L$98</f>
        <v>#DIV/0!</v>
      </c>
      <c r="AA35" s="687">
        <f ca="1">VLOOKUP(E35,'1.1a-Jaarprijzen'!$B$33:$O$51,14,FALSE)*(L35+K35)</f>
        <v>0</v>
      </c>
      <c r="AB35" s="60">
        <f t="shared" si="23"/>
        <v>0</v>
      </c>
      <c r="AD35" s="60" t="str">
        <f t="shared" si="22"/>
        <v>7200-200</v>
      </c>
    </row>
    <row r="36" spans="1:30">
      <c r="A36" s="92">
        <f t="shared" si="16"/>
        <v>1</v>
      </c>
      <c r="B36" s="529"/>
      <c r="C36" s="590"/>
      <c r="D36" s="688">
        <v>1</v>
      </c>
      <c r="E36" s="591" t="s">
        <v>570</v>
      </c>
      <c r="F36" s="592" t="s">
        <v>348</v>
      </c>
      <c r="G36" s="593" t="s">
        <v>576</v>
      </c>
      <c r="H36" s="594" t="s">
        <v>320</v>
      </c>
      <c r="I36" s="595" t="str">
        <f t="shared" si="17"/>
        <v>leslokaal</v>
      </c>
      <c r="J36" s="594" t="s">
        <v>403</v>
      </c>
      <c r="K36" s="678">
        <v>53.1</v>
      </c>
      <c r="L36" s="678"/>
      <c r="M36" s="606">
        <v>7200</v>
      </c>
      <c r="N36" s="601"/>
      <c r="O36" s="601"/>
      <c r="P36" s="603">
        <f t="shared" si="24"/>
        <v>200</v>
      </c>
      <c r="Q36" s="689">
        <v>1</v>
      </c>
      <c r="R36" s="341">
        <f t="shared" si="25"/>
        <v>0</v>
      </c>
      <c r="S36" s="341">
        <f t="shared" si="26"/>
        <v>0</v>
      </c>
      <c r="T36" s="341">
        <f t="shared" si="18"/>
        <v>0</v>
      </c>
      <c r="U36" s="681">
        <f t="shared" si="27"/>
        <v>0</v>
      </c>
      <c r="V36" s="681">
        <f t="shared" si="28"/>
        <v>0</v>
      </c>
      <c r="W36" s="459">
        <f t="shared" si="21"/>
        <v>0</v>
      </c>
      <c r="X36" s="460" t="str">
        <f t="shared" si="29"/>
        <v>L</v>
      </c>
      <c r="Y36" s="461"/>
      <c r="Z36" s="686" t="e">
        <f>(R36+S36)*'1.0-Contractblad'!$L$98</f>
        <v>#DIV/0!</v>
      </c>
      <c r="AA36" s="687">
        <f ca="1">VLOOKUP(E36,'1.1a-Jaarprijzen'!$B$33:$O$51,14,FALSE)*(L36+K36)</f>
        <v>0</v>
      </c>
      <c r="AB36" s="60">
        <f t="shared" si="23"/>
        <v>0</v>
      </c>
      <c r="AD36" s="60" t="str">
        <f t="shared" si="22"/>
        <v>7200-200</v>
      </c>
    </row>
    <row r="37" spans="1:30">
      <c r="A37" s="92">
        <f t="shared" si="16"/>
        <v>1</v>
      </c>
      <c r="B37" s="529"/>
      <c r="C37" s="590"/>
      <c r="D37" s="688">
        <v>1</v>
      </c>
      <c r="E37" s="591" t="s">
        <v>570</v>
      </c>
      <c r="F37" s="592" t="s">
        <v>348</v>
      </c>
      <c r="G37" s="593" t="s">
        <v>510</v>
      </c>
      <c r="H37" s="594" t="s">
        <v>320</v>
      </c>
      <c r="I37" s="595" t="str">
        <f t="shared" si="17"/>
        <v>leslokaal</v>
      </c>
      <c r="J37" s="594" t="s">
        <v>403</v>
      </c>
      <c r="K37" s="678">
        <v>53.1</v>
      </c>
      <c r="L37" s="678"/>
      <c r="M37" s="606">
        <v>7200</v>
      </c>
      <c r="N37" s="601"/>
      <c r="O37" s="601"/>
      <c r="P37" s="603">
        <f t="shared" si="24"/>
        <v>200</v>
      </c>
      <c r="Q37" s="689">
        <v>1</v>
      </c>
      <c r="R37" s="341">
        <f t="shared" si="25"/>
        <v>0</v>
      </c>
      <c r="S37" s="341">
        <f t="shared" si="26"/>
        <v>0</v>
      </c>
      <c r="T37" s="341">
        <f t="shared" si="18"/>
        <v>0</v>
      </c>
      <c r="U37" s="681">
        <f t="shared" si="27"/>
        <v>0</v>
      </c>
      <c r="V37" s="681">
        <f t="shared" si="28"/>
        <v>0</v>
      </c>
      <c r="W37" s="459">
        <f t="shared" si="21"/>
        <v>0</v>
      </c>
      <c r="X37" s="460" t="str">
        <f t="shared" si="29"/>
        <v>L</v>
      </c>
      <c r="Y37" s="461"/>
      <c r="Z37" s="686" t="e">
        <f>(R37+S37)*'1.0-Contractblad'!$L$98</f>
        <v>#DIV/0!</v>
      </c>
      <c r="AA37" s="687">
        <f ca="1">VLOOKUP(E37,'1.1a-Jaarprijzen'!$B$33:$O$51,14,FALSE)*(L37+K37)</f>
        <v>0</v>
      </c>
      <c r="AB37" s="60">
        <f t="shared" si="23"/>
        <v>0</v>
      </c>
      <c r="AD37" s="60" t="str">
        <f t="shared" si="22"/>
        <v>7200-200</v>
      </c>
    </row>
    <row r="38" spans="1:30">
      <c r="A38" s="92">
        <f t="shared" si="16"/>
        <v>1</v>
      </c>
      <c r="B38" s="529"/>
      <c r="C38" s="590"/>
      <c r="D38" s="688">
        <v>1</v>
      </c>
      <c r="E38" s="591" t="s">
        <v>570</v>
      </c>
      <c r="F38" s="592" t="s">
        <v>348</v>
      </c>
      <c r="G38" s="593" t="s">
        <v>511</v>
      </c>
      <c r="H38" s="594" t="s">
        <v>320</v>
      </c>
      <c r="I38" s="595" t="str">
        <f t="shared" si="17"/>
        <v>leslokaal</v>
      </c>
      <c r="J38" s="594" t="s">
        <v>403</v>
      </c>
      <c r="K38" s="678">
        <v>53.1</v>
      </c>
      <c r="L38" s="678"/>
      <c r="M38" s="606">
        <v>7200</v>
      </c>
      <c r="N38" s="601"/>
      <c r="O38" s="601"/>
      <c r="P38" s="603">
        <f t="shared" si="24"/>
        <v>200</v>
      </c>
      <c r="Q38" s="689">
        <v>1</v>
      </c>
      <c r="R38" s="341">
        <f t="shared" si="25"/>
        <v>0</v>
      </c>
      <c r="S38" s="341">
        <f t="shared" si="26"/>
        <v>0</v>
      </c>
      <c r="T38" s="341">
        <f t="shared" si="18"/>
        <v>0</v>
      </c>
      <c r="U38" s="681">
        <f t="shared" si="27"/>
        <v>0</v>
      </c>
      <c r="V38" s="681">
        <f t="shared" si="28"/>
        <v>0</v>
      </c>
      <c r="W38" s="459">
        <f t="shared" si="21"/>
        <v>0</v>
      </c>
      <c r="X38" s="460" t="str">
        <f t="shared" si="29"/>
        <v>L</v>
      </c>
      <c r="Y38" s="461"/>
      <c r="Z38" s="686" t="e">
        <f>(R38+S38)*'1.0-Contractblad'!$L$98</f>
        <v>#DIV/0!</v>
      </c>
      <c r="AA38" s="687">
        <f ca="1">VLOOKUP(E38,'1.1a-Jaarprijzen'!$B$33:$O$51,14,FALSE)*(L38+K38)</f>
        <v>0</v>
      </c>
      <c r="AB38" s="60">
        <f t="shared" si="23"/>
        <v>0</v>
      </c>
      <c r="AD38" s="60" t="str">
        <f t="shared" si="22"/>
        <v>7200-200</v>
      </c>
    </row>
    <row r="39" spans="1:30">
      <c r="A39" s="92">
        <f t="shared" si="16"/>
        <v>1</v>
      </c>
      <c r="B39" s="529"/>
      <c r="C39" s="590"/>
      <c r="D39" s="688">
        <v>1</v>
      </c>
      <c r="E39" s="591" t="s">
        <v>570</v>
      </c>
      <c r="F39" s="592" t="s">
        <v>348</v>
      </c>
      <c r="G39" s="593" t="s">
        <v>357</v>
      </c>
      <c r="H39" s="594" t="s">
        <v>315</v>
      </c>
      <c r="I39" s="595" t="str">
        <f t="shared" si="17"/>
        <v>aula, gemeenschappelijke ruimte, bibliotheek</v>
      </c>
      <c r="J39" s="594" t="s">
        <v>493</v>
      </c>
      <c r="K39" s="678">
        <v>9</v>
      </c>
      <c r="L39" s="678"/>
      <c r="M39" s="606">
        <v>2040</v>
      </c>
      <c r="N39" s="601"/>
      <c r="O39" s="601"/>
      <c r="P39" s="603">
        <f t="shared" si="24"/>
        <v>40</v>
      </c>
      <c r="Q39" s="689">
        <v>1</v>
      </c>
      <c r="R39" s="341">
        <f t="shared" si="25"/>
        <v>0</v>
      </c>
      <c r="S39" s="341">
        <f t="shared" si="26"/>
        <v>0</v>
      </c>
      <c r="T39" s="341">
        <f t="shared" si="18"/>
        <v>0</v>
      </c>
      <c r="U39" s="681">
        <f t="shared" si="27"/>
        <v>0</v>
      </c>
      <c r="V39" s="681">
        <f t="shared" si="28"/>
        <v>0</v>
      </c>
      <c r="W39" s="459">
        <f t="shared" si="21"/>
        <v>0</v>
      </c>
      <c r="X39" s="460" t="str">
        <f t="shared" si="29"/>
        <v>V</v>
      </c>
      <c r="Y39" s="461"/>
      <c r="Z39" s="686" t="e">
        <f>(R39+S39)*'1.0-Contractblad'!$L$98</f>
        <v>#DIV/0!</v>
      </c>
      <c r="AA39" s="687">
        <f ca="1">VLOOKUP(E39,'1.1a-Jaarprijzen'!$B$33:$O$51,14,FALSE)*(L39+K39)</f>
        <v>0</v>
      </c>
      <c r="AB39" s="60">
        <f t="shared" si="23"/>
        <v>0</v>
      </c>
      <c r="AD39" s="60" t="str">
        <f t="shared" si="22"/>
        <v>2040-40</v>
      </c>
    </row>
    <row r="40" spans="1:30">
      <c r="A40" s="92">
        <f t="shared" si="16"/>
        <v>1</v>
      </c>
      <c r="B40" s="529"/>
      <c r="C40" s="590"/>
      <c r="D40" s="688">
        <v>1</v>
      </c>
      <c r="E40" s="591" t="s">
        <v>570</v>
      </c>
      <c r="F40" s="592" t="s">
        <v>348</v>
      </c>
      <c r="G40" s="593" t="s">
        <v>365</v>
      </c>
      <c r="H40" s="594" t="s">
        <v>314</v>
      </c>
      <c r="I40" s="595" t="str">
        <f t="shared" si="17"/>
        <v>administratieve -, personeels- en vergaderruimte</v>
      </c>
      <c r="J40" s="594" t="s">
        <v>403</v>
      </c>
      <c r="K40" s="678">
        <v>34</v>
      </c>
      <c r="L40" s="678"/>
      <c r="M40" s="606">
        <v>1040</v>
      </c>
      <c r="N40" s="601"/>
      <c r="O40" s="601"/>
      <c r="P40" s="603">
        <f t="shared" si="24"/>
        <v>40</v>
      </c>
      <c r="Q40" s="689">
        <v>1</v>
      </c>
      <c r="R40" s="341">
        <f t="shared" si="25"/>
        <v>0</v>
      </c>
      <c r="S40" s="341">
        <f t="shared" si="26"/>
        <v>0</v>
      </c>
      <c r="T40" s="341">
        <f t="shared" si="18"/>
        <v>0</v>
      </c>
      <c r="U40" s="681">
        <f t="shared" si="27"/>
        <v>0</v>
      </c>
      <c r="V40" s="681">
        <f t="shared" si="28"/>
        <v>0</v>
      </c>
      <c r="W40" s="459">
        <f t="shared" si="21"/>
        <v>0</v>
      </c>
      <c r="X40" s="460" t="str">
        <f t="shared" si="29"/>
        <v>V</v>
      </c>
      <c r="Y40" s="461"/>
      <c r="Z40" s="686" t="e">
        <f>(R40+S40)*'1.0-Contractblad'!$L$98</f>
        <v>#DIV/0!</v>
      </c>
      <c r="AA40" s="687">
        <f ca="1">VLOOKUP(E40,'1.1a-Jaarprijzen'!$B$33:$O$51,14,FALSE)*(L40+K40)</f>
        <v>0</v>
      </c>
      <c r="AB40" s="60">
        <f t="shared" si="23"/>
        <v>0</v>
      </c>
      <c r="AD40" s="60" t="str">
        <f t="shared" si="22"/>
        <v>1040-40</v>
      </c>
    </row>
    <row r="41" spans="1:30">
      <c r="A41" s="92">
        <f t="shared" si="16"/>
        <v>1</v>
      </c>
      <c r="B41" s="529"/>
      <c r="C41" s="590"/>
      <c r="D41" s="688">
        <v>1</v>
      </c>
      <c r="E41" s="591" t="s">
        <v>570</v>
      </c>
      <c r="F41" s="592" t="s">
        <v>348</v>
      </c>
      <c r="G41" s="593" t="s">
        <v>386</v>
      </c>
      <c r="H41" s="594" t="s">
        <v>314</v>
      </c>
      <c r="I41" s="595" t="str">
        <f t="shared" si="17"/>
        <v>administratieve -, personeels- en vergaderruimte</v>
      </c>
      <c r="J41" s="594" t="s">
        <v>403</v>
      </c>
      <c r="K41" s="678">
        <v>34</v>
      </c>
      <c r="L41" s="678"/>
      <c r="M41" s="606">
        <v>1040</v>
      </c>
      <c r="N41" s="601"/>
      <c r="O41" s="601"/>
      <c r="P41" s="603">
        <f t="shared" si="24"/>
        <v>40</v>
      </c>
      <c r="Q41" s="689">
        <v>1</v>
      </c>
      <c r="R41" s="341">
        <f t="shared" si="25"/>
        <v>0</v>
      </c>
      <c r="S41" s="341">
        <f t="shared" si="26"/>
        <v>0</v>
      </c>
      <c r="T41" s="341">
        <f t="shared" si="18"/>
        <v>0</v>
      </c>
      <c r="U41" s="681">
        <f t="shared" si="27"/>
        <v>0</v>
      </c>
      <c r="V41" s="681">
        <f t="shared" si="28"/>
        <v>0</v>
      </c>
      <c r="W41" s="459">
        <f t="shared" si="21"/>
        <v>0</v>
      </c>
      <c r="X41" s="460" t="str">
        <f t="shared" si="29"/>
        <v>V</v>
      </c>
      <c r="Y41" s="461"/>
      <c r="Z41" s="686" t="e">
        <f>(R41+S41)*'1.0-Contractblad'!$L$98</f>
        <v>#DIV/0!</v>
      </c>
      <c r="AA41" s="687">
        <f ca="1">VLOOKUP(E41,'1.1a-Jaarprijzen'!$B$33:$O$51,14,FALSE)*(L41+K41)</f>
        <v>0</v>
      </c>
      <c r="AB41" s="60">
        <f t="shared" si="23"/>
        <v>0</v>
      </c>
      <c r="AD41" s="60" t="str">
        <f t="shared" si="22"/>
        <v>1040-40</v>
      </c>
    </row>
    <row r="42" spans="1:30">
      <c r="A42" s="92">
        <f t="shared" si="16"/>
        <v>1</v>
      </c>
      <c r="B42" s="529"/>
      <c r="C42" s="590"/>
      <c r="D42" s="688">
        <v>1</v>
      </c>
      <c r="E42" s="591" t="s">
        <v>570</v>
      </c>
      <c r="F42" s="592" t="s">
        <v>348</v>
      </c>
      <c r="G42" s="593" t="s">
        <v>494</v>
      </c>
      <c r="H42" s="594" t="s">
        <v>637</v>
      </c>
      <c r="I42" s="595" t="str">
        <f t="shared" si="17"/>
        <v>speellokaal (peuterspeelzaal)</v>
      </c>
      <c r="J42" s="594" t="s">
        <v>641</v>
      </c>
      <c r="K42" s="678">
        <f>7.5*11</f>
        <v>82.5</v>
      </c>
      <c r="L42" s="678"/>
      <c r="M42" s="606">
        <v>8200</v>
      </c>
      <c r="N42" s="601"/>
      <c r="O42" s="601"/>
      <c r="P42" s="603">
        <f t="shared" si="24"/>
        <v>200</v>
      </c>
      <c r="Q42" s="689">
        <v>1</v>
      </c>
      <c r="R42" s="341">
        <f t="shared" si="25"/>
        <v>0</v>
      </c>
      <c r="S42" s="341">
        <f t="shared" si="26"/>
        <v>0</v>
      </c>
      <c r="T42" s="341">
        <f t="shared" si="18"/>
        <v>0</v>
      </c>
      <c r="U42" s="681">
        <f t="shared" si="27"/>
        <v>0</v>
      </c>
      <c r="V42" s="681">
        <f t="shared" si="28"/>
        <v>0</v>
      </c>
      <c r="W42" s="459">
        <f t="shared" si="21"/>
        <v>0</v>
      </c>
      <c r="X42" s="460" t="str">
        <f t="shared" si="29"/>
        <v>L</v>
      </c>
      <c r="Y42" s="461"/>
      <c r="Z42" s="686" t="e">
        <f>(R42+S42)*'1.0-Contractblad'!$L$98</f>
        <v>#DIV/0!</v>
      </c>
      <c r="AA42" s="687">
        <f ca="1">VLOOKUP(E42,'1.1a-Jaarprijzen'!$B$33:$O$51,14,FALSE)*(L42+K42)</f>
        <v>0</v>
      </c>
      <c r="AB42" s="60">
        <f t="shared" si="23"/>
        <v>0</v>
      </c>
      <c r="AD42" s="60" t="str">
        <f t="shared" si="22"/>
        <v>8200-200</v>
      </c>
    </row>
    <row r="43" spans="1:30">
      <c r="A43" s="92">
        <f t="shared" si="16"/>
        <v>1</v>
      </c>
      <c r="B43" s="529"/>
      <c r="C43" s="590"/>
      <c r="D43" s="688">
        <v>1</v>
      </c>
      <c r="E43" s="591" t="s">
        <v>570</v>
      </c>
      <c r="F43" s="592" t="s">
        <v>348</v>
      </c>
      <c r="G43" s="593" t="s">
        <v>577</v>
      </c>
      <c r="H43" s="594" t="s">
        <v>637</v>
      </c>
      <c r="I43" s="595" t="str">
        <f t="shared" si="17"/>
        <v>speellokaal (peuterspeelzaal)</v>
      </c>
      <c r="J43" s="594" t="s">
        <v>641</v>
      </c>
      <c r="K43" s="678">
        <f>7.5*11</f>
        <v>82.5</v>
      </c>
      <c r="L43" s="678"/>
      <c r="M43" s="606">
        <v>8200</v>
      </c>
      <c r="N43" s="601"/>
      <c r="O43" s="601"/>
      <c r="P43" s="603">
        <f t="shared" si="24"/>
        <v>200</v>
      </c>
      <c r="Q43" s="689">
        <v>1</v>
      </c>
      <c r="R43" s="341">
        <f t="shared" si="25"/>
        <v>0</v>
      </c>
      <c r="S43" s="341">
        <f t="shared" si="26"/>
        <v>0</v>
      </c>
      <c r="T43" s="341">
        <f t="shared" si="18"/>
        <v>0</v>
      </c>
      <c r="U43" s="681">
        <f t="shared" si="27"/>
        <v>0</v>
      </c>
      <c r="V43" s="681">
        <f t="shared" si="28"/>
        <v>0</v>
      </c>
      <c r="W43" s="459">
        <f t="shared" si="21"/>
        <v>0</v>
      </c>
      <c r="X43" s="460" t="str">
        <f t="shared" si="29"/>
        <v>L</v>
      </c>
      <c r="Y43" s="461"/>
      <c r="Z43" s="686" t="e">
        <f>(R43+S43)*'1.0-Contractblad'!$L$98</f>
        <v>#DIV/0!</v>
      </c>
      <c r="AA43" s="687">
        <f ca="1">VLOOKUP(E43,'1.1a-Jaarprijzen'!$B$33:$O$51,14,FALSE)*(L43+K43)</f>
        <v>0</v>
      </c>
      <c r="AB43" s="60">
        <f t="shared" si="23"/>
        <v>0</v>
      </c>
      <c r="AD43" s="60" t="str">
        <f t="shared" si="22"/>
        <v>8200-200</v>
      </c>
    </row>
    <row r="44" spans="1:30">
      <c r="A44" s="92">
        <f t="shared" si="16"/>
        <v>1</v>
      </c>
      <c r="B44" s="529"/>
      <c r="C44" s="590"/>
      <c r="D44" s="688">
        <v>1</v>
      </c>
      <c r="E44" s="591" t="s">
        <v>570</v>
      </c>
      <c r="F44" s="592" t="s">
        <v>348</v>
      </c>
      <c r="G44" s="593" t="s">
        <v>495</v>
      </c>
      <c r="H44" s="594" t="s">
        <v>322</v>
      </c>
      <c r="I44" s="595" t="str">
        <f t="shared" si="17"/>
        <v>sanitaire ruimte (toilet-/doucheruimte)</v>
      </c>
      <c r="J44" s="594" t="s">
        <v>640</v>
      </c>
      <c r="K44" s="678">
        <v>4.5999999999999996</v>
      </c>
      <c r="L44" s="678"/>
      <c r="M44" s="606">
        <v>4200</v>
      </c>
      <c r="N44" s="601"/>
      <c r="O44" s="601"/>
      <c r="P44" s="603">
        <f t="shared" si="24"/>
        <v>200</v>
      </c>
      <c r="Q44" s="689">
        <v>1</v>
      </c>
      <c r="R44" s="341">
        <f t="shared" si="25"/>
        <v>0</v>
      </c>
      <c r="S44" s="341">
        <f t="shared" si="26"/>
        <v>0</v>
      </c>
      <c r="T44" s="341">
        <f t="shared" si="18"/>
        <v>0</v>
      </c>
      <c r="U44" s="681">
        <f t="shared" si="27"/>
        <v>0</v>
      </c>
      <c r="V44" s="681">
        <f t="shared" si="28"/>
        <v>0</v>
      </c>
      <c r="W44" s="459">
        <f t="shared" si="21"/>
        <v>0</v>
      </c>
      <c r="X44" s="460" t="str">
        <f t="shared" si="29"/>
        <v>S</v>
      </c>
      <c r="Y44" s="461"/>
      <c r="Z44" s="686" t="e">
        <f>(R44+S44)*'1.0-Contractblad'!$L$98</f>
        <v>#DIV/0!</v>
      </c>
      <c r="AA44" s="687">
        <f ca="1">VLOOKUP(E44,'1.1a-Jaarprijzen'!$B$33:$O$51,14,FALSE)*(L44+K44)</f>
        <v>0</v>
      </c>
      <c r="AB44" s="60">
        <f t="shared" si="23"/>
        <v>0</v>
      </c>
      <c r="AD44" s="60" t="str">
        <f t="shared" si="22"/>
        <v>4200-200</v>
      </c>
    </row>
    <row r="45" spans="1:30">
      <c r="A45" s="92">
        <f t="shared" si="16"/>
        <v>1</v>
      </c>
      <c r="B45" s="529"/>
      <c r="C45" s="590"/>
      <c r="D45" s="688">
        <v>1</v>
      </c>
      <c r="E45" s="591" t="s">
        <v>570</v>
      </c>
      <c r="F45" s="592" t="s">
        <v>348</v>
      </c>
      <c r="G45" s="593" t="s">
        <v>496</v>
      </c>
      <c r="H45" s="594" t="s">
        <v>322</v>
      </c>
      <c r="I45" s="595" t="str">
        <f t="shared" si="17"/>
        <v>sanitaire ruimte (toilet-/doucheruimte)</v>
      </c>
      <c r="J45" s="594" t="s">
        <v>640</v>
      </c>
      <c r="K45" s="678">
        <v>4.5999999999999996</v>
      </c>
      <c r="L45" s="678"/>
      <c r="M45" s="606">
        <v>4200</v>
      </c>
      <c r="N45" s="601"/>
      <c r="O45" s="601"/>
      <c r="P45" s="603">
        <f t="shared" si="24"/>
        <v>200</v>
      </c>
      <c r="Q45" s="689">
        <v>1</v>
      </c>
      <c r="R45" s="341">
        <f t="shared" si="25"/>
        <v>0</v>
      </c>
      <c r="S45" s="341">
        <f t="shared" si="26"/>
        <v>0</v>
      </c>
      <c r="T45" s="341">
        <f t="shared" si="18"/>
        <v>0</v>
      </c>
      <c r="U45" s="681">
        <f t="shared" si="27"/>
        <v>0</v>
      </c>
      <c r="V45" s="681">
        <f t="shared" si="28"/>
        <v>0</v>
      </c>
      <c r="W45" s="459">
        <f t="shared" si="21"/>
        <v>0</v>
      </c>
      <c r="X45" s="460" t="str">
        <f t="shared" si="29"/>
        <v>S</v>
      </c>
      <c r="Y45" s="461"/>
      <c r="Z45" s="686" t="e">
        <f>(R45+S45)*'1.0-Contractblad'!$L$98</f>
        <v>#DIV/0!</v>
      </c>
      <c r="AA45" s="687">
        <f ca="1">VLOOKUP(E45,'1.1a-Jaarprijzen'!$B$33:$O$51,14,FALSE)*(L45+K45)</f>
        <v>0</v>
      </c>
      <c r="AB45" s="60">
        <f t="shared" si="23"/>
        <v>0</v>
      </c>
      <c r="AD45" s="60" t="str">
        <f t="shared" si="22"/>
        <v>4200-200</v>
      </c>
    </row>
    <row r="46" spans="1:30">
      <c r="A46" s="92">
        <f t="shared" si="16"/>
        <v>1</v>
      </c>
      <c r="B46" s="529"/>
      <c r="C46" s="590"/>
      <c r="D46" s="688">
        <v>1</v>
      </c>
      <c r="E46" s="591" t="s">
        <v>570</v>
      </c>
      <c r="F46" s="592" t="s">
        <v>348</v>
      </c>
      <c r="G46" s="593" t="s">
        <v>497</v>
      </c>
      <c r="H46" s="594" t="s">
        <v>322</v>
      </c>
      <c r="I46" s="595" t="str">
        <f t="shared" si="17"/>
        <v>sanitaire ruimte (toilet-/doucheruimte)</v>
      </c>
      <c r="J46" s="594" t="s">
        <v>640</v>
      </c>
      <c r="K46" s="678">
        <v>1</v>
      </c>
      <c r="L46" s="678"/>
      <c r="M46" s="606">
        <v>4200</v>
      </c>
      <c r="N46" s="601"/>
      <c r="O46" s="601"/>
      <c r="P46" s="603">
        <f t="shared" si="24"/>
        <v>200</v>
      </c>
      <c r="Q46" s="689">
        <v>1</v>
      </c>
      <c r="R46" s="341">
        <f t="shared" si="25"/>
        <v>0</v>
      </c>
      <c r="S46" s="341">
        <f t="shared" si="26"/>
        <v>0</v>
      </c>
      <c r="T46" s="341">
        <f t="shared" si="18"/>
        <v>0</v>
      </c>
      <c r="U46" s="681">
        <f t="shared" si="27"/>
        <v>0</v>
      </c>
      <c r="V46" s="681">
        <f t="shared" si="28"/>
        <v>0</v>
      </c>
      <c r="W46" s="459">
        <f t="shared" si="21"/>
        <v>0</v>
      </c>
      <c r="X46" s="460" t="str">
        <f t="shared" si="29"/>
        <v>S</v>
      </c>
      <c r="Y46" s="461"/>
      <c r="Z46" s="686" t="e">
        <f>(R46+S46)*'1.0-Contractblad'!$L$98</f>
        <v>#DIV/0!</v>
      </c>
      <c r="AA46" s="687">
        <f ca="1">VLOOKUP(E46,'1.1a-Jaarprijzen'!$B$33:$O$51,14,FALSE)*(L46+K46)</f>
        <v>0</v>
      </c>
      <c r="AB46" s="60">
        <f t="shared" si="23"/>
        <v>0</v>
      </c>
      <c r="AD46" s="60" t="str">
        <f t="shared" si="22"/>
        <v>4200-200</v>
      </c>
    </row>
    <row r="47" spans="1:30">
      <c r="A47" s="92">
        <f t="shared" si="16"/>
        <v>1</v>
      </c>
      <c r="B47" s="529"/>
      <c r="C47" s="590"/>
      <c r="D47" s="688">
        <v>1</v>
      </c>
      <c r="E47" s="591" t="s">
        <v>570</v>
      </c>
      <c r="F47" s="592" t="s">
        <v>348</v>
      </c>
      <c r="G47" s="593" t="s">
        <v>498</v>
      </c>
      <c r="H47" s="594" t="s">
        <v>322</v>
      </c>
      <c r="I47" s="595" t="str">
        <f t="shared" si="17"/>
        <v>sanitaire ruimte (toilet-/doucheruimte)</v>
      </c>
      <c r="J47" s="594" t="s">
        <v>640</v>
      </c>
      <c r="K47" s="678">
        <v>1</v>
      </c>
      <c r="L47" s="678"/>
      <c r="M47" s="606">
        <v>4200</v>
      </c>
      <c r="N47" s="601"/>
      <c r="O47" s="601"/>
      <c r="P47" s="603">
        <f t="shared" si="24"/>
        <v>200</v>
      </c>
      <c r="Q47" s="689">
        <v>1</v>
      </c>
      <c r="R47" s="341">
        <f t="shared" si="25"/>
        <v>0</v>
      </c>
      <c r="S47" s="341">
        <f t="shared" si="26"/>
        <v>0</v>
      </c>
      <c r="T47" s="341">
        <f t="shared" si="18"/>
        <v>0</v>
      </c>
      <c r="U47" s="681">
        <f t="shared" si="27"/>
        <v>0</v>
      </c>
      <c r="V47" s="681">
        <f t="shared" si="28"/>
        <v>0</v>
      </c>
      <c r="W47" s="459">
        <f t="shared" si="21"/>
        <v>0</v>
      </c>
      <c r="X47" s="460" t="str">
        <f t="shared" si="29"/>
        <v>S</v>
      </c>
      <c r="Y47" s="461"/>
      <c r="Z47" s="686" t="e">
        <f>(R47+S47)*'1.0-Contractblad'!$L$98</f>
        <v>#DIV/0!</v>
      </c>
      <c r="AA47" s="687">
        <f ca="1">VLOOKUP(E47,'1.1a-Jaarprijzen'!$B$33:$O$51,14,FALSE)*(L47+K47)</f>
        <v>0</v>
      </c>
      <c r="AB47" s="60">
        <f t="shared" si="23"/>
        <v>0</v>
      </c>
      <c r="AD47" s="60" t="str">
        <f t="shared" si="22"/>
        <v>4200-200</v>
      </c>
    </row>
    <row r="48" spans="1:30">
      <c r="A48" s="92">
        <f t="shared" si="16"/>
        <v>1</v>
      </c>
      <c r="B48" s="529"/>
      <c r="C48" s="590"/>
      <c r="D48" s="688">
        <v>1</v>
      </c>
      <c r="E48" s="591" t="s">
        <v>570</v>
      </c>
      <c r="F48" s="592" t="s">
        <v>348</v>
      </c>
      <c r="G48" s="593" t="s">
        <v>499</v>
      </c>
      <c r="H48" s="594" t="s">
        <v>322</v>
      </c>
      <c r="I48" s="595" t="str">
        <f t="shared" si="17"/>
        <v>sanitaire ruimte (toilet-/doucheruimte)</v>
      </c>
      <c r="J48" s="594" t="s">
        <v>640</v>
      </c>
      <c r="K48" s="678">
        <v>4.5999999999999996</v>
      </c>
      <c r="L48" s="678"/>
      <c r="M48" s="606">
        <v>4200</v>
      </c>
      <c r="N48" s="601"/>
      <c r="O48" s="601"/>
      <c r="P48" s="603">
        <f t="shared" si="24"/>
        <v>200</v>
      </c>
      <c r="Q48" s="689">
        <v>1</v>
      </c>
      <c r="R48" s="341">
        <f t="shared" si="25"/>
        <v>0</v>
      </c>
      <c r="S48" s="341">
        <f t="shared" si="26"/>
        <v>0</v>
      </c>
      <c r="T48" s="341">
        <f t="shared" si="18"/>
        <v>0</v>
      </c>
      <c r="U48" s="681">
        <f t="shared" si="27"/>
        <v>0</v>
      </c>
      <c r="V48" s="681">
        <f t="shared" si="28"/>
        <v>0</v>
      </c>
      <c r="W48" s="459">
        <f t="shared" si="21"/>
        <v>0</v>
      </c>
      <c r="X48" s="460" t="str">
        <f t="shared" si="29"/>
        <v>S</v>
      </c>
      <c r="Y48" s="461"/>
      <c r="Z48" s="686" t="e">
        <f>(R48+S48)*'1.0-Contractblad'!$L$98</f>
        <v>#DIV/0!</v>
      </c>
      <c r="AA48" s="687">
        <f ca="1">VLOOKUP(E48,'1.1a-Jaarprijzen'!$B$33:$O$51,14,FALSE)*(L48+K48)</f>
        <v>0</v>
      </c>
      <c r="AB48" s="60">
        <f t="shared" si="23"/>
        <v>0</v>
      </c>
      <c r="AD48" s="60" t="str">
        <f t="shared" si="22"/>
        <v>4200-200</v>
      </c>
    </row>
    <row r="49" spans="1:30">
      <c r="A49" s="92">
        <f t="shared" si="16"/>
        <v>1</v>
      </c>
      <c r="B49" s="529"/>
      <c r="C49" s="590"/>
      <c r="D49" s="688">
        <v>1</v>
      </c>
      <c r="E49" s="591" t="s">
        <v>570</v>
      </c>
      <c r="F49" s="592" t="s">
        <v>348</v>
      </c>
      <c r="G49" s="593" t="s">
        <v>500</v>
      </c>
      <c r="H49" s="594" t="s">
        <v>322</v>
      </c>
      <c r="I49" s="595" t="str">
        <f t="shared" si="17"/>
        <v>sanitaire ruimte (toilet-/doucheruimte)</v>
      </c>
      <c r="J49" s="594" t="s">
        <v>640</v>
      </c>
      <c r="K49" s="678">
        <v>4.5999999999999996</v>
      </c>
      <c r="L49" s="678"/>
      <c r="M49" s="606">
        <v>4200</v>
      </c>
      <c r="N49" s="601"/>
      <c r="O49" s="601"/>
      <c r="P49" s="603">
        <f t="shared" si="24"/>
        <v>200</v>
      </c>
      <c r="Q49" s="689">
        <v>1</v>
      </c>
      <c r="R49" s="341">
        <f t="shared" si="25"/>
        <v>0</v>
      </c>
      <c r="S49" s="341">
        <f t="shared" si="26"/>
        <v>0</v>
      </c>
      <c r="T49" s="341">
        <f t="shared" si="18"/>
        <v>0</v>
      </c>
      <c r="U49" s="681">
        <f t="shared" si="27"/>
        <v>0</v>
      </c>
      <c r="V49" s="681">
        <f t="shared" si="28"/>
        <v>0</v>
      </c>
      <c r="W49" s="459">
        <f t="shared" si="21"/>
        <v>0</v>
      </c>
      <c r="X49" s="460" t="str">
        <f t="shared" si="29"/>
        <v>S</v>
      </c>
      <c r="Y49" s="461"/>
      <c r="Z49" s="686" t="e">
        <f>(R49+S49)*'1.0-Contractblad'!$L$98</f>
        <v>#DIV/0!</v>
      </c>
      <c r="AA49" s="687">
        <f ca="1">VLOOKUP(E49,'1.1a-Jaarprijzen'!$B$33:$O$51,14,FALSE)*(L49+K49)</f>
        <v>0</v>
      </c>
      <c r="AB49" s="60">
        <f t="shared" si="23"/>
        <v>0</v>
      </c>
      <c r="AD49" s="60" t="str">
        <f t="shared" si="22"/>
        <v>4200-200</v>
      </c>
    </row>
    <row r="50" spans="1:30">
      <c r="A50" s="92">
        <f t="shared" si="16"/>
        <v>1</v>
      </c>
      <c r="B50" s="529"/>
      <c r="C50" s="590"/>
      <c r="D50" s="688">
        <v>1</v>
      </c>
      <c r="E50" s="591" t="s">
        <v>570</v>
      </c>
      <c r="F50" s="592" t="s">
        <v>348</v>
      </c>
      <c r="G50" s="593" t="s">
        <v>501</v>
      </c>
      <c r="H50" s="594" t="s">
        <v>322</v>
      </c>
      <c r="I50" s="595" t="str">
        <f t="shared" si="17"/>
        <v>sanitaire ruimte (toilet-/doucheruimte)</v>
      </c>
      <c r="J50" s="594" t="s">
        <v>640</v>
      </c>
      <c r="K50" s="678">
        <v>4.5999999999999996</v>
      </c>
      <c r="L50" s="678"/>
      <c r="M50" s="606">
        <v>4200</v>
      </c>
      <c r="N50" s="601"/>
      <c r="O50" s="601"/>
      <c r="P50" s="603">
        <f t="shared" si="24"/>
        <v>200</v>
      </c>
      <c r="Q50" s="689">
        <v>1</v>
      </c>
      <c r="R50" s="341">
        <f t="shared" si="25"/>
        <v>0</v>
      </c>
      <c r="S50" s="341">
        <f t="shared" si="26"/>
        <v>0</v>
      </c>
      <c r="T50" s="341">
        <f t="shared" si="18"/>
        <v>0</v>
      </c>
      <c r="U50" s="681">
        <f t="shared" si="27"/>
        <v>0</v>
      </c>
      <c r="V50" s="681">
        <f t="shared" si="28"/>
        <v>0</v>
      </c>
      <c r="W50" s="459">
        <f t="shared" si="21"/>
        <v>0</v>
      </c>
      <c r="X50" s="460" t="str">
        <f t="shared" si="29"/>
        <v>S</v>
      </c>
      <c r="Y50" s="461"/>
      <c r="Z50" s="686" t="e">
        <f>(R50+S50)*'1.0-Contractblad'!$L$98</f>
        <v>#DIV/0!</v>
      </c>
      <c r="AA50" s="687">
        <f ca="1">VLOOKUP(E50,'1.1a-Jaarprijzen'!$B$33:$O$51,14,FALSE)*(L50+K50)</f>
        <v>0</v>
      </c>
      <c r="AB50" s="60">
        <f t="shared" si="23"/>
        <v>0</v>
      </c>
      <c r="AD50" s="60" t="str">
        <f t="shared" si="22"/>
        <v>4200-200</v>
      </c>
    </row>
    <row r="51" spans="1:30">
      <c r="A51" s="92">
        <f t="shared" si="16"/>
        <v>1</v>
      </c>
      <c r="B51" s="529"/>
      <c r="C51" s="590"/>
      <c r="D51" s="688">
        <v>1</v>
      </c>
      <c r="E51" s="591" t="s">
        <v>570</v>
      </c>
      <c r="F51" s="592" t="s">
        <v>348</v>
      </c>
      <c r="G51" s="593" t="s">
        <v>502</v>
      </c>
      <c r="H51" s="594" t="s">
        <v>322</v>
      </c>
      <c r="I51" s="595" t="str">
        <f t="shared" si="17"/>
        <v>sanitaire ruimte (toilet-/doucheruimte)</v>
      </c>
      <c r="J51" s="594" t="s">
        <v>640</v>
      </c>
      <c r="K51" s="678">
        <v>7.6</v>
      </c>
      <c r="L51" s="678"/>
      <c r="M51" s="606">
        <v>4200</v>
      </c>
      <c r="N51" s="601"/>
      <c r="O51" s="601"/>
      <c r="P51" s="603">
        <f t="shared" si="24"/>
        <v>200</v>
      </c>
      <c r="Q51" s="689">
        <v>1</v>
      </c>
      <c r="R51" s="341">
        <f t="shared" si="25"/>
        <v>0</v>
      </c>
      <c r="S51" s="341">
        <f t="shared" si="26"/>
        <v>0</v>
      </c>
      <c r="T51" s="341">
        <f t="shared" si="18"/>
        <v>0</v>
      </c>
      <c r="U51" s="681">
        <f t="shared" si="27"/>
        <v>0</v>
      </c>
      <c r="V51" s="681">
        <f t="shared" si="28"/>
        <v>0</v>
      </c>
      <c r="W51" s="459">
        <f t="shared" si="21"/>
        <v>0</v>
      </c>
      <c r="X51" s="460" t="str">
        <f t="shared" si="29"/>
        <v>S</v>
      </c>
      <c r="Y51" s="461"/>
      <c r="Z51" s="686" t="e">
        <f>(R51+S51)*'1.0-Contractblad'!$L$98</f>
        <v>#DIV/0!</v>
      </c>
      <c r="AA51" s="687">
        <f ca="1">VLOOKUP(E51,'1.1a-Jaarprijzen'!$B$33:$O$51,14,FALSE)*(L51+K51)</f>
        <v>0</v>
      </c>
      <c r="AB51" s="60">
        <f t="shared" si="23"/>
        <v>0</v>
      </c>
      <c r="AD51" s="60" t="str">
        <f t="shared" si="22"/>
        <v>4200-200</v>
      </c>
    </row>
    <row r="52" spans="1:30">
      <c r="A52" s="92">
        <f t="shared" si="16"/>
        <v>1</v>
      </c>
      <c r="B52" s="529"/>
      <c r="C52" s="590"/>
      <c r="D52" s="688">
        <v>1</v>
      </c>
      <c r="E52" s="591" t="s">
        <v>570</v>
      </c>
      <c r="F52" s="592" t="s">
        <v>348</v>
      </c>
      <c r="G52" s="593" t="s">
        <v>503</v>
      </c>
      <c r="H52" s="594" t="s">
        <v>322</v>
      </c>
      <c r="I52" s="595" t="str">
        <f t="shared" si="17"/>
        <v>sanitaire ruimte (toilet-/doucheruimte)</v>
      </c>
      <c r="J52" s="594" t="s">
        <v>640</v>
      </c>
      <c r="K52" s="678">
        <v>7.6</v>
      </c>
      <c r="L52" s="678"/>
      <c r="M52" s="606">
        <v>4200</v>
      </c>
      <c r="N52" s="601"/>
      <c r="O52" s="601"/>
      <c r="P52" s="603">
        <f t="shared" si="24"/>
        <v>200</v>
      </c>
      <c r="Q52" s="689">
        <v>1</v>
      </c>
      <c r="R52" s="341">
        <f t="shared" si="25"/>
        <v>0</v>
      </c>
      <c r="S52" s="341">
        <f t="shared" si="26"/>
        <v>0</v>
      </c>
      <c r="T52" s="341">
        <f t="shared" si="18"/>
        <v>0</v>
      </c>
      <c r="U52" s="681">
        <f t="shared" si="27"/>
        <v>0</v>
      </c>
      <c r="V52" s="681">
        <f t="shared" si="28"/>
        <v>0</v>
      </c>
      <c r="W52" s="459">
        <f t="shared" si="21"/>
        <v>0</v>
      </c>
      <c r="X52" s="460" t="str">
        <f t="shared" si="29"/>
        <v>S</v>
      </c>
      <c r="Y52" s="461"/>
      <c r="Z52" s="686" t="e">
        <f>(R52+S52)*'1.0-Contractblad'!$L$98</f>
        <v>#DIV/0!</v>
      </c>
      <c r="AA52" s="687">
        <f ca="1">VLOOKUP(E52,'1.1a-Jaarprijzen'!$B$33:$O$51,14,FALSE)*(L52+K52)</f>
        <v>0</v>
      </c>
      <c r="AB52" s="60">
        <f t="shared" si="23"/>
        <v>0</v>
      </c>
      <c r="AD52" s="60" t="str">
        <f t="shared" si="22"/>
        <v>4200-200</v>
      </c>
    </row>
    <row r="53" spans="1:30">
      <c r="A53" s="92">
        <f t="shared" si="16"/>
        <v>1</v>
      </c>
      <c r="B53" s="529"/>
      <c r="C53" s="590"/>
      <c r="D53" s="688">
        <v>1</v>
      </c>
      <c r="E53" s="591" t="s">
        <v>570</v>
      </c>
      <c r="F53" s="592" t="s">
        <v>348</v>
      </c>
      <c r="G53" s="593" t="s">
        <v>504</v>
      </c>
      <c r="H53" s="594" t="s">
        <v>322</v>
      </c>
      <c r="I53" s="595" t="str">
        <f t="shared" si="17"/>
        <v>sanitaire ruimte (toilet-/doucheruimte)</v>
      </c>
      <c r="J53" s="594" t="s">
        <v>640</v>
      </c>
      <c r="K53" s="678">
        <v>7.6</v>
      </c>
      <c r="L53" s="678"/>
      <c r="M53" s="606">
        <v>4200</v>
      </c>
      <c r="N53" s="601"/>
      <c r="O53" s="601"/>
      <c r="P53" s="603">
        <f t="shared" si="24"/>
        <v>200</v>
      </c>
      <c r="Q53" s="689">
        <v>1</v>
      </c>
      <c r="R53" s="341">
        <f t="shared" si="25"/>
        <v>0</v>
      </c>
      <c r="S53" s="341">
        <f t="shared" si="26"/>
        <v>0</v>
      </c>
      <c r="T53" s="341">
        <f t="shared" si="18"/>
        <v>0</v>
      </c>
      <c r="U53" s="681">
        <f t="shared" si="27"/>
        <v>0</v>
      </c>
      <c r="V53" s="681">
        <f t="shared" si="28"/>
        <v>0</v>
      </c>
      <c r="W53" s="459">
        <f t="shared" si="21"/>
        <v>0</v>
      </c>
      <c r="X53" s="460" t="str">
        <f t="shared" si="29"/>
        <v>S</v>
      </c>
      <c r="Y53" s="461"/>
      <c r="Z53" s="686" t="e">
        <f>(R53+S53)*'1.0-Contractblad'!$L$98</f>
        <v>#DIV/0!</v>
      </c>
      <c r="AA53" s="687">
        <f ca="1">VLOOKUP(E53,'1.1a-Jaarprijzen'!$B$33:$O$51,14,FALSE)*(L53+K53)</f>
        <v>0</v>
      </c>
      <c r="AB53" s="60">
        <f t="shared" si="23"/>
        <v>0</v>
      </c>
      <c r="AD53" s="60" t="str">
        <f t="shared" si="22"/>
        <v>4200-200</v>
      </c>
    </row>
    <row r="54" spans="1:30">
      <c r="A54" s="92">
        <f t="shared" si="16"/>
        <v>1</v>
      </c>
      <c r="B54" s="529"/>
      <c r="C54" s="590"/>
      <c r="D54" s="688">
        <v>1</v>
      </c>
      <c r="E54" s="591" t="s">
        <v>570</v>
      </c>
      <c r="F54" s="592" t="s">
        <v>348</v>
      </c>
      <c r="G54" s="593" t="s">
        <v>578</v>
      </c>
      <c r="H54" s="594" t="s">
        <v>322</v>
      </c>
      <c r="I54" s="595" t="str">
        <f t="shared" si="17"/>
        <v>sanitaire ruimte (toilet-/doucheruimte)</v>
      </c>
      <c r="J54" s="594" t="s">
        <v>640</v>
      </c>
      <c r="K54" s="678">
        <v>7.6</v>
      </c>
      <c r="L54" s="678"/>
      <c r="M54" s="606">
        <v>4200</v>
      </c>
      <c r="N54" s="601"/>
      <c r="O54" s="601"/>
      <c r="P54" s="603">
        <f t="shared" si="24"/>
        <v>200</v>
      </c>
      <c r="Q54" s="689">
        <v>1</v>
      </c>
      <c r="R54" s="341">
        <f t="shared" si="25"/>
        <v>0</v>
      </c>
      <c r="S54" s="341">
        <f t="shared" si="26"/>
        <v>0</v>
      </c>
      <c r="T54" s="341">
        <f t="shared" si="18"/>
        <v>0</v>
      </c>
      <c r="U54" s="681">
        <f t="shared" si="27"/>
        <v>0</v>
      </c>
      <c r="V54" s="681">
        <f t="shared" si="28"/>
        <v>0</v>
      </c>
      <c r="W54" s="459">
        <f t="shared" si="21"/>
        <v>0</v>
      </c>
      <c r="X54" s="460" t="str">
        <f t="shared" si="29"/>
        <v>S</v>
      </c>
      <c r="Y54" s="461"/>
      <c r="Z54" s="686" t="e">
        <f>(R54+S54)*'1.0-Contractblad'!$L$98</f>
        <v>#DIV/0!</v>
      </c>
      <c r="AA54" s="687">
        <f ca="1">VLOOKUP(E54,'1.1a-Jaarprijzen'!$B$33:$O$51,14,FALSE)*(L54+K54)</f>
        <v>0</v>
      </c>
      <c r="AB54" s="60">
        <f t="shared" si="23"/>
        <v>0</v>
      </c>
      <c r="AD54" s="60" t="str">
        <f t="shared" si="22"/>
        <v>4200-200</v>
      </c>
    </row>
    <row r="55" spans="1:30">
      <c r="A55" s="92">
        <f t="shared" si="16"/>
        <v>1</v>
      </c>
      <c r="B55" s="529"/>
      <c r="C55" s="590"/>
      <c r="D55" s="688">
        <v>1</v>
      </c>
      <c r="E55" s="591" t="s">
        <v>570</v>
      </c>
      <c r="F55" s="592" t="s">
        <v>348</v>
      </c>
      <c r="G55" s="593" t="s">
        <v>579</v>
      </c>
      <c r="H55" s="594" t="s">
        <v>322</v>
      </c>
      <c r="I55" s="595" t="str">
        <f t="shared" si="17"/>
        <v>sanitaire ruimte (toilet-/doucheruimte)</v>
      </c>
      <c r="J55" s="594" t="s">
        <v>640</v>
      </c>
      <c r="K55" s="678">
        <v>4.5999999999999996</v>
      </c>
      <c r="L55" s="678"/>
      <c r="M55" s="606">
        <v>4200</v>
      </c>
      <c r="N55" s="601"/>
      <c r="O55" s="601"/>
      <c r="P55" s="603">
        <f t="shared" si="24"/>
        <v>200</v>
      </c>
      <c r="Q55" s="689">
        <v>1</v>
      </c>
      <c r="R55" s="341">
        <f t="shared" si="25"/>
        <v>0</v>
      </c>
      <c r="S55" s="341">
        <f t="shared" si="26"/>
        <v>0</v>
      </c>
      <c r="T55" s="341">
        <f t="shared" si="18"/>
        <v>0</v>
      </c>
      <c r="U55" s="681">
        <f t="shared" si="27"/>
        <v>0</v>
      </c>
      <c r="V55" s="681">
        <f t="shared" si="28"/>
        <v>0</v>
      </c>
      <c r="W55" s="459">
        <f t="shared" si="21"/>
        <v>0</v>
      </c>
      <c r="X55" s="460" t="str">
        <f t="shared" si="29"/>
        <v>S</v>
      </c>
      <c r="Y55" s="461"/>
      <c r="Z55" s="686" t="e">
        <f>(R55+S55)*'1.0-Contractblad'!$L$98</f>
        <v>#DIV/0!</v>
      </c>
      <c r="AA55" s="687">
        <f ca="1">VLOOKUP(E55,'1.1a-Jaarprijzen'!$B$33:$O$51,14,FALSE)*(L55+K55)</f>
        <v>0</v>
      </c>
      <c r="AB55" s="60">
        <f t="shared" si="23"/>
        <v>0</v>
      </c>
      <c r="AD55" s="60" t="str">
        <f t="shared" si="22"/>
        <v>4200-200</v>
      </c>
    </row>
    <row r="56" spans="1:30">
      <c r="A56" s="92">
        <f t="shared" si="16"/>
        <v>1</v>
      </c>
      <c r="B56" s="529"/>
      <c r="C56" s="590"/>
      <c r="D56" s="688">
        <v>1</v>
      </c>
      <c r="E56" s="591" t="s">
        <v>570</v>
      </c>
      <c r="F56" s="592" t="s">
        <v>348</v>
      </c>
      <c r="G56" s="593" t="s">
        <v>580</v>
      </c>
      <c r="H56" s="594" t="s">
        <v>322</v>
      </c>
      <c r="I56" s="595" t="str">
        <f t="shared" si="17"/>
        <v>sanitaire ruimte (toilet-/doucheruimte)</v>
      </c>
      <c r="J56" s="594" t="s">
        <v>640</v>
      </c>
      <c r="K56" s="678">
        <v>4.5999999999999996</v>
      </c>
      <c r="L56" s="678"/>
      <c r="M56" s="606">
        <v>4200</v>
      </c>
      <c r="N56" s="601"/>
      <c r="O56" s="601"/>
      <c r="P56" s="603">
        <f t="shared" si="24"/>
        <v>200</v>
      </c>
      <c r="Q56" s="689">
        <v>1</v>
      </c>
      <c r="R56" s="341">
        <f t="shared" si="25"/>
        <v>0</v>
      </c>
      <c r="S56" s="341">
        <f t="shared" si="26"/>
        <v>0</v>
      </c>
      <c r="T56" s="341">
        <f t="shared" si="18"/>
        <v>0</v>
      </c>
      <c r="U56" s="681">
        <f t="shared" si="27"/>
        <v>0</v>
      </c>
      <c r="V56" s="681">
        <f t="shared" si="28"/>
        <v>0</v>
      </c>
      <c r="W56" s="459">
        <f t="shared" si="21"/>
        <v>0</v>
      </c>
      <c r="X56" s="460" t="str">
        <f t="shared" si="29"/>
        <v>S</v>
      </c>
      <c r="Y56" s="461"/>
      <c r="Z56" s="686" t="e">
        <f>(R56+S56)*'1.0-Contractblad'!$L$98</f>
        <v>#DIV/0!</v>
      </c>
      <c r="AA56" s="687">
        <f ca="1">VLOOKUP(E56,'1.1a-Jaarprijzen'!$B$33:$O$51,14,FALSE)*(L56+K56)</f>
        <v>0</v>
      </c>
      <c r="AB56" s="60">
        <f t="shared" si="23"/>
        <v>0</v>
      </c>
      <c r="AD56" s="60" t="str">
        <f t="shared" si="22"/>
        <v>4200-200</v>
      </c>
    </row>
    <row r="57" spans="1:30">
      <c r="A57" s="92">
        <f t="shared" si="16"/>
        <v>1</v>
      </c>
      <c r="B57" s="529"/>
      <c r="C57" s="590"/>
      <c r="D57" s="688">
        <v>1</v>
      </c>
      <c r="E57" s="591" t="s">
        <v>570</v>
      </c>
      <c r="F57" s="592" t="s">
        <v>348</v>
      </c>
      <c r="G57" s="593" t="s">
        <v>581</v>
      </c>
      <c r="H57" s="594" t="s">
        <v>638</v>
      </c>
      <c r="I57" s="595" t="str">
        <f t="shared" si="17"/>
        <v>speellokaal (berging)</v>
      </c>
      <c r="J57" s="594" t="s">
        <v>641</v>
      </c>
      <c r="K57" s="678">
        <v>6.1</v>
      </c>
      <c r="L57" s="678"/>
      <c r="M57" s="606">
        <v>8005</v>
      </c>
      <c r="N57" s="601"/>
      <c r="O57" s="601"/>
      <c r="P57" s="603">
        <f t="shared" si="24"/>
        <v>5</v>
      </c>
      <c r="Q57" s="689">
        <v>1</v>
      </c>
      <c r="R57" s="341">
        <f t="shared" si="25"/>
        <v>0</v>
      </c>
      <c r="S57" s="341">
        <f t="shared" si="26"/>
        <v>0</v>
      </c>
      <c r="T57" s="341">
        <f t="shared" si="18"/>
        <v>0</v>
      </c>
      <c r="U57" s="681">
        <f t="shared" si="27"/>
        <v>0</v>
      </c>
      <c r="V57" s="681">
        <f t="shared" si="28"/>
        <v>0</v>
      </c>
      <c r="W57" s="459">
        <f t="shared" si="21"/>
        <v>0</v>
      </c>
      <c r="X57" s="460" t="str">
        <f t="shared" si="29"/>
        <v>L</v>
      </c>
      <c r="Y57" s="461"/>
      <c r="Z57" s="686" t="e">
        <f>(R57+S57)*'1.0-Contractblad'!$L$98</f>
        <v>#DIV/0!</v>
      </c>
      <c r="AA57" s="687">
        <f ca="1">VLOOKUP(E57,'1.1a-Jaarprijzen'!$B$33:$O$51,14,FALSE)*(L57+K57)</f>
        <v>0</v>
      </c>
      <c r="AB57" s="60">
        <f t="shared" si="23"/>
        <v>0</v>
      </c>
      <c r="AD57" s="60" t="str">
        <f t="shared" si="22"/>
        <v>8005-5</v>
      </c>
    </row>
    <row r="58" spans="1:30">
      <c r="A58" s="92">
        <f t="shared" si="16"/>
        <v>1</v>
      </c>
      <c r="B58" s="529"/>
      <c r="C58" s="590"/>
      <c r="D58" s="688">
        <v>1</v>
      </c>
      <c r="E58" s="591" t="s">
        <v>570</v>
      </c>
      <c r="F58" s="592" t="s">
        <v>348</v>
      </c>
      <c r="G58" s="593" t="s">
        <v>582</v>
      </c>
      <c r="H58" s="594" t="s">
        <v>638</v>
      </c>
      <c r="I58" s="595" t="str">
        <f t="shared" si="17"/>
        <v>speellokaal (berging)</v>
      </c>
      <c r="J58" s="594" t="s">
        <v>641</v>
      </c>
      <c r="K58" s="678">
        <v>6.1</v>
      </c>
      <c r="L58" s="678"/>
      <c r="M58" s="606">
        <v>8005</v>
      </c>
      <c r="N58" s="601"/>
      <c r="O58" s="601"/>
      <c r="P58" s="603">
        <f t="shared" si="24"/>
        <v>5</v>
      </c>
      <c r="Q58" s="689">
        <v>1</v>
      </c>
      <c r="R58" s="341">
        <f t="shared" si="25"/>
        <v>0</v>
      </c>
      <c r="S58" s="341">
        <f t="shared" si="26"/>
        <v>0</v>
      </c>
      <c r="T58" s="341">
        <f t="shared" si="18"/>
        <v>0</v>
      </c>
      <c r="U58" s="681">
        <f t="shared" si="27"/>
        <v>0</v>
      </c>
      <c r="V58" s="681">
        <f t="shared" si="28"/>
        <v>0</v>
      </c>
      <c r="W58" s="459">
        <f t="shared" si="21"/>
        <v>0</v>
      </c>
      <c r="X58" s="460" t="str">
        <f t="shared" si="29"/>
        <v>L</v>
      </c>
      <c r="Y58" s="461"/>
      <c r="Z58" s="686" t="e">
        <f>(R58+S58)*'1.0-Contractblad'!$L$98</f>
        <v>#DIV/0!</v>
      </c>
      <c r="AA58" s="687">
        <f ca="1">VLOOKUP(E58,'1.1a-Jaarprijzen'!$B$33:$O$51,14,FALSE)*(L58+K58)</f>
        <v>0</v>
      </c>
      <c r="AB58" s="60">
        <f t="shared" si="23"/>
        <v>0</v>
      </c>
      <c r="AD58" s="60" t="str">
        <f t="shared" si="22"/>
        <v>8005-5</v>
      </c>
    </row>
    <row r="59" spans="1:30">
      <c r="A59" s="92">
        <f t="shared" si="16"/>
        <v>1</v>
      </c>
      <c r="B59" s="529"/>
      <c r="C59" s="590"/>
      <c r="D59" s="688">
        <v>1</v>
      </c>
      <c r="E59" s="591" t="s">
        <v>570</v>
      </c>
      <c r="F59" s="592" t="s">
        <v>348</v>
      </c>
      <c r="G59" s="593" t="s">
        <v>387</v>
      </c>
      <c r="H59" s="594" t="s">
        <v>314</v>
      </c>
      <c r="I59" s="595" t="str">
        <f t="shared" si="17"/>
        <v>administratieve -, personeels- en vergaderruimte</v>
      </c>
      <c r="J59" s="594" t="s">
        <v>640</v>
      </c>
      <c r="K59" s="678">
        <v>13</v>
      </c>
      <c r="L59" s="678"/>
      <c r="M59" s="606">
        <v>1040</v>
      </c>
      <c r="N59" s="601"/>
      <c r="O59" s="601"/>
      <c r="P59" s="603">
        <f t="shared" si="24"/>
        <v>40</v>
      </c>
      <c r="Q59" s="689">
        <v>1</v>
      </c>
      <c r="R59" s="341">
        <f t="shared" si="25"/>
        <v>0</v>
      </c>
      <c r="S59" s="341">
        <f t="shared" si="26"/>
        <v>0</v>
      </c>
      <c r="T59" s="341">
        <f t="shared" si="18"/>
        <v>0</v>
      </c>
      <c r="U59" s="681">
        <f t="shared" si="27"/>
        <v>0</v>
      </c>
      <c r="V59" s="681">
        <f t="shared" si="28"/>
        <v>0</v>
      </c>
      <c r="W59" s="459">
        <f t="shared" si="21"/>
        <v>0</v>
      </c>
      <c r="X59" s="460" t="str">
        <f t="shared" si="29"/>
        <v>V</v>
      </c>
      <c r="Y59" s="461"/>
      <c r="Z59" s="686" t="e">
        <f>(R59+S59)*'1.0-Contractblad'!$L$98</f>
        <v>#DIV/0!</v>
      </c>
      <c r="AA59" s="687">
        <f ca="1">VLOOKUP(E59,'1.1a-Jaarprijzen'!$B$33:$O$51,14,FALSE)*(L59+K59)</f>
        <v>0</v>
      </c>
      <c r="AB59" s="60">
        <f t="shared" si="23"/>
        <v>0</v>
      </c>
      <c r="AD59" s="60" t="str">
        <f t="shared" si="22"/>
        <v>1040-40</v>
      </c>
    </row>
    <row r="60" spans="1:30">
      <c r="A60" s="92">
        <f t="shared" si="16"/>
        <v>1</v>
      </c>
      <c r="B60" s="529"/>
      <c r="C60" s="590"/>
      <c r="D60" s="688">
        <v>1</v>
      </c>
      <c r="E60" s="591" t="s">
        <v>570</v>
      </c>
      <c r="F60" s="592" t="s">
        <v>348</v>
      </c>
      <c r="G60" s="593" t="s">
        <v>397</v>
      </c>
      <c r="H60" s="594" t="s">
        <v>314</v>
      </c>
      <c r="I60" s="595" t="str">
        <f t="shared" si="17"/>
        <v>administratieve -, personeels- en vergaderruimte</v>
      </c>
      <c r="J60" s="594" t="s">
        <v>640</v>
      </c>
      <c r="K60" s="678">
        <v>13</v>
      </c>
      <c r="L60" s="678"/>
      <c r="M60" s="606">
        <v>1040</v>
      </c>
      <c r="N60" s="601"/>
      <c r="O60" s="601"/>
      <c r="P60" s="603">
        <f t="shared" si="24"/>
        <v>40</v>
      </c>
      <c r="Q60" s="689">
        <v>1</v>
      </c>
      <c r="R60" s="341">
        <f t="shared" si="25"/>
        <v>0</v>
      </c>
      <c r="S60" s="341">
        <f t="shared" si="26"/>
        <v>0</v>
      </c>
      <c r="T60" s="341">
        <f t="shared" si="18"/>
        <v>0</v>
      </c>
      <c r="U60" s="681">
        <f t="shared" si="27"/>
        <v>0</v>
      </c>
      <c r="V60" s="681">
        <f t="shared" si="28"/>
        <v>0</v>
      </c>
      <c r="W60" s="459">
        <f t="shared" si="21"/>
        <v>0</v>
      </c>
      <c r="X60" s="460" t="str">
        <f t="shared" si="29"/>
        <v>V</v>
      </c>
      <c r="Y60" s="461"/>
      <c r="Z60" s="686" t="e">
        <f>(R60+S60)*'1.0-Contractblad'!$L$98</f>
        <v>#DIV/0!</v>
      </c>
      <c r="AA60" s="687">
        <f ca="1">VLOOKUP(E60,'1.1a-Jaarprijzen'!$B$33:$O$51,14,FALSE)*(L60+K60)</f>
        <v>0</v>
      </c>
      <c r="AB60" s="60">
        <f t="shared" si="23"/>
        <v>0</v>
      </c>
      <c r="AD60" s="60" t="str">
        <f t="shared" si="22"/>
        <v>1040-40</v>
      </c>
    </row>
    <row r="61" spans="1:30">
      <c r="A61" s="92">
        <f t="shared" ref="A61:A92" si="30">D61</f>
        <v>1</v>
      </c>
      <c r="B61" s="589"/>
      <c r="C61" s="590"/>
      <c r="D61" s="688">
        <v>1</v>
      </c>
      <c r="E61" s="591" t="s">
        <v>478</v>
      </c>
      <c r="F61" s="592" t="s">
        <v>348</v>
      </c>
      <c r="G61" s="593" t="s">
        <v>353</v>
      </c>
      <c r="H61" s="594" t="s">
        <v>320</v>
      </c>
      <c r="I61" s="595" t="str">
        <f t="shared" ref="I61:I92" si="31">IF($M61="",0,VLOOKUP($M61,Kengetal,4,FALSE))</f>
        <v>leslokaal</v>
      </c>
      <c r="J61" s="594" t="s">
        <v>644</v>
      </c>
      <c r="K61" s="678">
        <v>57.39</v>
      </c>
      <c r="L61" s="678"/>
      <c r="M61" s="606">
        <v>7200</v>
      </c>
      <c r="N61" s="601"/>
      <c r="O61" s="602"/>
      <c r="P61" s="603">
        <f t="shared" ref="P61:P92" si="32">VLOOKUP(M61,Kengetal,3,FALSE)+VLOOKUP(N61,Kengetal,3,FALSE)+VLOOKUP(O61,Kengetal,3,FALSE)</f>
        <v>200</v>
      </c>
      <c r="Q61" s="689">
        <v>1</v>
      </c>
      <c r="R61" s="596">
        <f t="shared" ref="R61:R92" si="33">U61*K61*Q61</f>
        <v>0</v>
      </c>
      <c r="S61" s="596">
        <f t="shared" ref="S61:S92" si="34">V61*K61*Q61</f>
        <v>0</v>
      </c>
      <c r="T61" s="596">
        <f t="shared" ref="T61:T92" si="35">W61*K61*Q61</f>
        <v>0</v>
      </c>
      <c r="U61" s="681">
        <f t="shared" ref="U61:U92" si="36">VLOOKUP($M61,Kengetal,6,FALSE)</f>
        <v>0</v>
      </c>
      <c r="V61" s="681">
        <f t="shared" ref="V61:V92" si="37">VLOOKUP($M61,Kengetal,7,FALSE)</f>
        <v>0</v>
      </c>
      <c r="W61" s="598">
        <f t="shared" ref="W61:W92" si="38">VLOOKUP($O61,Kengetal,7,FALSE)</f>
        <v>0</v>
      </c>
      <c r="X61" s="599" t="str">
        <f t="shared" ref="X61:X92" si="39">IF(M61="","",VLOOKUP(M61,Kengetal,14,FALSE))</f>
        <v>L</v>
      </c>
      <c r="Y61" s="600"/>
      <c r="Z61" s="686" t="e">
        <f>(R61+S61)*'1.0-Contractblad'!$L$98</f>
        <v>#DIV/0!</v>
      </c>
      <c r="AA61" s="687">
        <f ca="1">VLOOKUP(E61,'1.1a-Jaarprijzen'!$B$33:$O$51,14,FALSE)*(L61+K61)</f>
        <v>0</v>
      </c>
      <c r="AB61" s="60">
        <f t="shared" ref="AB61:AB93" si="40">IF(M61=8255,R61+S61,0)</f>
        <v>0</v>
      </c>
      <c r="AD61" s="60" t="str">
        <f t="shared" ref="AD61:AD92" si="41">CONCATENATE(M61,"-",P61)</f>
        <v>7200-200</v>
      </c>
    </row>
    <row r="62" spans="1:30">
      <c r="A62" s="92">
        <f t="shared" si="30"/>
        <v>1</v>
      </c>
      <c r="B62" s="589"/>
      <c r="C62" s="590"/>
      <c r="D62" s="688">
        <v>1</v>
      </c>
      <c r="E62" s="591" t="s">
        <v>478</v>
      </c>
      <c r="F62" s="592" t="s">
        <v>348</v>
      </c>
      <c r="G62" s="593" t="s">
        <v>357</v>
      </c>
      <c r="H62" s="594" t="s">
        <v>309</v>
      </c>
      <c r="I62" s="595" t="str">
        <f t="shared" si="31"/>
        <v>niet van toepassing</v>
      </c>
      <c r="J62" s="594" t="s">
        <v>639</v>
      </c>
      <c r="K62" s="678"/>
      <c r="L62" s="678">
        <v>1.25</v>
      </c>
      <c r="M62" s="606" t="s">
        <v>27</v>
      </c>
      <c r="N62" s="601"/>
      <c r="O62" s="602"/>
      <c r="P62" s="603">
        <f t="shared" si="32"/>
        <v>0</v>
      </c>
      <c r="Q62" s="689">
        <v>1</v>
      </c>
      <c r="R62" s="596">
        <f t="shared" si="33"/>
        <v>0</v>
      </c>
      <c r="S62" s="596">
        <f t="shared" si="34"/>
        <v>0</v>
      </c>
      <c r="T62" s="596">
        <f t="shared" si="35"/>
        <v>0</v>
      </c>
      <c r="U62" s="681">
        <f t="shared" si="36"/>
        <v>0</v>
      </c>
      <c r="V62" s="681">
        <f t="shared" si="37"/>
        <v>0</v>
      </c>
      <c r="W62" s="598">
        <f t="shared" si="38"/>
        <v>0</v>
      </c>
      <c r="X62" s="599">
        <f t="shared" si="39"/>
        <v>0</v>
      </c>
      <c r="Y62" s="600"/>
      <c r="Z62" s="686" t="e">
        <f>(R62+S62)*'1.0-Contractblad'!$L$98</f>
        <v>#DIV/0!</v>
      </c>
      <c r="AA62" s="687">
        <f ca="1">VLOOKUP(E62,'1.1a-Jaarprijzen'!$B$33:$O$51,14,FALSE)*(L62+K62)</f>
        <v>0</v>
      </c>
      <c r="AB62" s="60">
        <f t="shared" si="40"/>
        <v>0</v>
      </c>
      <c r="AD62" s="60" t="str">
        <f t="shared" si="41"/>
        <v>nvt-0</v>
      </c>
    </row>
    <row r="63" spans="1:30">
      <c r="A63" s="92">
        <f t="shared" si="30"/>
        <v>1</v>
      </c>
      <c r="B63" s="589"/>
      <c r="C63" s="590"/>
      <c r="D63" s="688">
        <v>1</v>
      </c>
      <c r="E63" s="591" t="s">
        <v>478</v>
      </c>
      <c r="F63" s="592" t="s">
        <v>348</v>
      </c>
      <c r="G63" s="593" t="s">
        <v>358</v>
      </c>
      <c r="H63" s="594" t="s">
        <v>360</v>
      </c>
      <c r="I63" s="595" t="str">
        <f t="shared" si="31"/>
        <v>niet van toepassing</v>
      </c>
      <c r="J63" s="594" t="s">
        <v>639</v>
      </c>
      <c r="K63" s="678"/>
      <c r="L63" s="678">
        <v>1</v>
      </c>
      <c r="M63" s="606" t="s">
        <v>27</v>
      </c>
      <c r="N63" s="601"/>
      <c r="O63" s="602"/>
      <c r="P63" s="603">
        <f t="shared" si="32"/>
        <v>0</v>
      </c>
      <c r="Q63" s="689">
        <v>1</v>
      </c>
      <c r="R63" s="596">
        <f t="shared" si="33"/>
        <v>0</v>
      </c>
      <c r="S63" s="596">
        <f t="shared" si="34"/>
        <v>0</v>
      </c>
      <c r="T63" s="596">
        <f t="shared" si="35"/>
        <v>0</v>
      </c>
      <c r="U63" s="681">
        <f t="shared" si="36"/>
        <v>0</v>
      </c>
      <c r="V63" s="681">
        <f t="shared" si="37"/>
        <v>0</v>
      </c>
      <c r="W63" s="598">
        <f t="shared" si="38"/>
        <v>0</v>
      </c>
      <c r="X63" s="599">
        <f t="shared" si="39"/>
        <v>0</v>
      </c>
      <c r="Y63" s="600"/>
      <c r="Z63" s="686" t="e">
        <f>(R63+S63)*'1.0-Contractblad'!$L$98</f>
        <v>#DIV/0!</v>
      </c>
      <c r="AA63" s="687">
        <f ca="1">VLOOKUP(E63,'1.1a-Jaarprijzen'!$B$33:$O$51,14,FALSE)*(L63+K63)</f>
        <v>0</v>
      </c>
      <c r="AB63" s="60">
        <f t="shared" si="40"/>
        <v>0</v>
      </c>
      <c r="AD63" s="60" t="str">
        <f t="shared" si="41"/>
        <v>nvt-0</v>
      </c>
    </row>
    <row r="64" spans="1:30">
      <c r="A64" s="92">
        <f t="shared" si="30"/>
        <v>1</v>
      </c>
      <c r="B64" s="589"/>
      <c r="C64" s="590"/>
      <c r="D64" s="688">
        <v>1</v>
      </c>
      <c r="E64" s="591" t="s">
        <v>478</v>
      </c>
      <c r="F64" s="592" t="s">
        <v>348</v>
      </c>
      <c r="G64" s="593" t="s">
        <v>367</v>
      </c>
      <c r="H64" s="594" t="s">
        <v>322</v>
      </c>
      <c r="I64" s="595" t="str">
        <f t="shared" si="31"/>
        <v>sanitaire ruimte (toilet-/doucheruimte)</v>
      </c>
      <c r="J64" s="594" t="s">
        <v>645</v>
      </c>
      <c r="K64" s="678">
        <v>8.52</v>
      </c>
      <c r="L64" s="678"/>
      <c r="M64" s="606">
        <v>4200</v>
      </c>
      <c r="N64" s="601"/>
      <c r="O64" s="602"/>
      <c r="P64" s="603">
        <f t="shared" si="32"/>
        <v>200</v>
      </c>
      <c r="Q64" s="689">
        <v>1</v>
      </c>
      <c r="R64" s="596">
        <f t="shared" si="33"/>
        <v>0</v>
      </c>
      <c r="S64" s="596">
        <f t="shared" si="34"/>
        <v>0</v>
      </c>
      <c r="T64" s="596">
        <f t="shared" si="35"/>
        <v>0</v>
      </c>
      <c r="U64" s="681">
        <f t="shared" si="36"/>
        <v>0</v>
      </c>
      <c r="V64" s="681">
        <f t="shared" si="37"/>
        <v>0</v>
      </c>
      <c r="W64" s="598">
        <f t="shared" si="38"/>
        <v>0</v>
      </c>
      <c r="X64" s="599" t="str">
        <f t="shared" si="39"/>
        <v>S</v>
      </c>
      <c r="Y64" s="600"/>
      <c r="Z64" s="686" t="e">
        <f>(R64+S64)*'1.0-Contractblad'!$L$98</f>
        <v>#DIV/0!</v>
      </c>
      <c r="AA64" s="687">
        <f ca="1">VLOOKUP(E64,'1.1a-Jaarprijzen'!$B$33:$O$51,14,FALSE)*(L64+K64)</f>
        <v>0</v>
      </c>
      <c r="AB64" s="60">
        <f t="shared" si="40"/>
        <v>0</v>
      </c>
      <c r="AD64" s="60" t="str">
        <f t="shared" si="41"/>
        <v>4200-200</v>
      </c>
    </row>
    <row r="65" spans="1:30">
      <c r="A65" s="92">
        <f t="shared" si="30"/>
        <v>1</v>
      </c>
      <c r="B65" s="589"/>
      <c r="C65" s="590"/>
      <c r="D65" s="688">
        <v>1</v>
      </c>
      <c r="E65" s="591" t="s">
        <v>478</v>
      </c>
      <c r="F65" s="592" t="s">
        <v>348</v>
      </c>
      <c r="G65" s="593" t="s">
        <v>354</v>
      </c>
      <c r="H65" s="594" t="s">
        <v>320</v>
      </c>
      <c r="I65" s="595" t="str">
        <f t="shared" si="31"/>
        <v>leslokaal</v>
      </c>
      <c r="J65" s="594" t="s">
        <v>644</v>
      </c>
      <c r="K65" s="678">
        <v>57.63</v>
      </c>
      <c r="L65" s="678"/>
      <c r="M65" s="606">
        <v>7200</v>
      </c>
      <c r="N65" s="601"/>
      <c r="O65" s="602"/>
      <c r="P65" s="603">
        <f t="shared" si="32"/>
        <v>200</v>
      </c>
      <c r="Q65" s="689">
        <v>1</v>
      </c>
      <c r="R65" s="596">
        <f t="shared" si="33"/>
        <v>0</v>
      </c>
      <c r="S65" s="596">
        <f t="shared" si="34"/>
        <v>0</v>
      </c>
      <c r="T65" s="596">
        <f t="shared" si="35"/>
        <v>0</v>
      </c>
      <c r="U65" s="681">
        <f t="shared" si="36"/>
        <v>0</v>
      </c>
      <c r="V65" s="681">
        <f t="shared" si="37"/>
        <v>0</v>
      </c>
      <c r="W65" s="598">
        <f t="shared" si="38"/>
        <v>0</v>
      </c>
      <c r="X65" s="599" t="str">
        <f t="shared" si="39"/>
        <v>L</v>
      </c>
      <c r="Y65" s="600"/>
      <c r="Z65" s="686" t="e">
        <f>(R65+S65)*'1.0-Contractblad'!$L$98</f>
        <v>#DIV/0!</v>
      </c>
      <c r="AA65" s="687">
        <f ca="1">VLOOKUP(E65,'1.1a-Jaarprijzen'!$B$33:$O$51,14,FALSE)*(L65+K65)</f>
        <v>0</v>
      </c>
      <c r="AB65" s="60">
        <f t="shared" si="40"/>
        <v>0</v>
      </c>
      <c r="AD65" s="60" t="str">
        <f t="shared" si="41"/>
        <v>7200-200</v>
      </c>
    </row>
    <row r="66" spans="1:30">
      <c r="A66" s="92">
        <f t="shared" si="30"/>
        <v>1</v>
      </c>
      <c r="B66" s="589"/>
      <c r="C66" s="590"/>
      <c r="D66" s="688">
        <v>1</v>
      </c>
      <c r="E66" s="591" t="s">
        <v>478</v>
      </c>
      <c r="F66" s="592" t="s">
        <v>348</v>
      </c>
      <c r="G66" s="593" t="s">
        <v>355</v>
      </c>
      <c r="H66" s="594" t="s">
        <v>320</v>
      </c>
      <c r="I66" s="595" t="str">
        <f t="shared" si="31"/>
        <v>leslokaal</v>
      </c>
      <c r="J66" s="594" t="s">
        <v>644</v>
      </c>
      <c r="K66" s="678">
        <v>57.63</v>
      </c>
      <c r="L66" s="678"/>
      <c r="M66" s="606">
        <v>7200</v>
      </c>
      <c r="N66" s="601"/>
      <c r="O66" s="602"/>
      <c r="P66" s="603">
        <f t="shared" si="32"/>
        <v>200</v>
      </c>
      <c r="Q66" s="689">
        <v>1</v>
      </c>
      <c r="R66" s="596">
        <f t="shared" si="33"/>
        <v>0</v>
      </c>
      <c r="S66" s="596">
        <f t="shared" si="34"/>
        <v>0</v>
      </c>
      <c r="T66" s="596">
        <f t="shared" si="35"/>
        <v>0</v>
      </c>
      <c r="U66" s="681">
        <f t="shared" si="36"/>
        <v>0</v>
      </c>
      <c r="V66" s="681">
        <f t="shared" si="37"/>
        <v>0</v>
      </c>
      <c r="W66" s="598">
        <f t="shared" si="38"/>
        <v>0</v>
      </c>
      <c r="X66" s="599" t="str">
        <f t="shared" si="39"/>
        <v>L</v>
      </c>
      <c r="Y66" s="600"/>
      <c r="Z66" s="686" t="e">
        <f>(R66+S66)*'1.0-Contractblad'!$L$98</f>
        <v>#DIV/0!</v>
      </c>
      <c r="AA66" s="687">
        <f ca="1">VLOOKUP(E66,'1.1a-Jaarprijzen'!$B$33:$O$51,14,FALSE)*(L66+K66)</f>
        <v>0</v>
      </c>
      <c r="AB66" s="60">
        <f t="shared" si="40"/>
        <v>0</v>
      </c>
      <c r="AD66" s="60" t="str">
        <f t="shared" si="41"/>
        <v>7200-200</v>
      </c>
    </row>
    <row r="67" spans="1:30">
      <c r="A67" s="92">
        <f t="shared" si="30"/>
        <v>1</v>
      </c>
      <c r="B67" s="589"/>
      <c r="C67" s="590"/>
      <c r="D67" s="688">
        <v>1</v>
      </c>
      <c r="E67" s="591" t="s">
        <v>478</v>
      </c>
      <c r="F67" s="592" t="s">
        <v>348</v>
      </c>
      <c r="G67" s="593" t="s">
        <v>359</v>
      </c>
      <c r="H67" s="594" t="s">
        <v>309</v>
      </c>
      <c r="I67" s="595" t="str">
        <f t="shared" si="31"/>
        <v>niet van toepassing</v>
      </c>
      <c r="J67" s="594" t="s">
        <v>639</v>
      </c>
      <c r="K67" s="678"/>
      <c r="L67" s="678">
        <v>1.25</v>
      </c>
      <c r="M67" s="606" t="s">
        <v>27</v>
      </c>
      <c r="N67" s="601"/>
      <c r="O67" s="601"/>
      <c r="P67" s="603">
        <f t="shared" si="32"/>
        <v>0</v>
      </c>
      <c r="Q67" s="689">
        <v>1</v>
      </c>
      <c r="R67" s="596">
        <f t="shared" si="33"/>
        <v>0</v>
      </c>
      <c r="S67" s="596">
        <f t="shared" si="34"/>
        <v>0</v>
      </c>
      <c r="T67" s="596">
        <f t="shared" si="35"/>
        <v>0</v>
      </c>
      <c r="U67" s="681">
        <f t="shared" si="36"/>
        <v>0</v>
      </c>
      <c r="V67" s="681">
        <f t="shared" si="37"/>
        <v>0</v>
      </c>
      <c r="W67" s="598">
        <f t="shared" si="38"/>
        <v>0</v>
      </c>
      <c r="X67" s="599">
        <f t="shared" si="39"/>
        <v>0</v>
      </c>
      <c r="Y67" s="600"/>
      <c r="Z67" s="686" t="e">
        <f>(R67+S67)*'1.0-Contractblad'!$L$98</f>
        <v>#DIV/0!</v>
      </c>
      <c r="AA67" s="687">
        <f ca="1">VLOOKUP(E67,'1.1a-Jaarprijzen'!$B$33:$O$51,14,FALSE)*(L67+K67)</f>
        <v>0</v>
      </c>
      <c r="AB67" s="60">
        <f t="shared" si="40"/>
        <v>0</v>
      </c>
      <c r="AD67" s="60" t="str">
        <f t="shared" si="41"/>
        <v>nvt-0</v>
      </c>
    </row>
    <row r="68" spans="1:30">
      <c r="A68" s="92">
        <f t="shared" si="30"/>
        <v>1</v>
      </c>
      <c r="B68" s="589"/>
      <c r="C68" s="590"/>
      <c r="D68" s="688">
        <v>1</v>
      </c>
      <c r="E68" s="591" t="s">
        <v>478</v>
      </c>
      <c r="F68" s="592" t="s">
        <v>348</v>
      </c>
      <c r="G68" s="593" t="s">
        <v>375</v>
      </c>
      <c r="H68" s="594" t="s">
        <v>322</v>
      </c>
      <c r="I68" s="595" t="str">
        <f t="shared" si="31"/>
        <v>sanitaire ruimte (toilet-/doucheruimte)</v>
      </c>
      <c r="J68" s="594" t="s">
        <v>645</v>
      </c>
      <c r="K68" s="678">
        <v>8.52</v>
      </c>
      <c r="L68" s="678"/>
      <c r="M68" s="606">
        <v>4200</v>
      </c>
      <c r="N68" s="601"/>
      <c r="O68" s="601"/>
      <c r="P68" s="603">
        <f t="shared" si="32"/>
        <v>200</v>
      </c>
      <c r="Q68" s="689">
        <v>1</v>
      </c>
      <c r="R68" s="596">
        <f t="shared" si="33"/>
        <v>0</v>
      </c>
      <c r="S68" s="596">
        <f t="shared" si="34"/>
        <v>0</v>
      </c>
      <c r="T68" s="596">
        <f t="shared" si="35"/>
        <v>0</v>
      </c>
      <c r="U68" s="681">
        <f t="shared" si="36"/>
        <v>0</v>
      </c>
      <c r="V68" s="681">
        <f t="shared" si="37"/>
        <v>0</v>
      </c>
      <c r="W68" s="598">
        <f t="shared" si="38"/>
        <v>0</v>
      </c>
      <c r="X68" s="599" t="str">
        <f t="shared" si="39"/>
        <v>S</v>
      </c>
      <c r="Y68" s="600"/>
      <c r="Z68" s="686" t="e">
        <f>(R68+S68)*'1.0-Contractblad'!$L$98</f>
        <v>#DIV/0!</v>
      </c>
      <c r="AA68" s="687">
        <f ca="1">VLOOKUP(E68,'1.1a-Jaarprijzen'!$B$33:$O$51,14,FALSE)*(L68+K68)</f>
        <v>0</v>
      </c>
      <c r="AB68" s="60">
        <f t="shared" si="40"/>
        <v>0</v>
      </c>
      <c r="AD68" s="60" t="str">
        <f t="shared" si="41"/>
        <v>4200-200</v>
      </c>
    </row>
    <row r="69" spans="1:30">
      <c r="A69" s="92">
        <f t="shared" si="30"/>
        <v>1</v>
      </c>
      <c r="B69" s="589"/>
      <c r="C69" s="590"/>
      <c r="D69" s="688">
        <v>1</v>
      </c>
      <c r="E69" s="591" t="s">
        <v>478</v>
      </c>
      <c r="F69" s="592" t="s">
        <v>348</v>
      </c>
      <c r="G69" s="593" t="s">
        <v>361</v>
      </c>
      <c r="H69" s="594" t="s">
        <v>309</v>
      </c>
      <c r="I69" s="595" t="str">
        <f t="shared" si="31"/>
        <v>niet van toepassing</v>
      </c>
      <c r="J69" s="594" t="s">
        <v>639</v>
      </c>
      <c r="K69" s="678"/>
      <c r="L69" s="678">
        <v>1.25</v>
      </c>
      <c r="M69" s="606" t="s">
        <v>27</v>
      </c>
      <c r="N69" s="601"/>
      <c r="O69" s="601"/>
      <c r="P69" s="603">
        <f t="shared" si="32"/>
        <v>0</v>
      </c>
      <c r="Q69" s="689">
        <v>1</v>
      </c>
      <c r="R69" s="596">
        <f t="shared" si="33"/>
        <v>0</v>
      </c>
      <c r="S69" s="596">
        <f t="shared" si="34"/>
        <v>0</v>
      </c>
      <c r="T69" s="596">
        <f t="shared" si="35"/>
        <v>0</v>
      </c>
      <c r="U69" s="681">
        <f t="shared" si="36"/>
        <v>0</v>
      </c>
      <c r="V69" s="681">
        <f t="shared" si="37"/>
        <v>0</v>
      </c>
      <c r="W69" s="598">
        <f t="shared" si="38"/>
        <v>0</v>
      </c>
      <c r="X69" s="599">
        <f t="shared" si="39"/>
        <v>0</v>
      </c>
      <c r="Y69" s="600"/>
      <c r="Z69" s="686" t="e">
        <f>(R69+S69)*'1.0-Contractblad'!$L$98</f>
        <v>#DIV/0!</v>
      </c>
      <c r="AA69" s="687">
        <f ca="1">VLOOKUP(E69,'1.1a-Jaarprijzen'!$B$33:$O$51,14,FALSE)*(L69+K69)</f>
        <v>0</v>
      </c>
      <c r="AB69" s="60">
        <f t="shared" si="40"/>
        <v>0</v>
      </c>
      <c r="AD69" s="60" t="str">
        <f t="shared" si="41"/>
        <v>nvt-0</v>
      </c>
    </row>
    <row r="70" spans="1:30">
      <c r="A70" s="92">
        <f t="shared" si="30"/>
        <v>1</v>
      </c>
      <c r="B70" s="589"/>
      <c r="C70" s="590"/>
      <c r="D70" s="688">
        <v>1</v>
      </c>
      <c r="E70" s="591" t="s">
        <v>478</v>
      </c>
      <c r="F70" s="592" t="s">
        <v>348</v>
      </c>
      <c r="G70" s="593" t="s">
        <v>356</v>
      </c>
      <c r="H70" s="594" t="s">
        <v>320</v>
      </c>
      <c r="I70" s="595" t="str">
        <f t="shared" si="31"/>
        <v>leslokaal</v>
      </c>
      <c r="J70" s="594" t="s">
        <v>644</v>
      </c>
      <c r="K70" s="678">
        <v>57.63</v>
      </c>
      <c r="L70" s="678"/>
      <c r="M70" s="606">
        <v>7200</v>
      </c>
      <c r="N70" s="601"/>
      <c r="O70" s="601"/>
      <c r="P70" s="603">
        <f t="shared" si="32"/>
        <v>200</v>
      </c>
      <c r="Q70" s="689">
        <v>1</v>
      </c>
      <c r="R70" s="596">
        <f t="shared" si="33"/>
        <v>0</v>
      </c>
      <c r="S70" s="596">
        <f t="shared" si="34"/>
        <v>0</v>
      </c>
      <c r="T70" s="596">
        <f t="shared" si="35"/>
        <v>0</v>
      </c>
      <c r="U70" s="681">
        <f t="shared" si="36"/>
        <v>0</v>
      </c>
      <c r="V70" s="681">
        <f t="shared" si="37"/>
        <v>0</v>
      </c>
      <c r="W70" s="598">
        <f t="shared" si="38"/>
        <v>0</v>
      </c>
      <c r="X70" s="599" t="str">
        <f t="shared" si="39"/>
        <v>L</v>
      </c>
      <c r="Y70" s="600"/>
      <c r="Z70" s="686" t="e">
        <f>(R70+S70)*'1.0-Contractblad'!$L$98</f>
        <v>#DIV/0!</v>
      </c>
      <c r="AA70" s="687">
        <f ca="1">VLOOKUP(E70,'1.1a-Jaarprijzen'!$B$33:$O$51,14,FALSE)*(L70+K70)</f>
        <v>0</v>
      </c>
      <c r="AB70" s="60">
        <f t="shared" si="40"/>
        <v>0</v>
      </c>
      <c r="AD70" s="60" t="str">
        <f t="shared" si="41"/>
        <v>7200-200</v>
      </c>
    </row>
    <row r="71" spans="1:30">
      <c r="A71" s="92">
        <f t="shared" si="30"/>
        <v>1</v>
      </c>
      <c r="B71" s="589"/>
      <c r="C71" s="590"/>
      <c r="D71" s="688">
        <v>1</v>
      </c>
      <c r="E71" s="591" t="s">
        <v>478</v>
      </c>
      <c r="F71" s="592" t="s">
        <v>348</v>
      </c>
      <c r="G71" s="593" t="s">
        <v>369</v>
      </c>
      <c r="H71" s="594" t="s">
        <v>320</v>
      </c>
      <c r="I71" s="595" t="str">
        <f t="shared" si="31"/>
        <v>leslokaal</v>
      </c>
      <c r="J71" s="594" t="s">
        <v>644</v>
      </c>
      <c r="K71" s="678">
        <v>57.63</v>
      </c>
      <c r="L71" s="678"/>
      <c r="M71" s="606">
        <v>7200</v>
      </c>
      <c r="N71" s="601"/>
      <c r="O71" s="601"/>
      <c r="P71" s="603">
        <f t="shared" si="32"/>
        <v>200</v>
      </c>
      <c r="Q71" s="689">
        <v>1</v>
      </c>
      <c r="R71" s="596">
        <f t="shared" si="33"/>
        <v>0</v>
      </c>
      <c r="S71" s="596">
        <f t="shared" si="34"/>
        <v>0</v>
      </c>
      <c r="T71" s="596">
        <f t="shared" si="35"/>
        <v>0</v>
      </c>
      <c r="U71" s="681">
        <f t="shared" si="36"/>
        <v>0</v>
      </c>
      <c r="V71" s="681">
        <f t="shared" si="37"/>
        <v>0</v>
      </c>
      <c r="W71" s="598">
        <f t="shared" si="38"/>
        <v>0</v>
      </c>
      <c r="X71" s="599" t="str">
        <f t="shared" si="39"/>
        <v>L</v>
      </c>
      <c r="Y71" s="600"/>
      <c r="Z71" s="686" t="e">
        <f>(R71+S71)*'1.0-Contractblad'!$L$98</f>
        <v>#DIV/0!</v>
      </c>
      <c r="AA71" s="687">
        <f ca="1">VLOOKUP(E71,'1.1a-Jaarprijzen'!$B$33:$O$51,14,FALSE)*(L71+K71)</f>
        <v>0</v>
      </c>
      <c r="AB71" s="60">
        <f t="shared" si="40"/>
        <v>0</v>
      </c>
      <c r="AD71" s="60" t="str">
        <f t="shared" si="41"/>
        <v>7200-200</v>
      </c>
    </row>
    <row r="72" spans="1:30">
      <c r="A72" s="92">
        <f t="shared" si="30"/>
        <v>1</v>
      </c>
      <c r="B72" s="589"/>
      <c r="C72" s="590"/>
      <c r="D72" s="688">
        <v>1</v>
      </c>
      <c r="E72" s="591" t="s">
        <v>478</v>
      </c>
      <c r="F72" s="592" t="s">
        <v>348</v>
      </c>
      <c r="G72" s="593" t="s">
        <v>373</v>
      </c>
      <c r="H72" s="594" t="s">
        <v>309</v>
      </c>
      <c r="I72" s="595" t="str">
        <f t="shared" si="31"/>
        <v>niet van toepassing</v>
      </c>
      <c r="J72" s="594" t="s">
        <v>639</v>
      </c>
      <c r="K72" s="678"/>
      <c r="L72" s="678">
        <v>1.25</v>
      </c>
      <c r="M72" s="606" t="s">
        <v>27</v>
      </c>
      <c r="N72" s="601"/>
      <c r="O72" s="601"/>
      <c r="P72" s="603">
        <f t="shared" si="32"/>
        <v>0</v>
      </c>
      <c r="Q72" s="689">
        <v>1</v>
      </c>
      <c r="R72" s="596">
        <f t="shared" si="33"/>
        <v>0</v>
      </c>
      <c r="S72" s="596">
        <f t="shared" si="34"/>
        <v>0</v>
      </c>
      <c r="T72" s="596">
        <f t="shared" si="35"/>
        <v>0</v>
      </c>
      <c r="U72" s="681">
        <f t="shared" si="36"/>
        <v>0</v>
      </c>
      <c r="V72" s="681">
        <f t="shared" si="37"/>
        <v>0</v>
      </c>
      <c r="W72" s="598">
        <f t="shared" si="38"/>
        <v>0</v>
      </c>
      <c r="X72" s="599">
        <f t="shared" si="39"/>
        <v>0</v>
      </c>
      <c r="Y72" s="600"/>
      <c r="Z72" s="686" t="e">
        <f>(R72+S72)*'1.0-Contractblad'!$L$98</f>
        <v>#DIV/0!</v>
      </c>
      <c r="AA72" s="687">
        <f ca="1">VLOOKUP(E72,'1.1a-Jaarprijzen'!$B$33:$O$51,14,FALSE)*(L72+K72)</f>
        <v>0</v>
      </c>
      <c r="AB72" s="60">
        <f t="shared" si="40"/>
        <v>0</v>
      </c>
      <c r="AD72" s="60" t="str">
        <f t="shared" si="41"/>
        <v>nvt-0</v>
      </c>
    </row>
    <row r="73" spans="1:30">
      <c r="A73" s="92">
        <f t="shared" si="30"/>
        <v>1</v>
      </c>
      <c r="B73" s="589"/>
      <c r="C73" s="590"/>
      <c r="D73" s="688">
        <v>1</v>
      </c>
      <c r="E73" s="591" t="s">
        <v>478</v>
      </c>
      <c r="F73" s="592" t="s">
        <v>348</v>
      </c>
      <c r="G73" s="593" t="s">
        <v>383</v>
      </c>
      <c r="H73" s="594" t="s">
        <v>322</v>
      </c>
      <c r="I73" s="595" t="str">
        <f t="shared" si="31"/>
        <v>sanitaire ruimte (toilet-/doucheruimte)</v>
      </c>
      <c r="J73" s="594" t="s">
        <v>645</v>
      </c>
      <c r="K73" s="678">
        <v>8.52</v>
      </c>
      <c r="L73" s="678"/>
      <c r="M73" s="606">
        <v>4200</v>
      </c>
      <c r="N73" s="601"/>
      <c r="O73" s="601"/>
      <c r="P73" s="603">
        <f t="shared" si="32"/>
        <v>200</v>
      </c>
      <c r="Q73" s="689">
        <v>1</v>
      </c>
      <c r="R73" s="596">
        <f t="shared" si="33"/>
        <v>0</v>
      </c>
      <c r="S73" s="596">
        <f t="shared" si="34"/>
        <v>0</v>
      </c>
      <c r="T73" s="596">
        <f t="shared" si="35"/>
        <v>0</v>
      </c>
      <c r="U73" s="681">
        <f t="shared" si="36"/>
        <v>0</v>
      </c>
      <c r="V73" s="681">
        <f t="shared" si="37"/>
        <v>0</v>
      </c>
      <c r="W73" s="598">
        <f t="shared" si="38"/>
        <v>0</v>
      </c>
      <c r="X73" s="599" t="str">
        <f t="shared" si="39"/>
        <v>S</v>
      </c>
      <c r="Y73" s="600"/>
      <c r="Z73" s="686" t="e">
        <f>(R73+S73)*'1.0-Contractblad'!$L$98</f>
        <v>#DIV/0!</v>
      </c>
      <c r="AA73" s="687">
        <f ca="1">VLOOKUP(E73,'1.1a-Jaarprijzen'!$B$33:$O$51,14,FALSE)*(L73+K73)</f>
        <v>0</v>
      </c>
      <c r="AB73" s="60">
        <f t="shared" si="40"/>
        <v>0</v>
      </c>
      <c r="AD73" s="60" t="str">
        <f t="shared" si="41"/>
        <v>4200-200</v>
      </c>
    </row>
    <row r="74" spans="1:30">
      <c r="A74" s="92">
        <f t="shared" si="30"/>
        <v>1</v>
      </c>
      <c r="B74" s="589"/>
      <c r="C74" s="590"/>
      <c r="D74" s="688">
        <v>1</v>
      </c>
      <c r="E74" s="591" t="s">
        <v>478</v>
      </c>
      <c r="F74" s="592" t="s">
        <v>348</v>
      </c>
      <c r="G74" s="593" t="s">
        <v>362</v>
      </c>
      <c r="H74" s="594" t="s">
        <v>309</v>
      </c>
      <c r="I74" s="595" t="str">
        <f t="shared" si="31"/>
        <v>niet van toepassing</v>
      </c>
      <c r="J74" s="594" t="s">
        <v>639</v>
      </c>
      <c r="K74" s="678"/>
      <c r="L74" s="678">
        <v>1.25</v>
      </c>
      <c r="M74" s="606" t="s">
        <v>27</v>
      </c>
      <c r="N74" s="601"/>
      <c r="O74" s="601"/>
      <c r="P74" s="603">
        <f t="shared" si="32"/>
        <v>0</v>
      </c>
      <c r="Q74" s="689">
        <v>1</v>
      </c>
      <c r="R74" s="596">
        <f t="shared" si="33"/>
        <v>0</v>
      </c>
      <c r="S74" s="596">
        <f t="shared" si="34"/>
        <v>0</v>
      </c>
      <c r="T74" s="596">
        <f t="shared" si="35"/>
        <v>0</v>
      </c>
      <c r="U74" s="681">
        <f t="shared" si="36"/>
        <v>0</v>
      </c>
      <c r="V74" s="681">
        <f t="shared" si="37"/>
        <v>0</v>
      </c>
      <c r="W74" s="598">
        <f t="shared" si="38"/>
        <v>0</v>
      </c>
      <c r="X74" s="599">
        <f t="shared" si="39"/>
        <v>0</v>
      </c>
      <c r="Y74" s="600"/>
      <c r="Z74" s="686" t="e">
        <f>(R74+S74)*'1.0-Contractblad'!$L$98</f>
        <v>#DIV/0!</v>
      </c>
      <c r="AA74" s="687">
        <f ca="1">VLOOKUP(E74,'1.1a-Jaarprijzen'!$B$33:$O$51,14,FALSE)*(L74+K74)</f>
        <v>0</v>
      </c>
      <c r="AB74" s="60">
        <f t="shared" si="40"/>
        <v>0</v>
      </c>
      <c r="AD74" s="60" t="str">
        <f t="shared" si="41"/>
        <v>nvt-0</v>
      </c>
    </row>
    <row r="75" spans="1:30">
      <c r="A75" s="92">
        <f t="shared" si="30"/>
        <v>1</v>
      </c>
      <c r="B75" s="589"/>
      <c r="C75" s="590"/>
      <c r="D75" s="688">
        <v>1</v>
      </c>
      <c r="E75" s="591" t="s">
        <v>478</v>
      </c>
      <c r="F75" s="592" t="s">
        <v>348</v>
      </c>
      <c r="G75" s="593" t="s">
        <v>370</v>
      </c>
      <c r="H75" s="594" t="s">
        <v>320</v>
      </c>
      <c r="I75" s="595" t="str">
        <f t="shared" si="31"/>
        <v>leslokaal</v>
      </c>
      <c r="J75" s="594" t="s">
        <v>644</v>
      </c>
      <c r="K75" s="678">
        <v>57.63</v>
      </c>
      <c r="L75" s="678"/>
      <c r="M75" s="606">
        <v>7200</v>
      </c>
      <c r="N75" s="601"/>
      <c r="O75" s="602"/>
      <c r="P75" s="603">
        <f t="shared" si="32"/>
        <v>200</v>
      </c>
      <c r="Q75" s="689">
        <v>1</v>
      </c>
      <c r="R75" s="596">
        <f t="shared" si="33"/>
        <v>0</v>
      </c>
      <c r="S75" s="596">
        <f t="shared" si="34"/>
        <v>0</v>
      </c>
      <c r="T75" s="596">
        <f t="shared" si="35"/>
        <v>0</v>
      </c>
      <c r="U75" s="681">
        <f t="shared" si="36"/>
        <v>0</v>
      </c>
      <c r="V75" s="681">
        <f t="shared" si="37"/>
        <v>0</v>
      </c>
      <c r="W75" s="598">
        <f t="shared" si="38"/>
        <v>0</v>
      </c>
      <c r="X75" s="599" t="str">
        <f t="shared" si="39"/>
        <v>L</v>
      </c>
      <c r="Y75" s="600"/>
      <c r="Z75" s="686" t="e">
        <f>(R75+S75)*'1.0-Contractblad'!$L$98</f>
        <v>#DIV/0!</v>
      </c>
      <c r="AA75" s="687">
        <f ca="1">VLOOKUP(E75,'1.1a-Jaarprijzen'!$B$33:$O$51,14,FALSE)*(L75+K75)</f>
        <v>0</v>
      </c>
      <c r="AB75" s="60">
        <f t="shared" si="40"/>
        <v>0</v>
      </c>
      <c r="AD75" s="60" t="str">
        <f t="shared" si="41"/>
        <v>7200-200</v>
      </c>
    </row>
    <row r="76" spans="1:30">
      <c r="A76" s="92">
        <f t="shared" si="30"/>
        <v>1</v>
      </c>
      <c r="B76" s="589"/>
      <c r="C76" s="590"/>
      <c r="D76" s="688">
        <v>1</v>
      </c>
      <c r="E76" s="591" t="s">
        <v>478</v>
      </c>
      <c r="F76" s="592" t="s">
        <v>348</v>
      </c>
      <c r="G76" s="593" t="s">
        <v>371</v>
      </c>
      <c r="H76" s="594" t="s">
        <v>320</v>
      </c>
      <c r="I76" s="595" t="str">
        <f t="shared" si="31"/>
        <v>leslokaal</v>
      </c>
      <c r="J76" s="594" t="s">
        <v>644</v>
      </c>
      <c r="K76" s="678">
        <v>56.64</v>
      </c>
      <c r="L76" s="678"/>
      <c r="M76" s="606">
        <v>7200</v>
      </c>
      <c r="N76" s="601"/>
      <c r="O76" s="602"/>
      <c r="P76" s="603">
        <f t="shared" si="32"/>
        <v>200</v>
      </c>
      <c r="Q76" s="689">
        <v>1</v>
      </c>
      <c r="R76" s="596">
        <f t="shared" si="33"/>
        <v>0</v>
      </c>
      <c r="S76" s="596">
        <f t="shared" si="34"/>
        <v>0</v>
      </c>
      <c r="T76" s="596">
        <f t="shared" si="35"/>
        <v>0</v>
      </c>
      <c r="U76" s="681">
        <f t="shared" si="36"/>
        <v>0</v>
      </c>
      <c r="V76" s="681">
        <f t="shared" si="37"/>
        <v>0</v>
      </c>
      <c r="W76" s="598">
        <f t="shared" si="38"/>
        <v>0</v>
      </c>
      <c r="X76" s="599" t="str">
        <f t="shared" si="39"/>
        <v>L</v>
      </c>
      <c r="Y76" s="600"/>
      <c r="Z76" s="686" t="e">
        <f>(R76+S76)*'1.0-Contractblad'!$L$98</f>
        <v>#DIV/0!</v>
      </c>
      <c r="AA76" s="687">
        <f ca="1">VLOOKUP(E76,'1.1a-Jaarprijzen'!$B$33:$O$51,14,FALSE)*(L76+K76)</f>
        <v>0</v>
      </c>
      <c r="AB76" s="60">
        <f t="shared" si="40"/>
        <v>0</v>
      </c>
      <c r="AD76" s="60" t="str">
        <f t="shared" si="41"/>
        <v>7200-200</v>
      </c>
    </row>
    <row r="77" spans="1:30">
      <c r="A77" s="92">
        <f t="shared" si="30"/>
        <v>1</v>
      </c>
      <c r="B77" s="589"/>
      <c r="C77" s="590"/>
      <c r="D77" s="688">
        <v>1</v>
      </c>
      <c r="E77" s="591" t="s">
        <v>478</v>
      </c>
      <c r="F77" s="592" t="s">
        <v>348</v>
      </c>
      <c r="G77" s="593" t="s">
        <v>391</v>
      </c>
      <c r="H77" s="594" t="s">
        <v>309</v>
      </c>
      <c r="I77" s="595" t="str">
        <f t="shared" si="31"/>
        <v>niet van toepassing</v>
      </c>
      <c r="J77" s="594" t="s">
        <v>639</v>
      </c>
      <c r="K77" s="678"/>
      <c r="L77" s="678">
        <v>1.25</v>
      </c>
      <c r="M77" s="606" t="s">
        <v>27</v>
      </c>
      <c r="N77" s="601"/>
      <c r="O77" s="601"/>
      <c r="P77" s="603">
        <f t="shared" si="32"/>
        <v>0</v>
      </c>
      <c r="Q77" s="689">
        <v>1</v>
      </c>
      <c r="R77" s="596">
        <f t="shared" si="33"/>
        <v>0</v>
      </c>
      <c r="S77" s="596">
        <f t="shared" si="34"/>
        <v>0</v>
      </c>
      <c r="T77" s="596">
        <f t="shared" si="35"/>
        <v>0</v>
      </c>
      <c r="U77" s="681">
        <f t="shared" si="36"/>
        <v>0</v>
      </c>
      <c r="V77" s="681">
        <f t="shared" si="37"/>
        <v>0</v>
      </c>
      <c r="W77" s="598">
        <f t="shared" si="38"/>
        <v>0</v>
      </c>
      <c r="X77" s="599">
        <f t="shared" si="39"/>
        <v>0</v>
      </c>
      <c r="Y77" s="600"/>
      <c r="Z77" s="686" t="e">
        <f>(R77+S77)*'1.0-Contractblad'!$L$98</f>
        <v>#DIV/0!</v>
      </c>
      <c r="AA77" s="687">
        <f ca="1">VLOOKUP(E77,'1.1a-Jaarprijzen'!$B$33:$O$51,14,FALSE)*(L77+K77)</f>
        <v>0</v>
      </c>
      <c r="AB77" s="60">
        <f t="shared" si="40"/>
        <v>0</v>
      </c>
      <c r="AD77" s="60" t="str">
        <f t="shared" si="41"/>
        <v>nvt-0</v>
      </c>
    </row>
    <row r="78" spans="1:30">
      <c r="A78" s="92">
        <f t="shared" si="30"/>
        <v>1</v>
      </c>
      <c r="B78" s="589"/>
      <c r="C78" s="590"/>
      <c r="D78" s="688">
        <v>1</v>
      </c>
      <c r="E78" s="591" t="s">
        <v>478</v>
      </c>
      <c r="F78" s="592" t="s">
        <v>348</v>
      </c>
      <c r="G78" s="593" t="s">
        <v>385</v>
      </c>
      <c r="H78" s="594" t="s">
        <v>322</v>
      </c>
      <c r="I78" s="595" t="str">
        <f t="shared" si="31"/>
        <v>sanitaire ruimte (toilet-/doucheruimte)</v>
      </c>
      <c r="J78" s="594" t="s">
        <v>645</v>
      </c>
      <c r="K78" s="678">
        <v>3.97</v>
      </c>
      <c r="L78" s="678"/>
      <c r="M78" s="606">
        <v>4200</v>
      </c>
      <c r="N78" s="601"/>
      <c r="O78" s="602"/>
      <c r="P78" s="603">
        <f t="shared" si="32"/>
        <v>200</v>
      </c>
      <c r="Q78" s="689">
        <v>1</v>
      </c>
      <c r="R78" s="596">
        <f t="shared" si="33"/>
        <v>0</v>
      </c>
      <c r="S78" s="596">
        <f t="shared" si="34"/>
        <v>0</v>
      </c>
      <c r="T78" s="596">
        <f t="shared" si="35"/>
        <v>0</v>
      </c>
      <c r="U78" s="681">
        <f t="shared" si="36"/>
        <v>0</v>
      </c>
      <c r="V78" s="681">
        <f t="shared" si="37"/>
        <v>0</v>
      </c>
      <c r="W78" s="598">
        <f t="shared" si="38"/>
        <v>0</v>
      </c>
      <c r="X78" s="599" t="str">
        <f t="shared" si="39"/>
        <v>S</v>
      </c>
      <c r="Y78" s="600"/>
      <c r="Z78" s="686" t="e">
        <f>(R78+S78)*'1.0-Contractblad'!$L$98</f>
        <v>#DIV/0!</v>
      </c>
      <c r="AA78" s="687">
        <f ca="1">VLOOKUP(E78,'1.1a-Jaarprijzen'!$B$33:$O$51,14,FALSE)*(L78+K78)</f>
        <v>0</v>
      </c>
      <c r="AB78" s="60">
        <f t="shared" si="40"/>
        <v>0</v>
      </c>
      <c r="AD78" s="60" t="str">
        <f t="shared" si="41"/>
        <v>4200-200</v>
      </c>
    </row>
    <row r="79" spans="1:30">
      <c r="A79" s="92">
        <f t="shared" si="30"/>
        <v>1</v>
      </c>
      <c r="B79" s="589"/>
      <c r="C79" s="590"/>
      <c r="D79" s="688">
        <v>1</v>
      </c>
      <c r="E79" s="591" t="s">
        <v>478</v>
      </c>
      <c r="F79" s="592" t="s">
        <v>348</v>
      </c>
      <c r="G79" s="593" t="s">
        <v>374</v>
      </c>
      <c r="H79" s="594" t="s">
        <v>309</v>
      </c>
      <c r="I79" s="595" t="str">
        <f t="shared" si="31"/>
        <v>niet van toepassing</v>
      </c>
      <c r="J79" s="594" t="s">
        <v>639</v>
      </c>
      <c r="K79" s="678"/>
      <c r="L79" s="678">
        <v>2</v>
      </c>
      <c r="M79" s="606" t="s">
        <v>27</v>
      </c>
      <c r="N79" s="601"/>
      <c r="O79" s="602"/>
      <c r="P79" s="603">
        <f t="shared" si="32"/>
        <v>0</v>
      </c>
      <c r="Q79" s="689">
        <v>1</v>
      </c>
      <c r="R79" s="596">
        <f t="shared" si="33"/>
        <v>0</v>
      </c>
      <c r="S79" s="596">
        <f t="shared" si="34"/>
        <v>0</v>
      </c>
      <c r="T79" s="596">
        <f t="shared" si="35"/>
        <v>0</v>
      </c>
      <c r="U79" s="681">
        <f t="shared" si="36"/>
        <v>0</v>
      </c>
      <c r="V79" s="681">
        <f t="shared" si="37"/>
        <v>0</v>
      </c>
      <c r="W79" s="598">
        <f t="shared" si="38"/>
        <v>0</v>
      </c>
      <c r="X79" s="599">
        <f t="shared" si="39"/>
        <v>0</v>
      </c>
      <c r="Y79" s="600"/>
      <c r="Z79" s="686" t="e">
        <f>(R79+S79)*'1.0-Contractblad'!$L$98</f>
        <v>#DIV/0!</v>
      </c>
      <c r="AA79" s="687">
        <f ca="1">VLOOKUP(E79,'1.1a-Jaarprijzen'!$B$33:$O$51,14,FALSE)*(L79+K79)</f>
        <v>0</v>
      </c>
      <c r="AB79" s="60">
        <f t="shared" si="40"/>
        <v>0</v>
      </c>
      <c r="AD79" s="60" t="str">
        <f t="shared" si="41"/>
        <v>nvt-0</v>
      </c>
    </row>
    <row r="80" spans="1:30">
      <c r="A80" s="92">
        <f t="shared" si="30"/>
        <v>1</v>
      </c>
      <c r="B80" s="589"/>
      <c r="C80" s="590"/>
      <c r="D80" s="688">
        <v>1</v>
      </c>
      <c r="E80" s="591" t="s">
        <v>478</v>
      </c>
      <c r="F80" s="592" t="s">
        <v>348</v>
      </c>
      <c r="G80" s="593" t="s">
        <v>349</v>
      </c>
      <c r="H80" s="594" t="s">
        <v>350</v>
      </c>
      <c r="I80" s="595" t="str">
        <f t="shared" si="31"/>
        <v>entree, gang, hal, repro, kopieer</v>
      </c>
      <c r="J80" s="594" t="s">
        <v>644</v>
      </c>
      <c r="K80" s="678">
        <v>4.3899999999999997</v>
      </c>
      <c r="L80" s="678"/>
      <c r="M80" s="606">
        <v>3200</v>
      </c>
      <c r="N80" s="601"/>
      <c r="O80" s="602"/>
      <c r="P80" s="603">
        <f t="shared" si="32"/>
        <v>200</v>
      </c>
      <c r="Q80" s="689">
        <v>1</v>
      </c>
      <c r="R80" s="596">
        <f t="shared" si="33"/>
        <v>0</v>
      </c>
      <c r="S80" s="596">
        <f t="shared" si="34"/>
        <v>0</v>
      </c>
      <c r="T80" s="596">
        <f t="shared" si="35"/>
        <v>0</v>
      </c>
      <c r="U80" s="681">
        <f t="shared" si="36"/>
        <v>0</v>
      </c>
      <c r="V80" s="681">
        <f t="shared" si="37"/>
        <v>0</v>
      </c>
      <c r="W80" s="598">
        <f t="shared" si="38"/>
        <v>0</v>
      </c>
      <c r="X80" s="599" t="str">
        <f t="shared" si="39"/>
        <v>V</v>
      </c>
      <c r="Y80" s="600"/>
      <c r="Z80" s="686" t="e">
        <f>(R80+S80)*'1.0-Contractblad'!$L$98</f>
        <v>#DIV/0!</v>
      </c>
      <c r="AA80" s="687">
        <f ca="1">VLOOKUP(E80,'1.1a-Jaarprijzen'!$B$33:$O$51,14,FALSE)*(L80+K80)</f>
        <v>0</v>
      </c>
      <c r="AB80" s="60">
        <f t="shared" si="40"/>
        <v>0</v>
      </c>
      <c r="AD80" s="60" t="str">
        <f t="shared" si="41"/>
        <v>3200-200</v>
      </c>
    </row>
    <row r="81" spans="1:30">
      <c r="A81" s="92">
        <f t="shared" si="30"/>
        <v>1</v>
      </c>
      <c r="B81" s="589"/>
      <c r="C81" s="590"/>
      <c r="D81" s="688">
        <v>1</v>
      </c>
      <c r="E81" s="591" t="s">
        <v>478</v>
      </c>
      <c r="F81" s="592" t="s">
        <v>348</v>
      </c>
      <c r="G81" s="593" t="s">
        <v>352</v>
      </c>
      <c r="H81" s="594" t="s">
        <v>312</v>
      </c>
      <c r="I81" s="595" t="str">
        <f t="shared" si="31"/>
        <v>entree, gang, hal, repro, kopieer</v>
      </c>
      <c r="J81" s="594" t="s">
        <v>644</v>
      </c>
      <c r="K81" s="678">
        <v>54.35</v>
      </c>
      <c r="L81" s="678"/>
      <c r="M81" s="606">
        <v>3200</v>
      </c>
      <c r="N81" s="601"/>
      <c r="O81" s="602"/>
      <c r="P81" s="603">
        <f t="shared" si="32"/>
        <v>200</v>
      </c>
      <c r="Q81" s="689">
        <v>1</v>
      </c>
      <c r="R81" s="596">
        <f t="shared" si="33"/>
        <v>0</v>
      </c>
      <c r="S81" s="596">
        <f t="shared" si="34"/>
        <v>0</v>
      </c>
      <c r="T81" s="596">
        <f t="shared" si="35"/>
        <v>0</v>
      </c>
      <c r="U81" s="681">
        <f t="shared" si="36"/>
        <v>0</v>
      </c>
      <c r="V81" s="681">
        <f t="shared" si="37"/>
        <v>0</v>
      </c>
      <c r="W81" s="598">
        <f t="shared" si="38"/>
        <v>0</v>
      </c>
      <c r="X81" s="599" t="str">
        <f t="shared" si="39"/>
        <v>V</v>
      </c>
      <c r="Y81" s="600"/>
      <c r="Z81" s="686" t="e">
        <f>(R81+S81)*'1.0-Contractblad'!$L$98</f>
        <v>#DIV/0!</v>
      </c>
      <c r="AA81" s="687">
        <f ca="1">VLOOKUP(E81,'1.1a-Jaarprijzen'!$B$33:$O$51,14,FALSE)*(L81+K81)</f>
        <v>0</v>
      </c>
      <c r="AB81" s="60">
        <f t="shared" si="40"/>
        <v>0</v>
      </c>
      <c r="AD81" s="60" t="str">
        <f t="shared" si="41"/>
        <v>3200-200</v>
      </c>
    </row>
    <row r="82" spans="1:30">
      <c r="A82" s="92">
        <f t="shared" si="30"/>
        <v>1</v>
      </c>
      <c r="B82" s="589"/>
      <c r="C82" s="590"/>
      <c r="D82" s="688">
        <v>1</v>
      </c>
      <c r="E82" s="591" t="s">
        <v>478</v>
      </c>
      <c r="F82" s="592" t="s">
        <v>348</v>
      </c>
      <c r="G82" s="593" t="s">
        <v>368</v>
      </c>
      <c r="H82" s="594" t="s">
        <v>312</v>
      </c>
      <c r="I82" s="595" t="str">
        <f t="shared" si="31"/>
        <v>entree, gang, hal, repro, kopieer</v>
      </c>
      <c r="J82" s="594" t="s">
        <v>644</v>
      </c>
      <c r="K82" s="678">
        <v>83.51</v>
      </c>
      <c r="L82" s="678"/>
      <c r="M82" s="606">
        <v>3200</v>
      </c>
      <c r="N82" s="601"/>
      <c r="O82" s="602"/>
      <c r="P82" s="603">
        <f t="shared" si="32"/>
        <v>200</v>
      </c>
      <c r="Q82" s="689">
        <v>1</v>
      </c>
      <c r="R82" s="596">
        <f t="shared" si="33"/>
        <v>0</v>
      </c>
      <c r="S82" s="596">
        <f t="shared" si="34"/>
        <v>0</v>
      </c>
      <c r="T82" s="596">
        <f t="shared" si="35"/>
        <v>0</v>
      </c>
      <c r="U82" s="681">
        <f t="shared" si="36"/>
        <v>0</v>
      </c>
      <c r="V82" s="681">
        <f t="shared" si="37"/>
        <v>0</v>
      </c>
      <c r="W82" s="598">
        <f t="shared" si="38"/>
        <v>0</v>
      </c>
      <c r="X82" s="599" t="str">
        <f t="shared" si="39"/>
        <v>V</v>
      </c>
      <c r="Y82" s="600"/>
      <c r="Z82" s="686" t="e">
        <f>(R82+S82)*'1.0-Contractblad'!$L$98</f>
        <v>#DIV/0!</v>
      </c>
      <c r="AA82" s="687">
        <f ca="1">VLOOKUP(E82,'1.1a-Jaarprijzen'!$B$33:$O$51,14,FALSE)*(L82+K82)</f>
        <v>0</v>
      </c>
      <c r="AB82" s="60">
        <f t="shared" si="40"/>
        <v>0</v>
      </c>
      <c r="AD82" s="60" t="str">
        <f t="shared" si="41"/>
        <v>3200-200</v>
      </c>
    </row>
    <row r="83" spans="1:30">
      <c r="A83" s="92">
        <f t="shared" si="30"/>
        <v>1</v>
      </c>
      <c r="B83" s="589"/>
      <c r="C83" s="590"/>
      <c r="D83" s="688">
        <v>1</v>
      </c>
      <c r="E83" s="591" t="s">
        <v>478</v>
      </c>
      <c r="F83" s="592" t="s">
        <v>348</v>
      </c>
      <c r="G83" s="593" t="s">
        <v>351</v>
      </c>
      <c r="H83" s="594" t="s">
        <v>350</v>
      </c>
      <c r="I83" s="595" t="str">
        <f t="shared" si="31"/>
        <v>entree, gang, hal, repro, kopieer</v>
      </c>
      <c r="J83" s="594" t="s">
        <v>644</v>
      </c>
      <c r="K83" s="678">
        <f>18.1*0.95</f>
        <v>17.195</v>
      </c>
      <c r="L83" s="678"/>
      <c r="M83" s="606">
        <v>3200</v>
      </c>
      <c r="N83" s="601"/>
      <c r="O83" s="602"/>
      <c r="P83" s="603">
        <f t="shared" si="32"/>
        <v>200</v>
      </c>
      <c r="Q83" s="689">
        <v>1</v>
      </c>
      <c r="R83" s="596">
        <f t="shared" si="33"/>
        <v>0</v>
      </c>
      <c r="S83" s="596">
        <f t="shared" si="34"/>
        <v>0</v>
      </c>
      <c r="T83" s="596">
        <f t="shared" si="35"/>
        <v>0</v>
      </c>
      <c r="U83" s="681">
        <f t="shared" si="36"/>
        <v>0</v>
      </c>
      <c r="V83" s="681">
        <f t="shared" si="37"/>
        <v>0</v>
      </c>
      <c r="W83" s="598">
        <f t="shared" si="38"/>
        <v>0</v>
      </c>
      <c r="X83" s="599" t="str">
        <f t="shared" si="39"/>
        <v>V</v>
      </c>
      <c r="Y83" s="600"/>
      <c r="Z83" s="686" t="e">
        <f>(R83+S83)*'1.0-Contractblad'!$L$98</f>
        <v>#DIV/0!</v>
      </c>
      <c r="AA83" s="687">
        <f ca="1">VLOOKUP(E83,'1.1a-Jaarprijzen'!$B$33:$O$51,14,FALSE)*(L83+K83)</f>
        <v>0</v>
      </c>
      <c r="AB83" s="60">
        <f t="shared" si="40"/>
        <v>0</v>
      </c>
      <c r="AD83" s="60" t="str">
        <f t="shared" si="41"/>
        <v>3200-200</v>
      </c>
    </row>
    <row r="84" spans="1:30">
      <c r="A84" s="92">
        <f t="shared" si="30"/>
        <v>1</v>
      </c>
      <c r="B84" s="589"/>
      <c r="C84" s="590"/>
      <c r="D84" s="688">
        <v>1</v>
      </c>
      <c r="E84" s="591" t="s">
        <v>478</v>
      </c>
      <c r="F84" s="592" t="s">
        <v>348</v>
      </c>
      <c r="G84" s="593" t="s">
        <v>390</v>
      </c>
      <c r="H84" s="594" t="s">
        <v>316</v>
      </c>
      <c r="I84" s="595" t="str">
        <f t="shared" si="31"/>
        <v>aula, gemeenschappelijke ruimte, bibliotheek</v>
      </c>
      <c r="J84" s="594" t="s">
        <v>644</v>
      </c>
      <c r="K84" s="678">
        <v>154.72</v>
      </c>
      <c r="L84" s="678"/>
      <c r="M84" s="606">
        <v>2200</v>
      </c>
      <c r="N84" s="601"/>
      <c r="O84" s="601"/>
      <c r="P84" s="603">
        <f t="shared" si="32"/>
        <v>200</v>
      </c>
      <c r="Q84" s="689">
        <v>1</v>
      </c>
      <c r="R84" s="596">
        <f t="shared" si="33"/>
        <v>0</v>
      </c>
      <c r="S84" s="596">
        <f t="shared" si="34"/>
        <v>0</v>
      </c>
      <c r="T84" s="596">
        <f t="shared" si="35"/>
        <v>0</v>
      </c>
      <c r="U84" s="681">
        <f t="shared" si="36"/>
        <v>0</v>
      </c>
      <c r="V84" s="681">
        <f t="shared" si="37"/>
        <v>0</v>
      </c>
      <c r="W84" s="598">
        <f t="shared" si="38"/>
        <v>0</v>
      </c>
      <c r="X84" s="599" t="str">
        <f t="shared" si="39"/>
        <v>V</v>
      </c>
      <c r="Y84" s="600"/>
      <c r="Z84" s="686" t="e">
        <f>(R84+S84)*'1.0-Contractblad'!$L$98</f>
        <v>#DIV/0!</v>
      </c>
      <c r="AA84" s="687">
        <f ca="1">VLOOKUP(E84,'1.1a-Jaarprijzen'!$B$33:$O$51,14,FALSE)*(L84+K84)</f>
        <v>0</v>
      </c>
      <c r="AB84" s="60">
        <f t="shared" si="40"/>
        <v>0</v>
      </c>
      <c r="AD84" s="60" t="str">
        <f t="shared" si="41"/>
        <v>2200-200</v>
      </c>
    </row>
    <row r="85" spans="1:30">
      <c r="A85" s="92">
        <f t="shared" si="30"/>
        <v>1</v>
      </c>
      <c r="B85" s="604"/>
      <c r="C85" s="590"/>
      <c r="D85" s="688">
        <v>1</v>
      </c>
      <c r="E85" s="591" t="s">
        <v>478</v>
      </c>
      <c r="F85" s="592" t="s">
        <v>348</v>
      </c>
      <c r="G85" s="593" t="s">
        <v>392</v>
      </c>
      <c r="H85" s="594" t="s">
        <v>309</v>
      </c>
      <c r="I85" s="595" t="str">
        <f t="shared" si="31"/>
        <v>niet van toepassing</v>
      </c>
      <c r="J85" s="594" t="s">
        <v>639</v>
      </c>
      <c r="K85" s="678"/>
      <c r="L85" s="678">
        <v>6.99</v>
      </c>
      <c r="M85" s="606" t="s">
        <v>27</v>
      </c>
      <c r="N85" s="601"/>
      <c r="O85" s="601"/>
      <c r="P85" s="603">
        <f t="shared" si="32"/>
        <v>0</v>
      </c>
      <c r="Q85" s="689">
        <v>1</v>
      </c>
      <c r="R85" s="596">
        <f t="shared" si="33"/>
        <v>0</v>
      </c>
      <c r="S85" s="596">
        <f t="shared" si="34"/>
        <v>0</v>
      </c>
      <c r="T85" s="596">
        <f t="shared" si="35"/>
        <v>0</v>
      </c>
      <c r="U85" s="681">
        <f t="shared" si="36"/>
        <v>0</v>
      </c>
      <c r="V85" s="681">
        <f t="shared" si="37"/>
        <v>0</v>
      </c>
      <c r="W85" s="598">
        <f t="shared" si="38"/>
        <v>0</v>
      </c>
      <c r="X85" s="599">
        <f t="shared" si="39"/>
        <v>0</v>
      </c>
      <c r="Y85" s="600"/>
      <c r="Z85" s="686" t="e">
        <f>(R85+S85)*'1.0-Contractblad'!$L$98</f>
        <v>#DIV/0!</v>
      </c>
      <c r="AA85" s="687">
        <f ca="1">VLOOKUP(E85,'1.1a-Jaarprijzen'!$B$33:$O$51,14,FALSE)*(L85+K85)</f>
        <v>0</v>
      </c>
      <c r="AB85" s="60">
        <f t="shared" si="40"/>
        <v>0</v>
      </c>
      <c r="AD85" s="60" t="str">
        <f t="shared" si="41"/>
        <v>nvt-0</v>
      </c>
    </row>
    <row r="86" spans="1:30">
      <c r="A86" s="92">
        <f t="shared" si="30"/>
        <v>1</v>
      </c>
      <c r="B86" s="604"/>
      <c r="C86" s="590"/>
      <c r="D86" s="688">
        <v>1</v>
      </c>
      <c r="E86" s="591" t="s">
        <v>478</v>
      </c>
      <c r="F86" s="592" t="s">
        <v>348</v>
      </c>
      <c r="G86" s="593" t="s">
        <v>365</v>
      </c>
      <c r="H86" s="594" t="s">
        <v>317</v>
      </c>
      <c r="I86" s="595" t="str">
        <f t="shared" si="31"/>
        <v>administratieve -, personeels- en vergaderruimte</v>
      </c>
      <c r="J86" s="594" t="s">
        <v>644</v>
      </c>
      <c r="K86" s="678">
        <v>15.16</v>
      </c>
      <c r="L86" s="678"/>
      <c r="M86" s="606">
        <v>1040</v>
      </c>
      <c r="N86" s="601"/>
      <c r="O86" s="601"/>
      <c r="P86" s="603">
        <f t="shared" si="32"/>
        <v>40</v>
      </c>
      <c r="Q86" s="689">
        <v>1</v>
      </c>
      <c r="R86" s="596">
        <f t="shared" si="33"/>
        <v>0</v>
      </c>
      <c r="S86" s="596">
        <f t="shared" si="34"/>
        <v>0</v>
      </c>
      <c r="T86" s="596">
        <f t="shared" si="35"/>
        <v>0</v>
      </c>
      <c r="U86" s="681">
        <f t="shared" si="36"/>
        <v>0</v>
      </c>
      <c r="V86" s="681">
        <f t="shared" si="37"/>
        <v>0</v>
      </c>
      <c r="W86" s="598">
        <f t="shared" si="38"/>
        <v>0</v>
      </c>
      <c r="X86" s="599" t="str">
        <f t="shared" si="39"/>
        <v>V</v>
      </c>
      <c r="Y86" s="600"/>
      <c r="Z86" s="686" t="e">
        <f>(R86+S86)*'1.0-Contractblad'!$L$98</f>
        <v>#DIV/0!</v>
      </c>
      <c r="AA86" s="687">
        <f ca="1">VLOOKUP(E86,'1.1a-Jaarprijzen'!$B$33:$O$51,14,FALSE)*(L86+K86)</f>
        <v>0</v>
      </c>
      <c r="AB86" s="60">
        <f t="shared" si="40"/>
        <v>0</v>
      </c>
      <c r="AD86" s="60" t="str">
        <f t="shared" si="41"/>
        <v>1040-40</v>
      </c>
    </row>
    <row r="87" spans="1:30">
      <c r="A87" s="92">
        <f t="shared" si="30"/>
        <v>1</v>
      </c>
      <c r="B87" s="604"/>
      <c r="C87" s="590"/>
      <c r="D87" s="688">
        <v>1</v>
      </c>
      <c r="E87" s="591" t="s">
        <v>478</v>
      </c>
      <c r="F87" s="592" t="s">
        <v>348</v>
      </c>
      <c r="G87" s="593" t="s">
        <v>396</v>
      </c>
      <c r="H87" s="594" t="s">
        <v>322</v>
      </c>
      <c r="I87" s="595" t="str">
        <f t="shared" si="31"/>
        <v>sanitaire ruimte (toilet-/doucheruimte)</v>
      </c>
      <c r="J87" s="594" t="s">
        <v>645</v>
      </c>
      <c r="K87" s="678">
        <f>1.8*1.2</f>
        <v>2.16</v>
      </c>
      <c r="L87" s="678"/>
      <c r="M87" s="606">
        <v>4200</v>
      </c>
      <c r="N87" s="601"/>
      <c r="O87" s="601"/>
      <c r="P87" s="603">
        <f t="shared" si="32"/>
        <v>200</v>
      </c>
      <c r="Q87" s="689">
        <v>1</v>
      </c>
      <c r="R87" s="596">
        <f t="shared" si="33"/>
        <v>0</v>
      </c>
      <c r="S87" s="596">
        <f t="shared" si="34"/>
        <v>0</v>
      </c>
      <c r="T87" s="596">
        <f t="shared" si="35"/>
        <v>0</v>
      </c>
      <c r="U87" s="681">
        <f t="shared" si="36"/>
        <v>0</v>
      </c>
      <c r="V87" s="681">
        <f t="shared" si="37"/>
        <v>0</v>
      </c>
      <c r="W87" s="598">
        <f t="shared" si="38"/>
        <v>0</v>
      </c>
      <c r="X87" s="599" t="str">
        <f t="shared" si="39"/>
        <v>S</v>
      </c>
      <c r="Y87" s="600"/>
      <c r="Z87" s="686" t="e">
        <f>(R87+S87)*'1.0-Contractblad'!$L$98</f>
        <v>#DIV/0!</v>
      </c>
      <c r="AA87" s="687">
        <f ca="1">VLOOKUP(E87,'1.1a-Jaarprijzen'!$B$33:$O$51,14,FALSE)*(L87+K87)</f>
        <v>0</v>
      </c>
      <c r="AB87" s="60">
        <f t="shared" si="40"/>
        <v>0</v>
      </c>
      <c r="AD87" s="60" t="str">
        <f t="shared" si="41"/>
        <v>4200-200</v>
      </c>
    </row>
    <row r="88" spans="1:30">
      <c r="A88" s="92">
        <f t="shared" si="30"/>
        <v>1</v>
      </c>
      <c r="B88" s="604"/>
      <c r="C88" s="590"/>
      <c r="D88" s="688">
        <v>1</v>
      </c>
      <c r="E88" s="591" t="s">
        <v>478</v>
      </c>
      <c r="F88" s="592" t="s">
        <v>348</v>
      </c>
      <c r="G88" s="593" t="s">
        <v>386</v>
      </c>
      <c r="H88" s="594" t="s">
        <v>479</v>
      </c>
      <c r="I88" s="595" t="str">
        <f t="shared" si="31"/>
        <v>entree, gang, hal, repro, kopieer</v>
      </c>
      <c r="J88" s="594" t="s">
        <v>644</v>
      </c>
      <c r="K88" s="678">
        <v>4.74</v>
      </c>
      <c r="L88" s="678"/>
      <c r="M88" s="471">
        <v>3040</v>
      </c>
      <c r="N88" s="601"/>
      <c r="O88" s="601"/>
      <c r="P88" s="603">
        <f t="shared" si="32"/>
        <v>40</v>
      </c>
      <c r="Q88" s="689">
        <v>1</v>
      </c>
      <c r="R88" s="596">
        <f t="shared" si="33"/>
        <v>0</v>
      </c>
      <c r="S88" s="596">
        <f t="shared" si="34"/>
        <v>0</v>
      </c>
      <c r="T88" s="596">
        <f t="shared" si="35"/>
        <v>0</v>
      </c>
      <c r="U88" s="681">
        <f t="shared" si="36"/>
        <v>0</v>
      </c>
      <c r="V88" s="681">
        <f t="shared" si="37"/>
        <v>0</v>
      </c>
      <c r="W88" s="598">
        <f t="shared" si="38"/>
        <v>0</v>
      </c>
      <c r="X88" s="599" t="str">
        <f t="shared" si="39"/>
        <v>V</v>
      </c>
      <c r="Y88" s="600"/>
      <c r="Z88" s="686" t="e">
        <f>(R88+S88)*'1.0-Contractblad'!$L$98</f>
        <v>#DIV/0!</v>
      </c>
      <c r="AA88" s="687">
        <f ca="1">VLOOKUP(E88,'1.1a-Jaarprijzen'!$B$33:$O$51,14,FALSE)*(L88+K88)</f>
        <v>0</v>
      </c>
      <c r="AB88" s="60">
        <f t="shared" si="40"/>
        <v>0</v>
      </c>
      <c r="AD88" s="60" t="str">
        <f t="shared" si="41"/>
        <v>3040-40</v>
      </c>
    </row>
    <row r="89" spans="1:30">
      <c r="A89" s="92">
        <f t="shared" si="30"/>
        <v>1</v>
      </c>
      <c r="B89" s="604"/>
      <c r="C89" s="590"/>
      <c r="D89" s="688">
        <v>1</v>
      </c>
      <c r="E89" s="591" t="s">
        <v>478</v>
      </c>
      <c r="F89" s="592" t="s">
        <v>348</v>
      </c>
      <c r="G89" s="593" t="s">
        <v>388</v>
      </c>
      <c r="H89" s="594" t="s">
        <v>309</v>
      </c>
      <c r="I89" s="595" t="str">
        <f t="shared" si="31"/>
        <v>niet van toepassing</v>
      </c>
      <c r="J89" s="594" t="s">
        <v>639</v>
      </c>
      <c r="K89" s="678"/>
      <c r="L89" s="678">
        <v>7.5</v>
      </c>
      <c r="M89" s="606" t="s">
        <v>27</v>
      </c>
      <c r="N89" s="601"/>
      <c r="O89" s="601"/>
      <c r="P89" s="603">
        <f t="shared" si="32"/>
        <v>0</v>
      </c>
      <c r="Q89" s="689">
        <v>1</v>
      </c>
      <c r="R89" s="596">
        <f t="shared" si="33"/>
        <v>0</v>
      </c>
      <c r="S89" s="596">
        <f t="shared" si="34"/>
        <v>0</v>
      </c>
      <c r="T89" s="596">
        <f t="shared" si="35"/>
        <v>0</v>
      </c>
      <c r="U89" s="681">
        <f t="shared" si="36"/>
        <v>0</v>
      </c>
      <c r="V89" s="681">
        <f t="shared" si="37"/>
        <v>0</v>
      </c>
      <c r="W89" s="598">
        <f t="shared" si="38"/>
        <v>0</v>
      </c>
      <c r="X89" s="599">
        <f t="shared" si="39"/>
        <v>0</v>
      </c>
      <c r="Y89" s="600"/>
      <c r="Z89" s="686" t="e">
        <f>(R89+S89)*'1.0-Contractblad'!$L$98</f>
        <v>#DIV/0!</v>
      </c>
      <c r="AA89" s="687">
        <f ca="1">VLOOKUP(E89,'1.1a-Jaarprijzen'!$B$33:$O$51,14,FALSE)*(L89+K89)</f>
        <v>0</v>
      </c>
      <c r="AB89" s="60">
        <f t="shared" si="40"/>
        <v>0</v>
      </c>
      <c r="AD89" s="60" t="str">
        <f t="shared" si="41"/>
        <v>nvt-0</v>
      </c>
    </row>
    <row r="90" spans="1:30">
      <c r="A90" s="92">
        <f t="shared" si="30"/>
        <v>1</v>
      </c>
      <c r="B90" s="604"/>
      <c r="C90" s="590"/>
      <c r="D90" s="688">
        <v>1</v>
      </c>
      <c r="E90" s="591" t="s">
        <v>478</v>
      </c>
      <c r="F90" s="592" t="s">
        <v>348</v>
      </c>
      <c r="G90" s="593" t="s">
        <v>387</v>
      </c>
      <c r="H90" s="594" t="s">
        <v>314</v>
      </c>
      <c r="I90" s="595" t="str">
        <f t="shared" si="31"/>
        <v>administratieve -, personeels- en vergaderruimte</v>
      </c>
      <c r="J90" s="594" t="s">
        <v>644</v>
      </c>
      <c r="K90" s="678">
        <v>37.4</v>
      </c>
      <c r="L90" s="678"/>
      <c r="M90" s="606">
        <v>1040</v>
      </c>
      <c r="N90" s="601"/>
      <c r="O90" s="601"/>
      <c r="P90" s="603">
        <f t="shared" si="32"/>
        <v>40</v>
      </c>
      <c r="Q90" s="689">
        <v>1</v>
      </c>
      <c r="R90" s="596">
        <f t="shared" si="33"/>
        <v>0</v>
      </c>
      <c r="S90" s="596">
        <f t="shared" si="34"/>
        <v>0</v>
      </c>
      <c r="T90" s="596">
        <f t="shared" si="35"/>
        <v>0</v>
      </c>
      <c r="U90" s="681">
        <f t="shared" si="36"/>
        <v>0</v>
      </c>
      <c r="V90" s="681">
        <f t="shared" si="37"/>
        <v>0</v>
      </c>
      <c r="W90" s="598">
        <f t="shared" si="38"/>
        <v>0</v>
      </c>
      <c r="X90" s="599" t="str">
        <f t="shared" si="39"/>
        <v>V</v>
      </c>
      <c r="Y90" s="600"/>
      <c r="Z90" s="686" t="e">
        <f>(R90+S90)*'1.0-Contractblad'!$L$98</f>
        <v>#DIV/0!</v>
      </c>
      <c r="AA90" s="687">
        <f ca="1">VLOOKUP(E90,'1.1a-Jaarprijzen'!$B$33:$O$51,14,FALSE)*(L90+K90)</f>
        <v>0</v>
      </c>
      <c r="AB90" s="60">
        <f t="shared" si="40"/>
        <v>0</v>
      </c>
      <c r="AD90" s="60" t="str">
        <f t="shared" si="41"/>
        <v>1040-40</v>
      </c>
    </row>
    <row r="91" spans="1:30">
      <c r="A91" s="92">
        <f t="shared" si="30"/>
        <v>1</v>
      </c>
      <c r="B91" s="604"/>
      <c r="C91" s="590"/>
      <c r="D91" s="688">
        <v>1</v>
      </c>
      <c r="E91" s="591" t="s">
        <v>478</v>
      </c>
      <c r="F91" s="592" t="s">
        <v>348</v>
      </c>
      <c r="G91" s="593" t="s">
        <v>397</v>
      </c>
      <c r="H91" s="594" t="s">
        <v>480</v>
      </c>
      <c r="I91" s="595" t="str">
        <f t="shared" si="31"/>
        <v>administratieve -, personeels- en vergaderruimte</v>
      </c>
      <c r="J91" s="594" t="s">
        <v>644</v>
      </c>
      <c r="K91" s="678">
        <v>12.16</v>
      </c>
      <c r="L91" s="678"/>
      <c r="M91" s="606">
        <v>1040</v>
      </c>
      <c r="N91" s="601"/>
      <c r="O91" s="601"/>
      <c r="P91" s="603">
        <f t="shared" si="32"/>
        <v>40</v>
      </c>
      <c r="Q91" s="689">
        <v>1</v>
      </c>
      <c r="R91" s="596">
        <f t="shared" si="33"/>
        <v>0</v>
      </c>
      <c r="S91" s="596">
        <f t="shared" si="34"/>
        <v>0</v>
      </c>
      <c r="T91" s="596">
        <f t="shared" si="35"/>
        <v>0</v>
      </c>
      <c r="U91" s="681">
        <f t="shared" si="36"/>
        <v>0</v>
      </c>
      <c r="V91" s="681">
        <f t="shared" si="37"/>
        <v>0</v>
      </c>
      <c r="W91" s="598">
        <f t="shared" si="38"/>
        <v>0</v>
      </c>
      <c r="X91" s="599" t="str">
        <f t="shared" si="39"/>
        <v>V</v>
      </c>
      <c r="Y91" s="600"/>
      <c r="Z91" s="686" t="e">
        <f>(R91+S91)*'1.0-Contractblad'!$L$98</f>
        <v>#DIV/0!</v>
      </c>
      <c r="AA91" s="687">
        <f ca="1">VLOOKUP(E91,'1.1a-Jaarprijzen'!$B$33:$O$51,14,FALSE)*(L91+K91)</f>
        <v>0</v>
      </c>
      <c r="AB91" s="60">
        <f t="shared" si="40"/>
        <v>0</v>
      </c>
      <c r="AD91" s="60" t="str">
        <f t="shared" si="41"/>
        <v>1040-40</v>
      </c>
    </row>
    <row r="92" spans="1:30">
      <c r="A92" s="92">
        <f t="shared" si="30"/>
        <v>1</v>
      </c>
      <c r="B92" s="604"/>
      <c r="C92" s="590"/>
      <c r="D92" s="688">
        <v>1</v>
      </c>
      <c r="E92" s="591" t="s">
        <v>478</v>
      </c>
      <c r="F92" s="592" t="s">
        <v>348</v>
      </c>
      <c r="G92" s="593" t="s">
        <v>481</v>
      </c>
      <c r="H92" s="594" t="s">
        <v>311</v>
      </c>
      <c r="I92" s="595" t="str">
        <f t="shared" si="31"/>
        <v>niet van toepassing</v>
      </c>
      <c r="J92" s="594" t="s">
        <v>639</v>
      </c>
      <c r="K92" s="678"/>
      <c r="L92" s="678">
        <v>4.58</v>
      </c>
      <c r="M92" s="606" t="s">
        <v>27</v>
      </c>
      <c r="N92" s="601"/>
      <c r="O92" s="601"/>
      <c r="P92" s="603">
        <f t="shared" si="32"/>
        <v>0</v>
      </c>
      <c r="Q92" s="689">
        <v>1</v>
      </c>
      <c r="R92" s="596">
        <f t="shared" si="33"/>
        <v>0</v>
      </c>
      <c r="S92" s="596">
        <f t="shared" si="34"/>
        <v>0</v>
      </c>
      <c r="T92" s="596">
        <f t="shared" si="35"/>
        <v>0</v>
      </c>
      <c r="U92" s="681">
        <f t="shared" si="36"/>
        <v>0</v>
      </c>
      <c r="V92" s="681">
        <f t="shared" si="37"/>
        <v>0</v>
      </c>
      <c r="W92" s="598">
        <f t="shared" si="38"/>
        <v>0</v>
      </c>
      <c r="X92" s="599">
        <f t="shared" si="39"/>
        <v>0</v>
      </c>
      <c r="Y92" s="600"/>
      <c r="Z92" s="686" t="e">
        <f>(R92+S92)*'1.0-Contractblad'!$L$98</f>
        <v>#DIV/0!</v>
      </c>
      <c r="AA92" s="687">
        <f ca="1">VLOOKUP(E92,'1.1a-Jaarprijzen'!$B$33:$O$51,14,FALSE)*(L92+K92)</f>
        <v>0</v>
      </c>
      <c r="AB92" s="60">
        <f t="shared" si="40"/>
        <v>0</v>
      </c>
      <c r="AD92" s="60" t="str">
        <f t="shared" si="41"/>
        <v>nvt-0</v>
      </c>
    </row>
    <row r="93" spans="1:30">
      <c r="A93" s="92">
        <f t="shared" ref="A93:A124" si="42">D93</f>
        <v>1</v>
      </c>
      <c r="B93" s="604"/>
      <c r="C93" s="590"/>
      <c r="D93" s="688">
        <v>1</v>
      </c>
      <c r="E93" s="591" t="s">
        <v>478</v>
      </c>
      <c r="F93" s="592" t="s">
        <v>348</v>
      </c>
      <c r="G93" s="593" t="s">
        <v>482</v>
      </c>
      <c r="H93" s="594" t="s">
        <v>309</v>
      </c>
      <c r="I93" s="595" t="str">
        <f t="shared" ref="I93:I156" si="43">IF($M93="",0,VLOOKUP($M93,Kengetal,4,FALSE))</f>
        <v>niet van toepassing</v>
      </c>
      <c r="J93" s="594" t="s">
        <v>639</v>
      </c>
      <c r="K93" s="678"/>
      <c r="L93" s="678">
        <v>2</v>
      </c>
      <c r="M93" s="606" t="s">
        <v>27</v>
      </c>
      <c r="N93" s="601"/>
      <c r="O93" s="601"/>
      <c r="P93" s="603">
        <f t="shared" ref="P93:P156" si="44">VLOOKUP(M93,Kengetal,3,FALSE)+VLOOKUP(N93,Kengetal,3,FALSE)+VLOOKUP(O93,Kengetal,3,FALSE)</f>
        <v>0</v>
      </c>
      <c r="Q93" s="689">
        <v>1</v>
      </c>
      <c r="R93" s="596">
        <f t="shared" ref="R93:R156" si="45">U93*K93*Q93</f>
        <v>0</v>
      </c>
      <c r="S93" s="596">
        <f t="shared" ref="S93:S156" si="46">V93*K93*Q93</f>
        <v>0</v>
      </c>
      <c r="T93" s="596">
        <f t="shared" ref="T93:T156" si="47">W93*K93*Q93</f>
        <v>0</v>
      </c>
      <c r="U93" s="681">
        <f t="shared" ref="U93:U156" si="48">VLOOKUP($M93,Kengetal,6,FALSE)</f>
        <v>0</v>
      </c>
      <c r="V93" s="681">
        <f t="shared" ref="V93:V156" si="49">VLOOKUP($M93,Kengetal,7,FALSE)</f>
        <v>0</v>
      </c>
      <c r="W93" s="598">
        <f t="shared" ref="W93:W156" si="50">VLOOKUP($O93,Kengetal,7,FALSE)</f>
        <v>0</v>
      </c>
      <c r="X93" s="599">
        <f t="shared" ref="X93:X156" si="51">IF(M93="","",VLOOKUP(M93,Kengetal,14,FALSE))</f>
        <v>0</v>
      </c>
      <c r="Y93" s="600"/>
      <c r="Z93" s="686" t="e">
        <f>(R93+S93)*'1.0-Contractblad'!$L$98</f>
        <v>#DIV/0!</v>
      </c>
      <c r="AA93" s="687">
        <f ca="1">VLOOKUP(E93,'1.1a-Jaarprijzen'!$B$33:$O$51,14,FALSE)*(L93+K93)</f>
        <v>0</v>
      </c>
      <c r="AB93" s="60">
        <f t="shared" si="40"/>
        <v>0</v>
      </c>
      <c r="AD93" s="60" t="str">
        <f t="shared" ref="AD93:AD156" si="52">CONCATENATE(M93,"-",P93)</f>
        <v>nvt-0</v>
      </c>
    </row>
    <row r="94" spans="1:30">
      <c r="A94" s="92">
        <f t="shared" si="42"/>
        <v>1</v>
      </c>
      <c r="B94" s="604"/>
      <c r="C94" s="590"/>
      <c r="D94" s="688">
        <v>1</v>
      </c>
      <c r="E94" s="591" t="s">
        <v>478</v>
      </c>
      <c r="F94" s="592" t="s">
        <v>348</v>
      </c>
      <c r="G94" s="593" t="s">
        <v>483</v>
      </c>
      <c r="H94" s="594" t="s">
        <v>395</v>
      </c>
      <c r="I94" s="595" t="str">
        <f t="shared" si="43"/>
        <v>sanitaire ruimte (toilet-/doucheruimte)</v>
      </c>
      <c r="J94" s="594" t="s">
        <v>645</v>
      </c>
      <c r="K94" s="678">
        <v>6</v>
      </c>
      <c r="L94" s="678"/>
      <c r="M94" s="606">
        <v>4200</v>
      </c>
      <c r="N94" s="601"/>
      <c r="O94" s="601"/>
      <c r="P94" s="603">
        <f t="shared" si="44"/>
        <v>200</v>
      </c>
      <c r="Q94" s="689">
        <v>1</v>
      </c>
      <c r="R94" s="596">
        <f t="shared" si="45"/>
        <v>0</v>
      </c>
      <c r="S94" s="596">
        <f t="shared" si="46"/>
        <v>0</v>
      </c>
      <c r="T94" s="596">
        <f t="shared" si="47"/>
        <v>0</v>
      </c>
      <c r="U94" s="681">
        <f t="shared" si="48"/>
        <v>0</v>
      </c>
      <c r="V94" s="681">
        <f t="shared" si="49"/>
        <v>0</v>
      </c>
      <c r="W94" s="598">
        <f t="shared" si="50"/>
        <v>0</v>
      </c>
      <c r="X94" s="599" t="str">
        <f t="shared" si="51"/>
        <v>S</v>
      </c>
      <c r="Y94" s="600"/>
      <c r="Z94" s="686" t="e">
        <f>(R94+S94)*'1.0-Contractblad'!$L$98</f>
        <v>#DIV/0!</v>
      </c>
      <c r="AA94" s="687">
        <f ca="1">VLOOKUP(E94,'1.1a-Jaarprijzen'!$B$33:$O$51,14,FALSE)*(L94+K94)</f>
        <v>0</v>
      </c>
      <c r="AB94" s="60">
        <f t="shared" ref="AB94:AB157" si="53">IF(M94=8255,R94+S94,0)</f>
        <v>0</v>
      </c>
      <c r="AD94" s="60" t="str">
        <f t="shared" si="52"/>
        <v>4200-200</v>
      </c>
    </row>
    <row r="95" spans="1:30">
      <c r="A95" s="92">
        <f t="shared" si="42"/>
        <v>1</v>
      </c>
      <c r="B95" s="604"/>
      <c r="C95" s="590"/>
      <c r="D95" s="688">
        <v>1</v>
      </c>
      <c r="E95" s="591" t="s">
        <v>478</v>
      </c>
      <c r="F95" s="592" t="s">
        <v>348</v>
      </c>
      <c r="G95" s="593" t="s">
        <v>484</v>
      </c>
      <c r="H95" s="594" t="s">
        <v>485</v>
      </c>
      <c r="I95" s="595" t="str">
        <f t="shared" si="43"/>
        <v>entree, gang, hal, repro, kopieer</v>
      </c>
      <c r="J95" s="594" t="s">
        <v>645</v>
      </c>
      <c r="K95" s="678">
        <v>2.2000000000000002</v>
      </c>
      <c r="L95" s="678"/>
      <c r="M95" s="606">
        <v>3200</v>
      </c>
      <c r="N95" s="601"/>
      <c r="O95" s="601"/>
      <c r="P95" s="603">
        <f t="shared" si="44"/>
        <v>200</v>
      </c>
      <c r="Q95" s="689">
        <v>1</v>
      </c>
      <c r="R95" s="596">
        <f t="shared" si="45"/>
        <v>0</v>
      </c>
      <c r="S95" s="596">
        <f t="shared" si="46"/>
        <v>0</v>
      </c>
      <c r="T95" s="596">
        <f t="shared" si="47"/>
        <v>0</v>
      </c>
      <c r="U95" s="681">
        <f t="shared" si="48"/>
        <v>0</v>
      </c>
      <c r="V95" s="681">
        <f t="shared" si="49"/>
        <v>0</v>
      </c>
      <c r="W95" s="598">
        <f t="shared" si="50"/>
        <v>0</v>
      </c>
      <c r="X95" s="599" t="str">
        <f t="shared" si="51"/>
        <v>V</v>
      </c>
      <c r="Y95" s="600"/>
      <c r="Z95" s="686" t="e">
        <f>(R95+S95)*'1.0-Contractblad'!$L$98</f>
        <v>#DIV/0!</v>
      </c>
      <c r="AA95" s="687">
        <f ca="1">VLOOKUP(E95,'1.1a-Jaarprijzen'!$B$33:$O$51,14,FALSE)*(L95+K95)</f>
        <v>0</v>
      </c>
      <c r="AB95" s="60">
        <f t="shared" si="53"/>
        <v>0</v>
      </c>
      <c r="AD95" s="60" t="str">
        <f t="shared" si="52"/>
        <v>3200-200</v>
      </c>
    </row>
    <row r="96" spans="1:30">
      <c r="A96" s="92">
        <f t="shared" si="42"/>
        <v>1</v>
      </c>
      <c r="B96" s="604"/>
      <c r="C96" s="590"/>
      <c r="D96" s="688">
        <v>1</v>
      </c>
      <c r="E96" s="591" t="s">
        <v>478</v>
      </c>
      <c r="F96" s="592" t="s">
        <v>348</v>
      </c>
      <c r="G96" s="593" t="s">
        <v>486</v>
      </c>
      <c r="H96" s="594" t="s">
        <v>322</v>
      </c>
      <c r="I96" s="595" t="str">
        <f t="shared" si="43"/>
        <v>sanitaire ruimte (toilet-/doucheruimte)</v>
      </c>
      <c r="J96" s="594" t="s">
        <v>645</v>
      </c>
      <c r="K96" s="678">
        <v>6.22</v>
      </c>
      <c r="L96" s="678"/>
      <c r="M96" s="606">
        <v>4200</v>
      </c>
      <c r="N96" s="601"/>
      <c r="O96" s="601"/>
      <c r="P96" s="603">
        <f t="shared" si="44"/>
        <v>200</v>
      </c>
      <c r="Q96" s="689">
        <v>1</v>
      </c>
      <c r="R96" s="596">
        <f t="shared" si="45"/>
        <v>0</v>
      </c>
      <c r="S96" s="596">
        <f t="shared" si="46"/>
        <v>0</v>
      </c>
      <c r="T96" s="596">
        <f t="shared" si="47"/>
        <v>0</v>
      </c>
      <c r="U96" s="681">
        <f t="shared" si="48"/>
        <v>0</v>
      </c>
      <c r="V96" s="681">
        <f t="shared" si="49"/>
        <v>0</v>
      </c>
      <c r="W96" s="598">
        <f t="shared" si="50"/>
        <v>0</v>
      </c>
      <c r="X96" s="599" t="str">
        <f t="shared" si="51"/>
        <v>S</v>
      </c>
      <c r="Y96" s="600"/>
      <c r="Z96" s="686" t="e">
        <f>(R96+S96)*'1.0-Contractblad'!$L$98</f>
        <v>#DIV/0!</v>
      </c>
      <c r="AA96" s="687">
        <f ca="1">VLOOKUP(E96,'1.1a-Jaarprijzen'!$B$33:$O$51,14,FALSE)*(L96+K96)</f>
        <v>0</v>
      </c>
      <c r="AB96" s="60">
        <f t="shared" si="53"/>
        <v>0</v>
      </c>
      <c r="AD96" s="60" t="str">
        <f t="shared" si="52"/>
        <v>4200-200</v>
      </c>
    </row>
    <row r="97" spans="1:30">
      <c r="A97" s="92">
        <f t="shared" si="42"/>
        <v>1</v>
      </c>
      <c r="B97" s="604"/>
      <c r="C97" s="590"/>
      <c r="D97" s="688">
        <v>1</v>
      </c>
      <c r="E97" s="591" t="s">
        <v>478</v>
      </c>
      <c r="F97" s="592" t="s">
        <v>348</v>
      </c>
      <c r="G97" s="593" t="s">
        <v>394</v>
      </c>
      <c r="H97" s="594" t="s">
        <v>312</v>
      </c>
      <c r="I97" s="595" t="str">
        <f t="shared" si="43"/>
        <v>entree, gang, hal, repro, kopieer</v>
      </c>
      <c r="J97" s="594" t="s">
        <v>644</v>
      </c>
      <c r="K97" s="678">
        <v>33.14</v>
      </c>
      <c r="L97" s="678"/>
      <c r="M97" s="606">
        <v>3200</v>
      </c>
      <c r="N97" s="601"/>
      <c r="O97" s="601"/>
      <c r="P97" s="603">
        <f t="shared" si="44"/>
        <v>200</v>
      </c>
      <c r="Q97" s="689">
        <v>1</v>
      </c>
      <c r="R97" s="596">
        <f t="shared" si="45"/>
        <v>0</v>
      </c>
      <c r="S97" s="596">
        <f t="shared" si="46"/>
        <v>0</v>
      </c>
      <c r="T97" s="596">
        <f t="shared" si="47"/>
        <v>0</v>
      </c>
      <c r="U97" s="681">
        <f t="shared" si="48"/>
        <v>0</v>
      </c>
      <c r="V97" s="681">
        <f t="shared" si="49"/>
        <v>0</v>
      </c>
      <c r="W97" s="598">
        <f t="shared" si="50"/>
        <v>0</v>
      </c>
      <c r="X97" s="599" t="str">
        <f t="shared" si="51"/>
        <v>V</v>
      </c>
      <c r="Y97" s="600"/>
      <c r="Z97" s="686" t="e">
        <f>(R97+S97)*'1.0-Contractblad'!$L$98</f>
        <v>#DIV/0!</v>
      </c>
      <c r="AA97" s="687">
        <f ca="1">VLOOKUP(E97,'1.1a-Jaarprijzen'!$B$33:$O$51,14,FALSE)*(L97+K97)</f>
        <v>0</v>
      </c>
      <c r="AB97" s="60">
        <f t="shared" si="53"/>
        <v>0</v>
      </c>
      <c r="AD97" s="60" t="str">
        <f t="shared" si="52"/>
        <v>3200-200</v>
      </c>
    </row>
    <row r="98" spans="1:30">
      <c r="A98" s="92">
        <f t="shared" si="42"/>
        <v>1</v>
      </c>
      <c r="B98" s="604"/>
      <c r="C98" s="590"/>
      <c r="D98" s="688">
        <v>1</v>
      </c>
      <c r="E98" s="591" t="s">
        <v>478</v>
      </c>
      <c r="F98" s="592" t="s">
        <v>348</v>
      </c>
      <c r="G98" s="593" t="s">
        <v>487</v>
      </c>
      <c r="H98" s="594" t="s">
        <v>312</v>
      </c>
      <c r="I98" s="595" t="str">
        <f t="shared" si="43"/>
        <v>entree, gang, hal, repro, kopieer</v>
      </c>
      <c r="J98" s="594" t="s">
        <v>644</v>
      </c>
      <c r="K98" s="678">
        <v>39.299999999999997</v>
      </c>
      <c r="L98" s="678"/>
      <c r="M98" s="606">
        <v>3200</v>
      </c>
      <c r="N98" s="601"/>
      <c r="O98" s="601"/>
      <c r="P98" s="603">
        <f t="shared" si="44"/>
        <v>200</v>
      </c>
      <c r="Q98" s="689">
        <v>1</v>
      </c>
      <c r="R98" s="596">
        <f t="shared" si="45"/>
        <v>0</v>
      </c>
      <c r="S98" s="596">
        <f t="shared" si="46"/>
        <v>0</v>
      </c>
      <c r="T98" s="596">
        <f t="shared" si="47"/>
        <v>0</v>
      </c>
      <c r="U98" s="681">
        <f t="shared" si="48"/>
        <v>0</v>
      </c>
      <c r="V98" s="681">
        <f t="shared" si="49"/>
        <v>0</v>
      </c>
      <c r="W98" s="598">
        <f t="shared" si="50"/>
        <v>0</v>
      </c>
      <c r="X98" s="599" t="str">
        <f t="shared" si="51"/>
        <v>V</v>
      </c>
      <c r="Y98" s="600"/>
      <c r="Z98" s="686" t="e">
        <f>(R98+S98)*'1.0-Contractblad'!$L$98</f>
        <v>#DIV/0!</v>
      </c>
      <c r="AA98" s="687">
        <f ca="1">VLOOKUP(E98,'1.1a-Jaarprijzen'!$B$33:$O$51,14,FALSE)*(L98+K98)</f>
        <v>0</v>
      </c>
      <c r="AB98" s="60">
        <f t="shared" si="53"/>
        <v>0</v>
      </c>
      <c r="AD98" s="60" t="str">
        <f t="shared" si="52"/>
        <v>3200-200</v>
      </c>
    </row>
    <row r="99" spans="1:30">
      <c r="A99" s="92">
        <f t="shared" si="42"/>
        <v>1</v>
      </c>
      <c r="B99" s="605"/>
      <c r="C99" s="590"/>
      <c r="D99" s="688">
        <v>1</v>
      </c>
      <c r="E99" s="591" t="s">
        <v>478</v>
      </c>
      <c r="F99" s="592" t="s">
        <v>348</v>
      </c>
      <c r="G99" s="593" t="s">
        <v>363</v>
      </c>
      <c r="H99" s="594" t="s">
        <v>488</v>
      </c>
      <c r="I99" s="595" t="str">
        <f t="shared" si="43"/>
        <v>niet van toepassing</v>
      </c>
      <c r="J99" s="594" t="s">
        <v>639</v>
      </c>
      <c r="K99" s="678"/>
      <c r="L99" s="678">
        <v>7.65</v>
      </c>
      <c r="M99" s="606" t="s">
        <v>27</v>
      </c>
      <c r="N99" s="601"/>
      <c r="O99" s="601"/>
      <c r="P99" s="603">
        <f t="shared" si="44"/>
        <v>0</v>
      </c>
      <c r="Q99" s="689">
        <v>1</v>
      </c>
      <c r="R99" s="596">
        <f t="shared" si="45"/>
        <v>0</v>
      </c>
      <c r="S99" s="596">
        <f t="shared" si="46"/>
        <v>0</v>
      </c>
      <c r="T99" s="596">
        <f t="shared" si="47"/>
        <v>0</v>
      </c>
      <c r="U99" s="681">
        <f t="shared" si="48"/>
        <v>0</v>
      </c>
      <c r="V99" s="681">
        <f t="shared" si="49"/>
        <v>0</v>
      </c>
      <c r="W99" s="598">
        <f t="shared" si="50"/>
        <v>0</v>
      </c>
      <c r="X99" s="599">
        <f t="shared" si="51"/>
        <v>0</v>
      </c>
      <c r="Y99" s="600"/>
      <c r="Z99" s="686" t="e">
        <f>(R99+S99)*'1.0-Contractblad'!$L$98</f>
        <v>#DIV/0!</v>
      </c>
      <c r="AA99" s="687">
        <f ca="1">VLOOKUP(E99,'1.1a-Jaarprijzen'!$B$33:$O$51,14,FALSE)*(L99+K99)</f>
        <v>0</v>
      </c>
      <c r="AB99" s="60">
        <f t="shared" si="53"/>
        <v>0</v>
      </c>
      <c r="AD99" s="60" t="str">
        <f t="shared" si="52"/>
        <v>nvt-0</v>
      </c>
    </row>
    <row r="100" spans="1:30">
      <c r="A100" s="92">
        <f t="shared" si="42"/>
        <v>1</v>
      </c>
      <c r="B100" s="605"/>
      <c r="C100" s="590"/>
      <c r="D100" s="688">
        <v>1</v>
      </c>
      <c r="E100" s="591" t="s">
        <v>478</v>
      </c>
      <c r="F100" s="592" t="s">
        <v>348</v>
      </c>
      <c r="G100" s="593" t="s">
        <v>398</v>
      </c>
      <c r="H100" s="594" t="s">
        <v>378</v>
      </c>
      <c r="I100" s="595" t="str">
        <f t="shared" si="43"/>
        <v>administratieve -, personeels- en vergaderruimte</v>
      </c>
      <c r="J100" s="594" t="s">
        <v>644</v>
      </c>
      <c r="K100" s="678">
        <v>28.9</v>
      </c>
      <c r="L100" s="678"/>
      <c r="M100" s="606">
        <v>1040</v>
      </c>
      <c r="N100" s="601"/>
      <c r="O100" s="601"/>
      <c r="P100" s="603">
        <f t="shared" si="44"/>
        <v>40</v>
      </c>
      <c r="Q100" s="689">
        <v>1</v>
      </c>
      <c r="R100" s="596">
        <f t="shared" si="45"/>
        <v>0</v>
      </c>
      <c r="S100" s="596">
        <f t="shared" si="46"/>
        <v>0</v>
      </c>
      <c r="T100" s="596">
        <f t="shared" si="47"/>
        <v>0</v>
      </c>
      <c r="U100" s="681">
        <f t="shared" si="48"/>
        <v>0</v>
      </c>
      <c r="V100" s="681">
        <f t="shared" si="49"/>
        <v>0</v>
      </c>
      <c r="W100" s="598">
        <f t="shared" si="50"/>
        <v>0</v>
      </c>
      <c r="X100" s="599" t="str">
        <f t="shared" si="51"/>
        <v>V</v>
      </c>
      <c r="Y100" s="600"/>
      <c r="Z100" s="686" t="e">
        <f>(R100+S100)*'1.0-Contractblad'!$L$98</f>
        <v>#DIV/0!</v>
      </c>
      <c r="AA100" s="687">
        <f ca="1">VLOOKUP(E100,'1.1a-Jaarprijzen'!$B$33:$O$51,14,FALSE)*(L100+K100)</f>
        <v>0</v>
      </c>
      <c r="AB100" s="60">
        <f t="shared" si="53"/>
        <v>0</v>
      </c>
      <c r="AD100" s="60" t="str">
        <f t="shared" si="52"/>
        <v>1040-40</v>
      </c>
    </row>
    <row r="101" spans="1:30">
      <c r="A101" s="92">
        <f t="shared" si="42"/>
        <v>1</v>
      </c>
      <c r="B101" s="605"/>
      <c r="C101" s="590"/>
      <c r="D101" s="688">
        <v>1</v>
      </c>
      <c r="E101" s="591" t="s">
        <v>478</v>
      </c>
      <c r="F101" s="592" t="s">
        <v>348</v>
      </c>
      <c r="G101" s="593" t="s">
        <v>372</v>
      </c>
      <c r="H101" s="594" t="s">
        <v>489</v>
      </c>
      <c r="I101" s="595" t="str">
        <f t="shared" si="43"/>
        <v>leslokaal</v>
      </c>
      <c r="J101" s="594" t="s">
        <v>644</v>
      </c>
      <c r="K101" s="678">
        <v>56.51</v>
      </c>
      <c r="L101" s="678"/>
      <c r="M101" s="606">
        <v>7200</v>
      </c>
      <c r="N101" s="601"/>
      <c r="O101" s="601"/>
      <c r="P101" s="603">
        <f t="shared" si="44"/>
        <v>200</v>
      </c>
      <c r="Q101" s="689">
        <v>1</v>
      </c>
      <c r="R101" s="596">
        <f t="shared" si="45"/>
        <v>0</v>
      </c>
      <c r="S101" s="596">
        <f t="shared" si="46"/>
        <v>0</v>
      </c>
      <c r="T101" s="596">
        <f t="shared" si="47"/>
        <v>0</v>
      </c>
      <c r="U101" s="681">
        <f t="shared" si="48"/>
        <v>0</v>
      </c>
      <c r="V101" s="681">
        <f t="shared" si="49"/>
        <v>0</v>
      </c>
      <c r="W101" s="598">
        <f t="shared" si="50"/>
        <v>0</v>
      </c>
      <c r="X101" s="599" t="str">
        <f t="shared" si="51"/>
        <v>L</v>
      </c>
      <c r="Y101" s="600"/>
      <c r="Z101" s="686" t="e">
        <f>(R101+S101)*'1.0-Contractblad'!$L$98</f>
        <v>#DIV/0!</v>
      </c>
      <c r="AA101" s="687">
        <f ca="1">VLOOKUP(E101,'1.1a-Jaarprijzen'!$B$33:$O$51,14,FALSE)*(L101+K101)</f>
        <v>0</v>
      </c>
      <c r="AB101" s="60">
        <f t="shared" si="53"/>
        <v>0</v>
      </c>
      <c r="AD101" s="60" t="str">
        <f t="shared" si="52"/>
        <v>7200-200</v>
      </c>
    </row>
    <row r="102" spans="1:30">
      <c r="A102" s="92">
        <f t="shared" si="42"/>
        <v>1</v>
      </c>
      <c r="B102" s="605"/>
      <c r="C102" s="590"/>
      <c r="D102" s="688">
        <v>1</v>
      </c>
      <c r="E102" s="591" t="s">
        <v>478</v>
      </c>
      <c r="F102" s="592" t="s">
        <v>348</v>
      </c>
      <c r="G102" s="593" t="s">
        <v>379</v>
      </c>
      <c r="H102" s="594" t="s">
        <v>489</v>
      </c>
      <c r="I102" s="595" t="str">
        <f t="shared" si="43"/>
        <v>leslokaal</v>
      </c>
      <c r="J102" s="594" t="s">
        <v>644</v>
      </c>
      <c r="K102" s="678">
        <v>56.51</v>
      </c>
      <c r="L102" s="678"/>
      <c r="M102" s="606">
        <v>7200</v>
      </c>
      <c r="N102" s="601"/>
      <c r="O102" s="601"/>
      <c r="P102" s="603">
        <f t="shared" si="44"/>
        <v>200</v>
      </c>
      <c r="Q102" s="689">
        <v>1</v>
      </c>
      <c r="R102" s="596">
        <f t="shared" si="45"/>
        <v>0</v>
      </c>
      <c r="S102" s="596">
        <f t="shared" si="46"/>
        <v>0</v>
      </c>
      <c r="T102" s="596">
        <f t="shared" si="47"/>
        <v>0</v>
      </c>
      <c r="U102" s="681">
        <f t="shared" si="48"/>
        <v>0</v>
      </c>
      <c r="V102" s="681">
        <f t="shared" si="49"/>
        <v>0</v>
      </c>
      <c r="W102" s="598">
        <f t="shared" si="50"/>
        <v>0</v>
      </c>
      <c r="X102" s="599" t="str">
        <f t="shared" si="51"/>
        <v>L</v>
      </c>
      <c r="Y102" s="600"/>
      <c r="Z102" s="686" t="e">
        <f>(R102+S102)*'1.0-Contractblad'!$L$98</f>
        <v>#DIV/0!</v>
      </c>
      <c r="AA102" s="687">
        <f ca="1">VLOOKUP(E102,'1.1a-Jaarprijzen'!$B$33:$O$51,14,FALSE)*(L102+K102)</f>
        <v>0</v>
      </c>
      <c r="AB102" s="60">
        <f t="shared" si="53"/>
        <v>0</v>
      </c>
      <c r="AD102" s="60" t="str">
        <f t="shared" si="52"/>
        <v>7200-200</v>
      </c>
    </row>
    <row r="103" spans="1:30">
      <c r="A103" s="92">
        <f t="shared" si="42"/>
        <v>1</v>
      </c>
      <c r="B103" s="605"/>
      <c r="C103" s="590"/>
      <c r="D103" s="688">
        <v>1</v>
      </c>
      <c r="E103" s="591" t="s">
        <v>478</v>
      </c>
      <c r="F103" s="592" t="s">
        <v>348</v>
      </c>
      <c r="G103" s="593" t="s">
        <v>364</v>
      </c>
      <c r="H103" s="594" t="s">
        <v>309</v>
      </c>
      <c r="I103" s="595" t="str">
        <f t="shared" si="43"/>
        <v>niet van toepassing</v>
      </c>
      <c r="J103" s="594" t="s">
        <v>639</v>
      </c>
      <c r="K103" s="678"/>
      <c r="L103" s="678">
        <v>1.25</v>
      </c>
      <c r="M103" s="606" t="s">
        <v>27</v>
      </c>
      <c r="N103" s="601"/>
      <c r="O103" s="601"/>
      <c r="P103" s="603">
        <f t="shared" si="44"/>
        <v>0</v>
      </c>
      <c r="Q103" s="689">
        <v>1</v>
      </c>
      <c r="R103" s="596">
        <f t="shared" si="45"/>
        <v>0</v>
      </c>
      <c r="S103" s="596">
        <f t="shared" si="46"/>
        <v>0</v>
      </c>
      <c r="T103" s="596">
        <f t="shared" si="47"/>
        <v>0</v>
      </c>
      <c r="U103" s="681">
        <f t="shared" si="48"/>
        <v>0</v>
      </c>
      <c r="V103" s="681">
        <f t="shared" si="49"/>
        <v>0</v>
      </c>
      <c r="W103" s="598">
        <f t="shared" si="50"/>
        <v>0</v>
      </c>
      <c r="X103" s="599">
        <f t="shared" si="51"/>
        <v>0</v>
      </c>
      <c r="Y103" s="600"/>
      <c r="Z103" s="686" t="e">
        <f>(R103+S103)*'1.0-Contractblad'!$L$98</f>
        <v>#DIV/0!</v>
      </c>
      <c r="AA103" s="687">
        <f ca="1">VLOOKUP(E103,'1.1a-Jaarprijzen'!$B$33:$O$51,14,FALSE)*(L103+K103)</f>
        <v>0</v>
      </c>
      <c r="AB103" s="60">
        <f t="shared" si="53"/>
        <v>0</v>
      </c>
      <c r="AD103" s="60" t="str">
        <f t="shared" si="52"/>
        <v>nvt-0</v>
      </c>
    </row>
    <row r="104" spans="1:30">
      <c r="A104" s="92">
        <f t="shared" si="42"/>
        <v>1</v>
      </c>
      <c r="B104" s="605"/>
      <c r="C104" s="590"/>
      <c r="D104" s="688">
        <v>1</v>
      </c>
      <c r="E104" s="591" t="s">
        <v>478</v>
      </c>
      <c r="F104" s="592" t="s">
        <v>348</v>
      </c>
      <c r="G104" s="593" t="s">
        <v>490</v>
      </c>
      <c r="H104" s="594" t="s">
        <v>322</v>
      </c>
      <c r="I104" s="595" t="str">
        <f t="shared" si="43"/>
        <v>sanitaire ruimte (toilet-/doucheruimte)</v>
      </c>
      <c r="J104" s="594" t="s">
        <v>645</v>
      </c>
      <c r="K104" s="678">
        <v>10.19</v>
      </c>
      <c r="L104" s="678"/>
      <c r="M104" s="606">
        <v>4200</v>
      </c>
      <c r="N104" s="601"/>
      <c r="O104" s="601"/>
      <c r="P104" s="603">
        <f t="shared" si="44"/>
        <v>200</v>
      </c>
      <c r="Q104" s="689">
        <v>1</v>
      </c>
      <c r="R104" s="596">
        <f t="shared" si="45"/>
        <v>0</v>
      </c>
      <c r="S104" s="596">
        <f t="shared" si="46"/>
        <v>0</v>
      </c>
      <c r="T104" s="596">
        <f t="shared" si="47"/>
        <v>0</v>
      </c>
      <c r="U104" s="681">
        <f t="shared" si="48"/>
        <v>0</v>
      </c>
      <c r="V104" s="681">
        <f t="shared" si="49"/>
        <v>0</v>
      </c>
      <c r="W104" s="598">
        <f t="shared" si="50"/>
        <v>0</v>
      </c>
      <c r="X104" s="599" t="str">
        <f t="shared" si="51"/>
        <v>S</v>
      </c>
      <c r="Y104" s="600"/>
      <c r="Z104" s="686" t="e">
        <f>(R104+S104)*'1.0-Contractblad'!$L$98</f>
        <v>#DIV/0!</v>
      </c>
      <c r="AA104" s="687">
        <f ca="1">VLOOKUP(E104,'1.1a-Jaarprijzen'!$B$33:$O$51,14,FALSE)*(L104+K104)</f>
        <v>0</v>
      </c>
      <c r="AB104" s="60">
        <f t="shared" si="53"/>
        <v>0</v>
      </c>
      <c r="AD104" s="60" t="str">
        <f t="shared" si="52"/>
        <v>4200-200</v>
      </c>
    </row>
    <row r="105" spans="1:30">
      <c r="A105" s="92">
        <f t="shared" si="42"/>
        <v>1</v>
      </c>
      <c r="B105" s="605"/>
      <c r="C105" s="590"/>
      <c r="D105" s="688">
        <v>1</v>
      </c>
      <c r="E105" s="591" t="s">
        <v>478</v>
      </c>
      <c r="F105" s="592" t="s">
        <v>348</v>
      </c>
      <c r="G105" s="593" t="s">
        <v>491</v>
      </c>
      <c r="H105" s="594" t="s">
        <v>309</v>
      </c>
      <c r="I105" s="595" t="str">
        <f t="shared" si="43"/>
        <v>niet van toepassing</v>
      </c>
      <c r="J105" s="594" t="s">
        <v>639</v>
      </c>
      <c r="K105" s="678"/>
      <c r="L105" s="678">
        <v>1.25</v>
      </c>
      <c r="M105" s="606" t="s">
        <v>27</v>
      </c>
      <c r="N105" s="601"/>
      <c r="O105" s="601"/>
      <c r="P105" s="603">
        <f t="shared" si="44"/>
        <v>0</v>
      </c>
      <c r="Q105" s="689">
        <v>1</v>
      </c>
      <c r="R105" s="596">
        <f t="shared" si="45"/>
        <v>0</v>
      </c>
      <c r="S105" s="596">
        <f t="shared" si="46"/>
        <v>0</v>
      </c>
      <c r="T105" s="596">
        <f t="shared" si="47"/>
        <v>0</v>
      </c>
      <c r="U105" s="681">
        <f t="shared" si="48"/>
        <v>0</v>
      </c>
      <c r="V105" s="681">
        <f t="shared" si="49"/>
        <v>0</v>
      </c>
      <c r="W105" s="598">
        <f t="shared" si="50"/>
        <v>0</v>
      </c>
      <c r="X105" s="599">
        <f t="shared" si="51"/>
        <v>0</v>
      </c>
      <c r="Y105" s="600"/>
      <c r="Z105" s="686" t="e">
        <f>(R105+S105)*'1.0-Contractblad'!$L$98</f>
        <v>#DIV/0!</v>
      </c>
      <c r="AA105" s="687">
        <f ca="1">VLOOKUP(E105,'1.1a-Jaarprijzen'!$B$33:$O$51,14,FALSE)*(L105+K105)</f>
        <v>0</v>
      </c>
      <c r="AB105" s="60">
        <f t="shared" si="53"/>
        <v>0</v>
      </c>
      <c r="AD105" s="60" t="str">
        <f t="shared" si="52"/>
        <v>nvt-0</v>
      </c>
    </row>
    <row r="106" spans="1:30">
      <c r="A106" s="92">
        <f t="shared" si="42"/>
        <v>1</v>
      </c>
      <c r="B106" s="605"/>
      <c r="C106" s="590"/>
      <c r="D106" s="688">
        <v>1</v>
      </c>
      <c r="E106" s="591" t="s">
        <v>478</v>
      </c>
      <c r="F106" s="592" t="s">
        <v>348</v>
      </c>
      <c r="G106" s="593" t="s">
        <v>380</v>
      </c>
      <c r="H106" s="594" t="s">
        <v>489</v>
      </c>
      <c r="I106" s="595" t="str">
        <f t="shared" si="43"/>
        <v>leslokaal</v>
      </c>
      <c r="J106" s="594" t="s">
        <v>644</v>
      </c>
      <c r="K106" s="678">
        <v>56.56</v>
      </c>
      <c r="L106" s="678"/>
      <c r="M106" s="606">
        <v>7200</v>
      </c>
      <c r="N106" s="601"/>
      <c r="O106" s="601"/>
      <c r="P106" s="603">
        <f t="shared" si="44"/>
        <v>200</v>
      </c>
      <c r="Q106" s="689">
        <v>1</v>
      </c>
      <c r="R106" s="596">
        <f t="shared" si="45"/>
        <v>0</v>
      </c>
      <c r="S106" s="596">
        <f t="shared" si="46"/>
        <v>0</v>
      </c>
      <c r="T106" s="596">
        <f t="shared" si="47"/>
        <v>0</v>
      </c>
      <c r="U106" s="681">
        <f t="shared" si="48"/>
        <v>0</v>
      </c>
      <c r="V106" s="681">
        <f t="shared" si="49"/>
        <v>0</v>
      </c>
      <c r="W106" s="598">
        <f t="shared" si="50"/>
        <v>0</v>
      </c>
      <c r="X106" s="599" t="str">
        <f t="shared" si="51"/>
        <v>L</v>
      </c>
      <c r="Y106" s="600"/>
      <c r="Z106" s="686" t="e">
        <f>(R106+S106)*'1.0-Contractblad'!$L$98</f>
        <v>#DIV/0!</v>
      </c>
      <c r="AA106" s="687">
        <f ca="1">VLOOKUP(E106,'1.1a-Jaarprijzen'!$B$33:$O$51,14,FALSE)*(L106+K106)</f>
        <v>0</v>
      </c>
      <c r="AB106" s="60">
        <f t="shared" si="53"/>
        <v>0</v>
      </c>
      <c r="AD106" s="60" t="str">
        <f t="shared" si="52"/>
        <v>7200-200</v>
      </c>
    </row>
    <row r="107" spans="1:30">
      <c r="A107" s="92">
        <f t="shared" si="42"/>
        <v>1</v>
      </c>
      <c r="B107" s="589"/>
      <c r="C107" s="590"/>
      <c r="D107" s="688">
        <v>1</v>
      </c>
      <c r="E107" s="591" t="s">
        <v>632</v>
      </c>
      <c r="F107" s="592" t="s">
        <v>348</v>
      </c>
      <c r="G107" s="593" t="s">
        <v>353</v>
      </c>
      <c r="H107" s="594" t="s">
        <v>320</v>
      </c>
      <c r="I107" s="595" t="str">
        <f t="shared" si="43"/>
        <v>leslokaal</v>
      </c>
      <c r="J107" s="594" t="s">
        <v>493</v>
      </c>
      <c r="K107" s="678">
        <v>59.431175072530273</v>
      </c>
      <c r="L107" s="678"/>
      <c r="M107" s="606">
        <v>7200</v>
      </c>
      <c r="N107" s="601"/>
      <c r="O107" s="602"/>
      <c r="P107" s="603">
        <f t="shared" si="44"/>
        <v>200</v>
      </c>
      <c r="Q107" s="689">
        <v>1</v>
      </c>
      <c r="R107" s="596">
        <f t="shared" si="45"/>
        <v>0</v>
      </c>
      <c r="S107" s="596">
        <f t="shared" si="46"/>
        <v>0</v>
      </c>
      <c r="T107" s="596">
        <f t="shared" si="47"/>
        <v>0</v>
      </c>
      <c r="U107" s="681">
        <f t="shared" si="48"/>
        <v>0</v>
      </c>
      <c r="V107" s="681">
        <f t="shared" si="49"/>
        <v>0</v>
      </c>
      <c r="W107" s="598">
        <f t="shared" si="50"/>
        <v>0</v>
      </c>
      <c r="X107" s="599" t="str">
        <f t="shared" si="51"/>
        <v>L</v>
      </c>
      <c r="Y107" s="600"/>
      <c r="Z107" s="686" t="e">
        <f>(R107+S107)*'1.0-Contractblad'!$L$98</f>
        <v>#DIV/0!</v>
      </c>
      <c r="AA107" s="687">
        <f ca="1">VLOOKUP(E107,'1.1a-Jaarprijzen'!$B$33:$O$51,14,FALSE)*(L107+K107)</f>
        <v>0</v>
      </c>
      <c r="AB107" s="60">
        <f t="shared" si="53"/>
        <v>0</v>
      </c>
      <c r="AD107" s="60" t="str">
        <f t="shared" si="52"/>
        <v>7200-200</v>
      </c>
    </row>
    <row r="108" spans="1:30">
      <c r="A108" s="92">
        <f t="shared" si="42"/>
        <v>1</v>
      </c>
      <c r="B108" s="589"/>
      <c r="C108" s="590"/>
      <c r="D108" s="688">
        <v>1</v>
      </c>
      <c r="E108" s="591" t="s">
        <v>632</v>
      </c>
      <c r="F108" s="592" t="s">
        <v>348</v>
      </c>
      <c r="G108" s="593" t="s">
        <v>354</v>
      </c>
      <c r="H108" s="594" t="s">
        <v>320</v>
      </c>
      <c r="I108" s="595" t="str">
        <f t="shared" si="43"/>
        <v>leslokaal</v>
      </c>
      <c r="J108" s="594" t="s">
        <v>493</v>
      </c>
      <c r="K108" s="678">
        <v>59.245818485797166</v>
      </c>
      <c r="L108" s="678"/>
      <c r="M108" s="606">
        <v>7200</v>
      </c>
      <c r="N108" s="601"/>
      <c r="O108" s="602"/>
      <c r="P108" s="603">
        <f t="shared" si="44"/>
        <v>200</v>
      </c>
      <c r="Q108" s="689">
        <v>1</v>
      </c>
      <c r="R108" s="596">
        <f t="shared" si="45"/>
        <v>0</v>
      </c>
      <c r="S108" s="596">
        <f t="shared" si="46"/>
        <v>0</v>
      </c>
      <c r="T108" s="596">
        <f t="shared" si="47"/>
        <v>0</v>
      </c>
      <c r="U108" s="681">
        <f t="shared" si="48"/>
        <v>0</v>
      </c>
      <c r="V108" s="681">
        <f t="shared" si="49"/>
        <v>0</v>
      </c>
      <c r="W108" s="598">
        <f t="shared" si="50"/>
        <v>0</v>
      </c>
      <c r="X108" s="599" t="str">
        <f t="shared" si="51"/>
        <v>L</v>
      </c>
      <c r="Y108" s="600"/>
      <c r="Z108" s="686" t="e">
        <f>(R108+S108)*'1.0-Contractblad'!$L$98</f>
        <v>#DIV/0!</v>
      </c>
      <c r="AA108" s="687">
        <f ca="1">VLOOKUP(E108,'1.1a-Jaarprijzen'!$B$33:$O$51,14,FALSE)*(L108+K108)</f>
        <v>0</v>
      </c>
      <c r="AB108" s="60">
        <f t="shared" si="53"/>
        <v>0</v>
      </c>
      <c r="AD108" s="60" t="str">
        <f t="shared" si="52"/>
        <v>7200-200</v>
      </c>
    </row>
    <row r="109" spans="1:30">
      <c r="A109" s="92">
        <f t="shared" si="42"/>
        <v>1</v>
      </c>
      <c r="B109" s="589"/>
      <c r="C109" s="590"/>
      <c r="D109" s="688">
        <v>1</v>
      </c>
      <c r="E109" s="591" t="s">
        <v>632</v>
      </c>
      <c r="F109" s="592" t="s">
        <v>348</v>
      </c>
      <c r="G109" s="593" t="s">
        <v>355</v>
      </c>
      <c r="H109" s="594" t="s">
        <v>320</v>
      </c>
      <c r="I109" s="595" t="str">
        <f t="shared" si="43"/>
        <v>speellokaal (peuterspeelzaal incl speelhuisje)</v>
      </c>
      <c r="J109" s="594" t="s">
        <v>493</v>
      </c>
      <c r="K109" s="678">
        <v>65.830855119736427</v>
      </c>
      <c r="L109" s="678"/>
      <c r="M109" s="606">
        <v>6200</v>
      </c>
      <c r="N109" s="601"/>
      <c r="O109" s="602"/>
      <c r="P109" s="603">
        <f t="shared" si="44"/>
        <v>200</v>
      </c>
      <c r="Q109" s="689">
        <v>1</v>
      </c>
      <c r="R109" s="596">
        <f t="shared" si="45"/>
        <v>0</v>
      </c>
      <c r="S109" s="596">
        <f t="shared" si="46"/>
        <v>0</v>
      </c>
      <c r="T109" s="596">
        <f t="shared" si="47"/>
        <v>0</v>
      </c>
      <c r="U109" s="681">
        <f t="shared" si="48"/>
        <v>0</v>
      </c>
      <c r="V109" s="681">
        <f t="shared" si="49"/>
        <v>0</v>
      </c>
      <c r="W109" s="598">
        <f t="shared" si="50"/>
        <v>0</v>
      </c>
      <c r="X109" s="599" t="str">
        <f t="shared" si="51"/>
        <v>L</v>
      </c>
      <c r="Y109" s="600"/>
      <c r="Z109" s="686" t="e">
        <f>(R109+S109)*'1.0-Contractblad'!$L$98</f>
        <v>#DIV/0!</v>
      </c>
      <c r="AA109" s="687">
        <f ca="1">VLOOKUP(E109,'1.1a-Jaarprijzen'!$B$33:$O$51,14,FALSE)*(L109+K109)</f>
        <v>0</v>
      </c>
      <c r="AB109" s="60">
        <f t="shared" si="53"/>
        <v>0</v>
      </c>
      <c r="AD109" s="60" t="str">
        <f t="shared" si="52"/>
        <v>6200-200</v>
      </c>
    </row>
    <row r="110" spans="1:30">
      <c r="A110" s="92">
        <f t="shared" si="42"/>
        <v>1</v>
      </c>
      <c r="B110" s="589"/>
      <c r="C110" s="590"/>
      <c r="D110" s="688">
        <v>1</v>
      </c>
      <c r="E110" s="591" t="s">
        <v>632</v>
      </c>
      <c r="F110" s="592" t="s">
        <v>348</v>
      </c>
      <c r="G110" s="593" t="s">
        <v>356</v>
      </c>
      <c r="H110" s="594" t="s">
        <v>320</v>
      </c>
      <c r="I110" s="595" t="str">
        <f t="shared" si="43"/>
        <v>speellokaal (peuterspeelzaal incl speelhuisje)</v>
      </c>
      <c r="J110" s="594" t="s">
        <v>493</v>
      </c>
      <c r="K110" s="678">
        <v>65.928411218017004</v>
      </c>
      <c r="L110" s="678"/>
      <c r="M110" s="606">
        <v>6200</v>
      </c>
      <c r="N110" s="601"/>
      <c r="O110" s="602"/>
      <c r="P110" s="603">
        <f t="shared" si="44"/>
        <v>200</v>
      </c>
      <c r="Q110" s="689">
        <v>1</v>
      </c>
      <c r="R110" s="596">
        <f t="shared" si="45"/>
        <v>0</v>
      </c>
      <c r="S110" s="596">
        <f t="shared" si="46"/>
        <v>0</v>
      </c>
      <c r="T110" s="596">
        <f t="shared" si="47"/>
        <v>0</v>
      </c>
      <c r="U110" s="681">
        <f t="shared" si="48"/>
        <v>0</v>
      </c>
      <c r="V110" s="681">
        <f t="shared" si="49"/>
        <v>0</v>
      </c>
      <c r="W110" s="598">
        <f t="shared" si="50"/>
        <v>0</v>
      </c>
      <c r="X110" s="599" t="str">
        <f t="shared" si="51"/>
        <v>L</v>
      </c>
      <c r="Y110" s="600"/>
      <c r="Z110" s="686" t="e">
        <f>(R110+S110)*'1.0-Contractblad'!$L$98</f>
        <v>#DIV/0!</v>
      </c>
      <c r="AA110" s="687">
        <f ca="1">VLOOKUP(E110,'1.1a-Jaarprijzen'!$B$33:$O$51,14,FALSE)*(L110+K110)</f>
        <v>0</v>
      </c>
      <c r="AB110" s="60">
        <f t="shared" si="53"/>
        <v>0</v>
      </c>
      <c r="AD110" s="60" t="str">
        <f t="shared" si="52"/>
        <v>6200-200</v>
      </c>
    </row>
    <row r="111" spans="1:30">
      <c r="A111" s="92">
        <f t="shared" si="42"/>
        <v>1</v>
      </c>
      <c r="B111" s="589"/>
      <c r="C111" s="590"/>
      <c r="D111" s="688">
        <v>1</v>
      </c>
      <c r="E111" s="591" t="s">
        <v>632</v>
      </c>
      <c r="F111" s="592" t="s">
        <v>348</v>
      </c>
      <c r="G111" s="593" t="s">
        <v>369</v>
      </c>
      <c r="H111" s="594" t="s">
        <v>320</v>
      </c>
      <c r="I111" s="595" t="str">
        <f t="shared" si="43"/>
        <v>speellokaal (peuterspeelzaal incl speelhuisje)</v>
      </c>
      <c r="J111" s="594" t="s">
        <v>493</v>
      </c>
      <c r="K111" s="678">
        <v>71.059861987575601</v>
      </c>
      <c r="L111" s="678"/>
      <c r="M111" s="606">
        <v>6200</v>
      </c>
      <c r="N111" s="601"/>
      <c r="O111" s="601"/>
      <c r="P111" s="603">
        <f t="shared" si="44"/>
        <v>200</v>
      </c>
      <c r="Q111" s="689">
        <v>1</v>
      </c>
      <c r="R111" s="596">
        <f t="shared" si="45"/>
        <v>0</v>
      </c>
      <c r="S111" s="596">
        <f t="shared" si="46"/>
        <v>0</v>
      </c>
      <c r="T111" s="596">
        <f t="shared" si="47"/>
        <v>0</v>
      </c>
      <c r="U111" s="681">
        <f t="shared" si="48"/>
        <v>0</v>
      </c>
      <c r="V111" s="681">
        <f t="shared" si="49"/>
        <v>0</v>
      </c>
      <c r="W111" s="598">
        <f t="shared" si="50"/>
        <v>0</v>
      </c>
      <c r="X111" s="599" t="str">
        <f t="shared" si="51"/>
        <v>L</v>
      </c>
      <c r="Y111" s="600"/>
      <c r="Z111" s="686" t="e">
        <f>(R111+S111)*'1.0-Contractblad'!$L$98</f>
        <v>#DIV/0!</v>
      </c>
      <c r="AA111" s="687">
        <f ca="1">VLOOKUP(E111,'1.1a-Jaarprijzen'!$B$33:$O$51,14,FALSE)*(L111+K111)</f>
        <v>0</v>
      </c>
      <c r="AB111" s="60">
        <f t="shared" si="53"/>
        <v>0</v>
      </c>
      <c r="AD111" s="60" t="str">
        <f t="shared" si="52"/>
        <v>6200-200</v>
      </c>
    </row>
    <row r="112" spans="1:30">
      <c r="A112" s="92">
        <f t="shared" si="42"/>
        <v>1</v>
      </c>
      <c r="B112" s="589"/>
      <c r="C112" s="590"/>
      <c r="D112" s="688">
        <v>1</v>
      </c>
      <c r="E112" s="591" t="s">
        <v>632</v>
      </c>
      <c r="F112" s="592" t="s">
        <v>348</v>
      </c>
      <c r="G112" s="593" t="s">
        <v>370</v>
      </c>
      <c r="H112" s="594" t="s">
        <v>320</v>
      </c>
      <c r="I112" s="595" t="str">
        <f t="shared" si="43"/>
        <v>speellokaal (peuterspeelzaal incl speelhuisje)</v>
      </c>
      <c r="J112" s="594" t="s">
        <v>493</v>
      </c>
      <c r="K112" s="678">
        <v>75.440130800373709</v>
      </c>
      <c r="L112" s="678"/>
      <c r="M112" s="606">
        <v>6200</v>
      </c>
      <c r="N112" s="601"/>
      <c r="O112" s="601"/>
      <c r="P112" s="603">
        <f t="shared" si="44"/>
        <v>200</v>
      </c>
      <c r="Q112" s="689">
        <v>1</v>
      </c>
      <c r="R112" s="596">
        <f t="shared" si="45"/>
        <v>0</v>
      </c>
      <c r="S112" s="596">
        <f t="shared" si="46"/>
        <v>0</v>
      </c>
      <c r="T112" s="596">
        <f t="shared" si="47"/>
        <v>0</v>
      </c>
      <c r="U112" s="681">
        <f t="shared" si="48"/>
        <v>0</v>
      </c>
      <c r="V112" s="681">
        <f t="shared" si="49"/>
        <v>0</v>
      </c>
      <c r="W112" s="598">
        <f t="shared" si="50"/>
        <v>0</v>
      </c>
      <c r="X112" s="599" t="str">
        <f t="shared" si="51"/>
        <v>L</v>
      </c>
      <c r="Y112" s="600"/>
      <c r="Z112" s="686" t="e">
        <f>(R112+S112)*'1.0-Contractblad'!$L$98</f>
        <v>#DIV/0!</v>
      </c>
      <c r="AA112" s="687">
        <f ca="1">VLOOKUP(E112,'1.1a-Jaarprijzen'!$B$33:$O$51,14,FALSE)*(L112+K112)</f>
        <v>0</v>
      </c>
      <c r="AB112" s="60">
        <f t="shared" si="53"/>
        <v>0</v>
      </c>
      <c r="AD112" s="60" t="str">
        <f t="shared" si="52"/>
        <v>6200-200</v>
      </c>
    </row>
    <row r="113" spans="1:30">
      <c r="A113" s="92">
        <f t="shared" si="42"/>
        <v>1</v>
      </c>
      <c r="B113" s="589"/>
      <c r="C113" s="590"/>
      <c r="D113" s="688">
        <v>1</v>
      </c>
      <c r="E113" s="591" t="s">
        <v>632</v>
      </c>
      <c r="F113" s="592" t="s">
        <v>348</v>
      </c>
      <c r="G113" s="593" t="s">
        <v>371</v>
      </c>
      <c r="H113" s="594" t="s">
        <v>320</v>
      </c>
      <c r="I113" s="595" t="str">
        <f t="shared" si="43"/>
        <v>leslokaal</v>
      </c>
      <c r="J113" s="594" t="s">
        <v>493</v>
      </c>
      <c r="K113" s="678">
        <v>61.606676064187241</v>
      </c>
      <c r="L113" s="678"/>
      <c r="M113" s="606">
        <v>7200</v>
      </c>
      <c r="N113" s="601"/>
      <c r="O113" s="601"/>
      <c r="P113" s="603">
        <f t="shared" si="44"/>
        <v>200</v>
      </c>
      <c r="Q113" s="689">
        <v>1</v>
      </c>
      <c r="R113" s="596">
        <f t="shared" si="45"/>
        <v>0</v>
      </c>
      <c r="S113" s="596">
        <f t="shared" si="46"/>
        <v>0</v>
      </c>
      <c r="T113" s="596">
        <f t="shared" si="47"/>
        <v>0</v>
      </c>
      <c r="U113" s="681">
        <f t="shared" si="48"/>
        <v>0</v>
      </c>
      <c r="V113" s="681">
        <f t="shared" si="49"/>
        <v>0</v>
      </c>
      <c r="W113" s="598">
        <f t="shared" si="50"/>
        <v>0</v>
      </c>
      <c r="X113" s="599" t="str">
        <f t="shared" si="51"/>
        <v>L</v>
      </c>
      <c r="Y113" s="600"/>
      <c r="Z113" s="686" t="e">
        <f>(R113+S113)*'1.0-Contractblad'!$L$98</f>
        <v>#DIV/0!</v>
      </c>
      <c r="AA113" s="687">
        <f ca="1">VLOOKUP(E113,'1.1a-Jaarprijzen'!$B$33:$O$51,14,FALSE)*(L113+K113)</f>
        <v>0</v>
      </c>
      <c r="AB113" s="60">
        <f t="shared" si="53"/>
        <v>0</v>
      </c>
      <c r="AD113" s="60" t="str">
        <f t="shared" si="52"/>
        <v>7200-200</v>
      </c>
    </row>
    <row r="114" spans="1:30">
      <c r="A114" s="92">
        <f t="shared" si="42"/>
        <v>1</v>
      </c>
      <c r="B114" s="589"/>
      <c r="C114" s="590"/>
      <c r="D114" s="688">
        <v>1</v>
      </c>
      <c r="E114" s="591" t="s">
        <v>632</v>
      </c>
      <c r="F114" s="592" t="s">
        <v>348</v>
      </c>
      <c r="G114" s="593" t="s">
        <v>372</v>
      </c>
      <c r="H114" s="594" t="s">
        <v>320</v>
      </c>
      <c r="I114" s="595" t="str">
        <f t="shared" si="43"/>
        <v>leslokaal</v>
      </c>
      <c r="J114" s="594" t="s">
        <v>493</v>
      </c>
      <c r="K114" s="678">
        <v>61.655454113327536</v>
      </c>
      <c r="L114" s="678"/>
      <c r="M114" s="606">
        <v>7200</v>
      </c>
      <c r="N114" s="601"/>
      <c r="O114" s="601"/>
      <c r="P114" s="603">
        <f t="shared" si="44"/>
        <v>200</v>
      </c>
      <c r="Q114" s="689">
        <v>1</v>
      </c>
      <c r="R114" s="596">
        <f t="shared" si="45"/>
        <v>0</v>
      </c>
      <c r="S114" s="596">
        <f t="shared" si="46"/>
        <v>0</v>
      </c>
      <c r="T114" s="596">
        <f t="shared" si="47"/>
        <v>0</v>
      </c>
      <c r="U114" s="681">
        <f t="shared" si="48"/>
        <v>0</v>
      </c>
      <c r="V114" s="681">
        <f t="shared" si="49"/>
        <v>0</v>
      </c>
      <c r="W114" s="598">
        <f t="shared" si="50"/>
        <v>0</v>
      </c>
      <c r="X114" s="599" t="str">
        <f t="shared" si="51"/>
        <v>L</v>
      </c>
      <c r="Y114" s="600"/>
      <c r="Z114" s="686" t="e">
        <f>(R114+S114)*'1.0-Contractblad'!$L$98</f>
        <v>#DIV/0!</v>
      </c>
      <c r="AA114" s="687">
        <f ca="1">VLOOKUP(E114,'1.1a-Jaarprijzen'!$B$33:$O$51,14,FALSE)*(L114+K114)</f>
        <v>0</v>
      </c>
      <c r="AB114" s="60">
        <f t="shared" si="53"/>
        <v>0</v>
      </c>
      <c r="AD114" s="60" t="str">
        <f t="shared" si="52"/>
        <v>7200-200</v>
      </c>
    </row>
    <row r="115" spans="1:30">
      <c r="A115" s="92">
        <f t="shared" si="42"/>
        <v>1</v>
      </c>
      <c r="B115" s="589"/>
      <c r="C115" s="590"/>
      <c r="D115" s="688">
        <v>1</v>
      </c>
      <c r="E115" s="591" t="s">
        <v>632</v>
      </c>
      <c r="F115" s="592" t="s">
        <v>348</v>
      </c>
      <c r="G115" s="593" t="s">
        <v>494</v>
      </c>
      <c r="H115" s="594" t="s">
        <v>313</v>
      </c>
      <c r="I115" s="595" t="str">
        <f t="shared" si="43"/>
        <v>speellokaal (peuterspeelzaal)</v>
      </c>
      <c r="J115" s="594" t="s">
        <v>641</v>
      </c>
      <c r="K115" s="678">
        <v>91.897844580307805</v>
      </c>
      <c r="L115" s="678"/>
      <c r="M115" s="606">
        <v>8200</v>
      </c>
      <c r="N115" s="601"/>
      <c r="O115" s="602"/>
      <c r="P115" s="603">
        <f t="shared" si="44"/>
        <v>200</v>
      </c>
      <c r="Q115" s="689">
        <v>1</v>
      </c>
      <c r="R115" s="596">
        <f t="shared" si="45"/>
        <v>0</v>
      </c>
      <c r="S115" s="596">
        <f t="shared" si="46"/>
        <v>0</v>
      </c>
      <c r="T115" s="596">
        <f t="shared" si="47"/>
        <v>0</v>
      </c>
      <c r="U115" s="681">
        <f t="shared" si="48"/>
        <v>0</v>
      </c>
      <c r="V115" s="681">
        <f t="shared" si="49"/>
        <v>0</v>
      </c>
      <c r="W115" s="598">
        <f t="shared" si="50"/>
        <v>0</v>
      </c>
      <c r="X115" s="599" t="str">
        <f t="shared" si="51"/>
        <v>L</v>
      </c>
      <c r="Y115" s="600"/>
      <c r="Z115" s="686" t="e">
        <f>(R115+S115)*'1.0-Contractblad'!$L$98</f>
        <v>#DIV/0!</v>
      </c>
      <c r="AA115" s="687">
        <f ca="1">VLOOKUP(E115,'1.1a-Jaarprijzen'!$B$33:$O$51,14,FALSE)*(L115+K115)</f>
        <v>0</v>
      </c>
      <c r="AB115" s="60">
        <f t="shared" si="53"/>
        <v>0</v>
      </c>
      <c r="AD115" s="60" t="str">
        <f t="shared" si="52"/>
        <v>8200-200</v>
      </c>
    </row>
    <row r="116" spans="1:30">
      <c r="A116" s="92">
        <f t="shared" si="42"/>
        <v>1</v>
      </c>
      <c r="B116" s="589"/>
      <c r="C116" s="590"/>
      <c r="D116" s="688">
        <v>1</v>
      </c>
      <c r="E116" s="591" t="s">
        <v>632</v>
      </c>
      <c r="F116" s="592" t="s">
        <v>348</v>
      </c>
      <c r="G116" s="593" t="s">
        <v>400</v>
      </c>
      <c r="H116" s="594" t="s">
        <v>402</v>
      </c>
      <c r="I116" s="595" t="str">
        <f t="shared" si="43"/>
        <v>leslokaal</v>
      </c>
      <c r="J116" s="594" t="s">
        <v>493</v>
      </c>
      <c r="K116" s="678">
        <v>60.865249717254819</v>
      </c>
      <c r="L116" s="678"/>
      <c r="M116" s="606">
        <v>7200</v>
      </c>
      <c r="N116" s="601"/>
      <c r="O116" s="602"/>
      <c r="P116" s="603">
        <f t="shared" si="44"/>
        <v>200</v>
      </c>
      <c r="Q116" s="689">
        <v>1</v>
      </c>
      <c r="R116" s="596">
        <f t="shared" si="45"/>
        <v>0</v>
      </c>
      <c r="S116" s="596">
        <f t="shared" si="46"/>
        <v>0</v>
      </c>
      <c r="T116" s="596">
        <f t="shared" si="47"/>
        <v>0</v>
      </c>
      <c r="U116" s="681">
        <f t="shared" si="48"/>
        <v>0</v>
      </c>
      <c r="V116" s="681">
        <f t="shared" si="49"/>
        <v>0</v>
      </c>
      <c r="W116" s="598">
        <f t="shared" si="50"/>
        <v>0</v>
      </c>
      <c r="X116" s="599" t="str">
        <f t="shared" si="51"/>
        <v>L</v>
      </c>
      <c r="Y116" s="600"/>
      <c r="Z116" s="686" t="e">
        <f>(R116+S116)*'1.0-Contractblad'!$L$98</f>
        <v>#DIV/0!</v>
      </c>
      <c r="AA116" s="687">
        <f ca="1">VLOOKUP(E116,'1.1a-Jaarprijzen'!$B$33:$O$51,14,FALSE)*(L116+K116)</f>
        <v>0</v>
      </c>
      <c r="AB116" s="60">
        <f t="shared" si="53"/>
        <v>0</v>
      </c>
      <c r="AD116" s="60" t="str">
        <f t="shared" si="52"/>
        <v>7200-200</v>
      </c>
    </row>
    <row r="117" spans="1:30">
      <c r="A117" s="92">
        <f t="shared" si="42"/>
        <v>1</v>
      </c>
      <c r="B117" s="589"/>
      <c r="C117" s="590"/>
      <c r="D117" s="688">
        <v>1</v>
      </c>
      <c r="E117" s="591" t="s">
        <v>632</v>
      </c>
      <c r="F117" s="592" t="s">
        <v>348</v>
      </c>
      <c r="G117" s="593" t="s">
        <v>349</v>
      </c>
      <c r="H117" s="594" t="s">
        <v>350</v>
      </c>
      <c r="I117" s="595" t="str">
        <f t="shared" si="43"/>
        <v>entree, gang, hal, repro, kopieer</v>
      </c>
      <c r="J117" s="594" t="s">
        <v>642</v>
      </c>
      <c r="K117" s="678">
        <v>7.1716131932348146</v>
      </c>
      <c r="L117" s="678"/>
      <c r="M117" s="606">
        <v>3200</v>
      </c>
      <c r="N117" s="601"/>
      <c r="O117" s="602"/>
      <c r="P117" s="603">
        <f t="shared" si="44"/>
        <v>200</v>
      </c>
      <c r="Q117" s="689">
        <v>1</v>
      </c>
      <c r="R117" s="596">
        <f t="shared" si="45"/>
        <v>0</v>
      </c>
      <c r="S117" s="596">
        <f t="shared" si="46"/>
        <v>0</v>
      </c>
      <c r="T117" s="596">
        <f t="shared" si="47"/>
        <v>0</v>
      </c>
      <c r="U117" s="681">
        <f t="shared" si="48"/>
        <v>0</v>
      </c>
      <c r="V117" s="681">
        <f t="shared" si="49"/>
        <v>0</v>
      </c>
      <c r="W117" s="598">
        <f t="shared" si="50"/>
        <v>0</v>
      </c>
      <c r="X117" s="599" t="str">
        <f t="shared" si="51"/>
        <v>V</v>
      </c>
      <c r="Y117" s="600"/>
      <c r="Z117" s="686" t="e">
        <f>(R117+S117)*'1.0-Contractblad'!$L$98</f>
        <v>#DIV/0!</v>
      </c>
      <c r="AA117" s="687">
        <f ca="1">VLOOKUP(E117,'1.1a-Jaarprijzen'!$B$33:$O$51,14,FALSE)*(L117+K117)</f>
        <v>0</v>
      </c>
      <c r="AB117" s="60">
        <f t="shared" si="53"/>
        <v>0</v>
      </c>
      <c r="AD117" s="60" t="str">
        <f t="shared" si="52"/>
        <v>3200-200</v>
      </c>
    </row>
    <row r="118" spans="1:30">
      <c r="A118" s="92">
        <f t="shared" si="42"/>
        <v>1</v>
      </c>
      <c r="B118" s="589"/>
      <c r="C118" s="590"/>
      <c r="D118" s="688">
        <v>1</v>
      </c>
      <c r="E118" s="591" t="s">
        <v>632</v>
      </c>
      <c r="F118" s="592" t="s">
        <v>348</v>
      </c>
      <c r="G118" s="593" t="s">
        <v>351</v>
      </c>
      <c r="H118" s="594" t="s">
        <v>350</v>
      </c>
      <c r="I118" s="595" t="str">
        <f t="shared" si="43"/>
        <v>entree, gang, hal, repro, kopieer</v>
      </c>
      <c r="J118" s="594" t="s">
        <v>642</v>
      </c>
      <c r="K118" s="678">
        <v>7.0336975549033758</v>
      </c>
      <c r="L118" s="678"/>
      <c r="M118" s="606">
        <v>3200</v>
      </c>
      <c r="N118" s="601"/>
      <c r="O118" s="602"/>
      <c r="P118" s="603">
        <f t="shared" si="44"/>
        <v>200</v>
      </c>
      <c r="Q118" s="689">
        <v>1</v>
      </c>
      <c r="R118" s="596">
        <f t="shared" si="45"/>
        <v>0</v>
      </c>
      <c r="S118" s="596">
        <f t="shared" si="46"/>
        <v>0</v>
      </c>
      <c r="T118" s="596">
        <f t="shared" si="47"/>
        <v>0</v>
      </c>
      <c r="U118" s="681">
        <f t="shared" si="48"/>
        <v>0</v>
      </c>
      <c r="V118" s="681">
        <f t="shared" si="49"/>
        <v>0</v>
      </c>
      <c r="W118" s="598">
        <f t="shared" si="50"/>
        <v>0</v>
      </c>
      <c r="X118" s="599" t="str">
        <f t="shared" si="51"/>
        <v>V</v>
      </c>
      <c r="Y118" s="600"/>
      <c r="Z118" s="686" t="e">
        <f>(R118+S118)*'1.0-Contractblad'!$L$98</f>
        <v>#DIV/0!</v>
      </c>
      <c r="AA118" s="687">
        <f ca="1">VLOOKUP(E118,'1.1a-Jaarprijzen'!$B$33:$O$51,14,FALSE)*(L118+K118)</f>
        <v>0</v>
      </c>
      <c r="AB118" s="60">
        <f t="shared" si="53"/>
        <v>0</v>
      </c>
      <c r="AD118" s="60" t="str">
        <f t="shared" si="52"/>
        <v>3200-200</v>
      </c>
    </row>
    <row r="119" spans="1:30">
      <c r="A119" s="92">
        <f t="shared" si="42"/>
        <v>1</v>
      </c>
      <c r="B119" s="589"/>
      <c r="C119" s="590"/>
      <c r="D119" s="688">
        <v>1</v>
      </c>
      <c r="E119" s="591" t="s">
        <v>632</v>
      </c>
      <c r="F119" s="592" t="s">
        <v>348</v>
      </c>
      <c r="G119" s="593" t="s">
        <v>352</v>
      </c>
      <c r="H119" s="594" t="s">
        <v>312</v>
      </c>
      <c r="I119" s="595" t="str">
        <f t="shared" si="43"/>
        <v>entree, gang, hal, repro, kopieer</v>
      </c>
      <c r="J119" s="594" t="s">
        <v>493</v>
      </c>
      <c r="K119" s="678">
        <v>86.932239177826204</v>
      </c>
      <c r="L119" s="678"/>
      <c r="M119" s="606">
        <v>3200</v>
      </c>
      <c r="N119" s="601"/>
      <c r="O119" s="602"/>
      <c r="P119" s="603">
        <f t="shared" si="44"/>
        <v>200</v>
      </c>
      <c r="Q119" s="689">
        <v>1</v>
      </c>
      <c r="R119" s="596">
        <f t="shared" si="45"/>
        <v>0</v>
      </c>
      <c r="S119" s="596">
        <f t="shared" si="46"/>
        <v>0</v>
      </c>
      <c r="T119" s="596">
        <f t="shared" si="47"/>
        <v>0</v>
      </c>
      <c r="U119" s="681">
        <f t="shared" si="48"/>
        <v>0</v>
      </c>
      <c r="V119" s="681">
        <f t="shared" si="49"/>
        <v>0</v>
      </c>
      <c r="W119" s="598">
        <f t="shared" si="50"/>
        <v>0</v>
      </c>
      <c r="X119" s="599" t="str">
        <f t="shared" si="51"/>
        <v>V</v>
      </c>
      <c r="Y119" s="600"/>
      <c r="Z119" s="686" t="e">
        <f>(R119+S119)*'1.0-Contractblad'!$L$98</f>
        <v>#DIV/0!</v>
      </c>
      <c r="AA119" s="687">
        <f ca="1">VLOOKUP(E119,'1.1a-Jaarprijzen'!$B$33:$O$51,14,FALSE)*(L119+K119)</f>
        <v>0</v>
      </c>
      <c r="AB119" s="60">
        <f t="shared" si="53"/>
        <v>0</v>
      </c>
      <c r="AD119" s="60" t="str">
        <f t="shared" si="52"/>
        <v>3200-200</v>
      </c>
    </row>
    <row r="120" spans="1:30">
      <c r="A120" s="92">
        <f t="shared" si="42"/>
        <v>1</v>
      </c>
      <c r="B120" s="589"/>
      <c r="C120" s="590"/>
      <c r="D120" s="688">
        <v>1</v>
      </c>
      <c r="E120" s="591" t="s">
        <v>632</v>
      </c>
      <c r="F120" s="592" t="s">
        <v>348</v>
      </c>
      <c r="G120" s="593" t="s">
        <v>368</v>
      </c>
      <c r="H120" s="594" t="s">
        <v>312</v>
      </c>
      <c r="I120" s="595" t="str">
        <f t="shared" si="43"/>
        <v>entree, gang, hal, repro, kopieer</v>
      </c>
      <c r="J120" s="594" t="s">
        <v>493</v>
      </c>
      <c r="K120" s="678">
        <v>47.275685226769816</v>
      </c>
      <c r="L120" s="678"/>
      <c r="M120" s="606">
        <v>3200</v>
      </c>
      <c r="N120" s="601"/>
      <c r="O120" s="602"/>
      <c r="P120" s="603">
        <f t="shared" si="44"/>
        <v>200</v>
      </c>
      <c r="Q120" s="689">
        <v>1</v>
      </c>
      <c r="R120" s="596">
        <f t="shared" si="45"/>
        <v>0</v>
      </c>
      <c r="S120" s="596">
        <f t="shared" si="46"/>
        <v>0</v>
      </c>
      <c r="T120" s="596">
        <f t="shared" si="47"/>
        <v>0</v>
      </c>
      <c r="U120" s="681">
        <f t="shared" si="48"/>
        <v>0</v>
      </c>
      <c r="V120" s="681">
        <f t="shared" si="49"/>
        <v>0</v>
      </c>
      <c r="W120" s="598">
        <f t="shared" si="50"/>
        <v>0</v>
      </c>
      <c r="X120" s="599" t="str">
        <f t="shared" si="51"/>
        <v>V</v>
      </c>
      <c r="Y120" s="600"/>
      <c r="Z120" s="686" t="e">
        <f>(R120+S120)*'1.0-Contractblad'!$L$98</f>
        <v>#DIV/0!</v>
      </c>
      <c r="AA120" s="687">
        <f ca="1">VLOOKUP(E120,'1.1a-Jaarprijzen'!$B$33:$O$51,14,FALSE)*(L120+K120)</f>
        <v>0</v>
      </c>
      <c r="AB120" s="60">
        <f t="shared" si="53"/>
        <v>0</v>
      </c>
      <c r="AD120" s="60" t="str">
        <f t="shared" si="52"/>
        <v>3200-200</v>
      </c>
    </row>
    <row r="121" spans="1:30">
      <c r="A121" s="92">
        <f t="shared" si="42"/>
        <v>1</v>
      </c>
      <c r="B121" s="589"/>
      <c r="C121" s="590"/>
      <c r="D121" s="688">
        <v>1</v>
      </c>
      <c r="E121" s="591" t="s">
        <v>632</v>
      </c>
      <c r="F121" s="592" t="s">
        <v>348</v>
      </c>
      <c r="G121" s="593" t="s">
        <v>394</v>
      </c>
      <c r="H121" s="594" t="s">
        <v>272</v>
      </c>
      <c r="I121" s="595" t="str">
        <f t="shared" si="43"/>
        <v>entree, gang, hal, repro, kopieer</v>
      </c>
      <c r="J121" s="594" t="s">
        <v>493</v>
      </c>
      <c r="K121" s="678">
        <v>13.483550792797633</v>
      </c>
      <c r="L121" s="678"/>
      <c r="M121" s="606">
        <v>3200</v>
      </c>
      <c r="N121" s="601"/>
      <c r="O121" s="602"/>
      <c r="P121" s="603">
        <f t="shared" si="44"/>
        <v>200</v>
      </c>
      <c r="Q121" s="689">
        <v>1</v>
      </c>
      <c r="R121" s="596">
        <f t="shared" si="45"/>
        <v>0</v>
      </c>
      <c r="S121" s="596">
        <f t="shared" si="46"/>
        <v>0</v>
      </c>
      <c r="T121" s="596">
        <f t="shared" si="47"/>
        <v>0</v>
      </c>
      <c r="U121" s="681">
        <f t="shared" si="48"/>
        <v>0</v>
      </c>
      <c r="V121" s="681">
        <f t="shared" si="49"/>
        <v>0</v>
      </c>
      <c r="W121" s="598">
        <f t="shared" si="50"/>
        <v>0</v>
      </c>
      <c r="X121" s="599" t="str">
        <f t="shared" si="51"/>
        <v>V</v>
      </c>
      <c r="Y121" s="600"/>
      <c r="Z121" s="686" t="e">
        <f>(R121+S121)*'1.0-Contractblad'!$L$98</f>
        <v>#DIV/0!</v>
      </c>
      <c r="AA121" s="687">
        <f ca="1">VLOOKUP(E121,'1.1a-Jaarprijzen'!$B$33:$O$51,14,FALSE)*(L121+K121)</f>
        <v>0</v>
      </c>
      <c r="AB121" s="60">
        <f t="shared" si="53"/>
        <v>0</v>
      </c>
      <c r="AD121" s="60" t="str">
        <f t="shared" si="52"/>
        <v>3200-200</v>
      </c>
    </row>
    <row r="122" spans="1:30">
      <c r="A122" s="92">
        <f t="shared" si="42"/>
        <v>1</v>
      </c>
      <c r="B122" s="589"/>
      <c r="C122" s="590"/>
      <c r="D122" s="688">
        <v>1</v>
      </c>
      <c r="E122" s="591" t="s">
        <v>632</v>
      </c>
      <c r="F122" s="592" t="s">
        <v>348</v>
      </c>
      <c r="G122" s="593" t="s">
        <v>487</v>
      </c>
      <c r="H122" s="594" t="s">
        <v>312</v>
      </c>
      <c r="I122" s="595" t="str">
        <f t="shared" si="43"/>
        <v>entree, gang, hal, repro, kopieer</v>
      </c>
      <c r="J122" s="594" t="s">
        <v>493</v>
      </c>
      <c r="K122" s="678">
        <v>6.8406156612393616</v>
      </c>
      <c r="L122" s="678"/>
      <c r="M122" s="606">
        <v>3200</v>
      </c>
      <c r="N122" s="601"/>
      <c r="O122" s="601"/>
      <c r="P122" s="603">
        <f t="shared" si="44"/>
        <v>200</v>
      </c>
      <c r="Q122" s="689">
        <v>1</v>
      </c>
      <c r="R122" s="596">
        <f t="shared" si="45"/>
        <v>0</v>
      </c>
      <c r="S122" s="596">
        <f t="shared" si="46"/>
        <v>0</v>
      </c>
      <c r="T122" s="596">
        <f t="shared" si="47"/>
        <v>0</v>
      </c>
      <c r="U122" s="681">
        <f t="shared" si="48"/>
        <v>0</v>
      </c>
      <c r="V122" s="681">
        <f t="shared" si="49"/>
        <v>0</v>
      </c>
      <c r="W122" s="598">
        <f t="shared" si="50"/>
        <v>0</v>
      </c>
      <c r="X122" s="599" t="str">
        <f t="shared" si="51"/>
        <v>V</v>
      </c>
      <c r="Y122" s="600"/>
      <c r="Z122" s="686" t="e">
        <f>(R122+S122)*'1.0-Contractblad'!$L$98</f>
        <v>#DIV/0!</v>
      </c>
      <c r="AA122" s="687">
        <f ca="1">VLOOKUP(E122,'1.1a-Jaarprijzen'!$B$33:$O$51,14,FALSE)*(L122+K122)</f>
        <v>0</v>
      </c>
      <c r="AB122" s="60">
        <f t="shared" si="53"/>
        <v>0</v>
      </c>
      <c r="AD122" s="60" t="str">
        <f t="shared" si="52"/>
        <v>3200-200</v>
      </c>
    </row>
    <row r="123" spans="1:30">
      <c r="A123" s="92">
        <f t="shared" si="42"/>
        <v>1</v>
      </c>
      <c r="B123" s="604"/>
      <c r="C123" s="590"/>
      <c r="D123" s="688">
        <v>1</v>
      </c>
      <c r="E123" s="591" t="s">
        <v>632</v>
      </c>
      <c r="F123" s="592" t="s">
        <v>348</v>
      </c>
      <c r="G123" s="593" t="s">
        <v>390</v>
      </c>
      <c r="H123" s="594" t="s">
        <v>316</v>
      </c>
      <c r="I123" s="595" t="str">
        <f t="shared" si="43"/>
        <v>aula, gemeenschappelijke ruimte, bibliotheek</v>
      </c>
      <c r="J123" s="594" t="s">
        <v>493</v>
      </c>
      <c r="K123" s="678">
        <v>130.16910193577996</v>
      </c>
      <c r="L123" s="678"/>
      <c r="M123" s="606">
        <v>2200</v>
      </c>
      <c r="N123" s="601"/>
      <c r="O123" s="601"/>
      <c r="P123" s="603">
        <f t="shared" si="44"/>
        <v>200</v>
      </c>
      <c r="Q123" s="689">
        <v>1</v>
      </c>
      <c r="R123" s="596">
        <f t="shared" si="45"/>
        <v>0</v>
      </c>
      <c r="S123" s="596">
        <f t="shared" si="46"/>
        <v>0</v>
      </c>
      <c r="T123" s="596">
        <f t="shared" si="47"/>
        <v>0</v>
      </c>
      <c r="U123" s="681">
        <f t="shared" si="48"/>
        <v>0</v>
      </c>
      <c r="V123" s="681">
        <f t="shared" si="49"/>
        <v>0</v>
      </c>
      <c r="W123" s="598">
        <f t="shared" si="50"/>
        <v>0</v>
      </c>
      <c r="X123" s="599" t="str">
        <f t="shared" si="51"/>
        <v>V</v>
      </c>
      <c r="Y123" s="600"/>
      <c r="Z123" s="686" t="e">
        <f>(R123+S123)*'1.0-Contractblad'!$L$98</f>
        <v>#DIV/0!</v>
      </c>
      <c r="AA123" s="687">
        <f ca="1">VLOOKUP(E123,'1.1a-Jaarprijzen'!$B$33:$O$51,14,FALSE)*(L123+K123)</f>
        <v>0</v>
      </c>
      <c r="AB123" s="60">
        <f t="shared" si="53"/>
        <v>0</v>
      </c>
      <c r="AD123" s="60" t="str">
        <f t="shared" si="52"/>
        <v>2200-200</v>
      </c>
    </row>
    <row r="124" spans="1:30">
      <c r="A124" s="92">
        <f t="shared" si="42"/>
        <v>1</v>
      </c>
      <c r="B124" s="604"/>
      <c r="C124" s="590"/>
      <c r="D124" s="688">
        <v>1</v>
      </c>
      <c r="E124" s="591" t="s">
        <v>632</v>
      </c>
      <c r="F124" s="592" t="s">
        <v>348</v>
      </c>
      <c r="G124" s="593" t="s">
        <v>367</v>
      </c>
      <c r="H124" s="594" t="s">
        <v>384</v>
      </c>
      <c r="I124" s="595" t="str">
        <f t="shared" si="43"/>
        <v>sanitaire ruimte (toilet-/doucheruimte)</v>
      </c>
      <c r="J124" s="594" t="s">
        <v>640</v>
      </c>
      <c r="K124" s="678">
        <v>10.102131684994195</v>
      </c>
      <c r="L124" s="678"/>
      <c r="M124" s="606">
        <v>4200</v>
      </c>
      <c r="N124" s="601"/>
      <c r="O124" s="601"/>
      <c r="P124" s="603">
        <f t="shared" si="44"/>
        <v>200</v>
      </c>
      <c r="Q124" s="689">
        <v>1</v>
      </c>
      <c r="R124" s="596">
        <f t="shared" si="45"/>
        <v>0</v>
      </c>
      <c r="S124" s="596">
        <f t="shared" si="46"/>
        <v>0</v>
      </c>
      <c r="T124" s="596">
        <f t="shared" si="47"/>
        <v>0</v>
      </c>
      <c r="U124" s="681">
        <f t="shared" si="48"/>
        <v>0</v>
      </c>
      <c r="V124" s="681">
        <f t="shared" si="49"/>
        <v>0</v>
      </c>
      <c r="W124" s="598">
        <f t="shared" si="50"/>
        <v>0</v>
      </c>
      <c r="X124" s="599" t="str">
        <f t="shared" si="51"/>
        <v>S</v>
      </c>
      <c r="Y124" s="600"/>
      <c r="Z124" s="686" t="e">
        <f>(R124+S124)*'1.0-Contractblad'!$L$98</f>
        <v>#DIV/0!</v>
      </c>
      <c r="AA124" s="687">
        <f ca="1">VLOOKUP(E124,'1.1a-Jaarprijzen'!$B$33:$O$51,14,FALSE)*(L124+K124)</f>
        <v>0</v>
      </c>
      <c r="AB124" s="60">
        <f t="shared" si="53"/>
        <v>0</v>
      </c>
      <c r="AD124" s="60" t="str">
        <f t="shared" si="52"/>
        <v>4200-200</v>
      </c>
    </row>
    <row r="125" spans="1:30">
      <c r="A125" s="92">
        <f t="shared" ref="A125:A156" si="54">D125</f>
        <v>1</v>
      </c>
      <c r="B125" s="604"/>
      <c r="C125" s="590"/>
      <c r="D125" s="688">
        <v>1</v>
      </c>
      <c r="E125" s="591" t="s">
        <v>632</v>
      </c>
      <c r="F125" s="592" t="s">
        <v>348</v>
      </c>
      <c r="G125" s="593" t="s">
        <v>375</v>
      </c>
      <c r="H125" s="594" t="s">
        <v>506</v>
      </c>
      <c r="I125" s="595" t="str">
        <f t="shared" si="43"/>
        <v>sanitaire ruimte (toilet-/doucheruimte)</v>
      </c>
      <c r="J125" s="594" t="s">
        <v>640</v>
      </c>
      <c r="K125" s="678">
        <v>7.4652461217954231</v>
      </c>
      <c r="L125" s="678"/>
      <c r="M125" s="606">
        <v>4200</v>
      </c>
      <c r="N125" s="601"/>
      <c r="O125" s="601"/>
      <c r="P125" s="603">
        <f t="shared" si="44"/>
        <v>200</v>
      </c>
      <c r="Q125" s="689">
        <v>1</v>
      </c>
      <c r="R125" s="596">
        <f t="shared" si="45"/>
        <v>0</v>
      </c>
      <c r="S125" s="596">
        <f t="shared" si="46"/>
        <v>0</v>
      </c>
      <c r="T125" s="596">
        <f t="shared" si="47"/>
        <v>0</v>
      </c>
      <c r="U125" s="681">
        <f t="shared" si="48"/>
        <v>0</v>
      </c>
      <c r="V125" s="681">
        <f t="shared" si="49"/>
        <v>0</v>
      </c>
      <c r="W125" s="598">
        <f t="shared" si="50"/>
        <v>0</v>
      </c>
      <c r="X125" s="599" t="str">
        <f t="shared" si="51"/>
        <v>S</v>
      </c>
      <c r="Y125" s="600"/>
      <c r="Z125" s="686" t="e">
        <f>(R125+S125)*'1.0-Contractblad'!$L$98</f>
        <v>#DIV/0!</v>
      </c>
      <c r="AA125" s="687">
        <f ca="1">VLOOKUP(E125,'1.1a-Jaarprijzen'!$B$33:$O$51,14,FALSE)*(L125+K125)</f>
        <v>0</v>
      </c>
      <c r="AB125" s="60">
        <f t="shared" si="53"/>
        <v>0</v>
      </c>
      <c r="AD125" s="60" t="str">
        <f t="shared" si="52"/>
        <v>4200-200</v>
      </c>
    </row>
    <row r="126" spans="1:30">
      <c r="A126" s="92">
        <f t="shared" si="54"/>
        <v>1</v>
      </c>
      <c r="B126" s="604"/>
      <c r="C126" s="590"/>
      <c r="D126" s="688">
        <v>1</v>
      </c>
      <c r="E126" s="591" t="s">
        <v>632</v>
      </c>
      <c r="F126" s="592" t="s">
        <v>348</v>
      </c>
      <c r="G126" s="593" t="s">
        <v>383</v>
      </c>
      <c r="H126" s="594" t="s">
        <v>506</v>
      </c>
      <c r="I126" s="595" t="str">
        <f t="shared" si="43"/>
        <v>sanitaire ruimte (toilet-/doucheruimte)</v>
      </c>
      <c r="J126" s="594" t="s">
        <v>640</v>
      </c>
      <c r="K126" s="678">
        <v>7.8255735954959453</v>
      </c>
      <c r="L126" s="678"/>
      <c r="M126" s="606">
        <v>4200</v>
      </c>
      <c r="N126" s="601"/>
      <c r="O126" s="601"/>
      <c r="P126" s="603">
        <f t="shared" si="44"/>
        <v>200</v>
      </c>
      <c r="Q126" s="689">
        <v>1</v>
      </c>
      <c r="R126" s="596">
        <f t="shared" si="45"/>
        <v>0</v>
      </c>
      <c r="S126" s="596">
        <f t="shared" si="46"/>
        <v>0</v>
      </c>
      <c r="T126" s="596">
        <f t="shared" si="47"/>
        <v>0</v>
      </c>
      <c r="U126" s="681">
        <f t="shared" si="48"/>
        <v>0</v>
      </c>
      <c r="V126" s="681">
        <f t="shared" si="49"/>
        <v>0</v>
      </c>
      <c r="W126" s="598">
        <f t="shared" si="50"/>
        <v>0</v>
      </c>
      <c r="X126" s="599" t="str">
        <f t="shared" si="51"/>
        <v>S</v>
      </c>
      <c r="Y126" s="600"/>
      <c r="Z126" s="686" t="e">
        <f>(R126+S126)*'1.0-Contractblad'!$L$98</f>
        <v>#DIV/0!</v>
      </c>
      <c r="AA126" s="687">
        <f ca="1">VLOOKUP(E126,'1.1a-Jaarprijzen'!$B$33:$O$51,14,FALSE)*(L126+K126)</f>
        <v>0</v>
      </c>
      <c r="AB126" s="60">
        <f t="shared" si="53"/>
        <v>0</v>
      </c>
      <c r="AD126" s="60" t="str">
        <f t="shared" si="52"/>
        <v>4200-200</v>
      </c>
    </row>
    <row r="127" spans="1:30">
      <c r="A127" s="92">
        <f t="shared" si="54"/>
        <v>1</v>
      </c>
      <c r="B127" s="604"/>
      <c r="C127" s="590"/>
      <c r="D127" s="688">
        <v>1</v>
      </c>
      <c r="E127" s="591" t="s">
        <v>632</v>
      </c>
      <c r="F127" s="592" t="s">
        <v>348</v>
      </c>
      <c r="G127" s="593" t="s">
        <v>385</v>
      </c>
      <c r="H127" s="594" t="s">
        <v>322</v>
      </c>
      <c r="I127" s="595" t="str">
        <f t="shared" si="43"/>
        <v>sanitaire ruimte (toilet-/doucheruimte)</v>
      </c>
      <c r="J127" s="594" t="s">
        <v>640</v>
      </c>
      <c r="K127" s="678">
        <v>1.7660941828254846</v>
      </c>
      <c r="L127" s="678"/>
      <c r="M127" s="606">
        <v>4200</v>
      </c>
      <c r="N127" s="601"/>
      <c r="O127" s="601"/>
      <c r="P127" s="603">
        <f t="shared" si="44"/>
        <v>200</v>
      </c>
      <c r="Q127" s="689">
        <v>1</v>
      </c>
      <c r="R127" s="596">
        <f t="shared" si="45"/>
        <v>0</v>
      </c>
      <c r="S127" s="596">
        <f t="shared" si="46"/>
        <v>0</v>
      </c>
      <c r="T127" s="596">
        <f t="shared" si="47"/>
        <v>0</v>
      </c>
      <c r="U127" s="681">
        <f t="shared" si="48"/>
        <v>0</v>
      </c>
      <c r="V127" s="681">
        <f t="shared" si="49"/>
        <v>0</v>
      </c>
      <c r="W127" s="598">
        <f t="shared" si="50"/>
        <v>0</v>
      </c>
      <c r="X127" s="599" t="str">
        <f t="shared" si="51"/>
        <v>S</v>
      </c>
      <c r="Y127" s="600"/>
      <c r="Z127" s="686" t="e">
        <f>(R127+S127)*'1.0-Contractblad'!$L$98</f>
        <v>#DIV/0!</v>
      </c>
      <c r="AA127" s="687">
        <f ca="1">VLOOKUP(E127,'1.1a-Jaarprijzen'!$B$33:$O$51,14,FALSE)*(L127+K127)</f>
        <v>0</v>
      </c>
      <c r="AB127" s="60">
        <f t="shared" si="53"/>
        <v>0</v>
      </c>
      <c r="AD127" s="60" t="str">
        <f t="shared" si="52"/>
        <v>4200-200</v>
      </c>
    </row>
    <row r="128" spans="1:30">
      <c r="A128" s="92">
        <f t="shared" si="54"/>
        <v>1</v>
      </c>
      <c r="B128" s="604"/>
      <c r="C128" s="590"/>
      <c r="D128" s="688">
        <v>1</v>
      </c>
      <c r="E128" s="591" t="s">
        <v>632</v>
      </c>
      <c r="F128" s="592" t="s">
        <v>348</v>
      </c>
      <c r="G128" s="593" t="s">
        <v>396</v>
      </c>
      <c r="H128" s="594" t="s">
        <v>322</v>
      </c>
      <c r="I128" s="595" t="str">
        <f t="shared" si="43"/>
        <v>sanitaire ruimte (toilet-/doucheruimte)</v>
      </c>
      <c r="J128" s="594" t="s">
        <v>640</v>
      </c>
      <c r="K128" s="678">
        <v>1.2576731301939057</v>
      </c>
      <c r="L128" s="678"/>
      <c r="M128" s="606">
        <v>4200</v>
      </c>
      <c r="N128" s="601"/>
      <c r="O128" s="601"/>
      <c r="P128" s="603">
        <f t="shared" si="44"/>
        <v>200</v>
      </c>
      <c r="Q128" s="689">
        <v>1</v>
      </c>
      <c r="R128" s="596">
        <f t="shared" si="45"/>
        <v>0</v>
      </c>
      <c r="S128" s="596">
        <f t="shared" si="46"/>
        <v>0</v>
      </c>
      <c r="T128" s="596">
        <f t="shared" si="47"/>
        <v>0</v>
      </c>
      <c r="U128" s="681">
        <f t="shared" si="48"/>
        <v>0</v>
      </c>
      <c r="V128" s="681">
        <f t="shared" si="49"/>
        <v>0</v>
      </c>
      <c r="W128" s="598">
        <f t="shared" si="50"/>
        <v>0</v>
      </c>
      <c r="X128" s="599" t="str">
        <f t="shared" si="51"/>
        <v>S</v>
      </c>
      <c r="Y128" s="600"/>
      <c r="Z128" s="686" t="e">
        <f>(R128+S128)*'1.0-Contractblad'!$L$98</f>
        <v>#DIV/0!</v>
      </c>
      <c r="AA128" s="687">
        <f ca="1">VLOOKUP(E128,'1.1a-Jaarprijzen'!$B$33:$O$51,14,FALSE)*(L128+K128)</f>
        <v>0</v>
      </c>
      <c r="AB128" s="60">
        <f t="shared" si="53"/>
        <v>0</v>
      </c>
      <c r="AD128" s="60" t="str">
        <f t="shared" si="52"/>
        <v>4200-200</v>
      </c>
    </row>
    <row r="129" spans="1:30">
      <c r="A129" s="92">
        <f t="shared" si="54"/>
        <v>1</v>
      </c>
      <c r="B129" s="604"/>
      <c r="C129" s="590"/>
      <c r="D129" s="688">
        <v>1</v>
      </c>
      <c r="E129" s="591" t="s">
        <v>632</v>
      </c>
      <c r="F129" s="592" t="s">
        <v>348</v>
      </c>
      <c r="G129" s="593" t="s">
        <v>483</v>
      </c>
      <c r="H129" s="594" t="s">
        <v>384</v>
      </c>
      <c r="I129" s="595" t="str">
        <f t="shared" si="43"/>
        <v>sanitaire ruimte (toilet-/doucheruimte)</v>
      </c>
      <c r="J129" s="594" t="s">
        <v>640</v>
      </c>
      <c r="K129" s="678">
        <v>10.167427088313639</v>
      </c>
      <c r="L129" s="678"/>
      <c r="M129" s="606">
        <v>4200</v>
      </c>
      <c r="N129" s="601"/>
      <c r="O129" s="601"/>
      <c r="P129" s="603">
        <f t="shared" si="44"/>
        <v>200</v>
      </c>
      <c r="Q129" s="689">
        <v>1</v>
      </c>
      <c r="R129" s="596">
        <f t="shared" si="45"/>
        <v>0</v>
      </c>
      <c r="S129" s="596">
        <f t="shared" si="46"/>
        <v>0</v>
      </c>
      <c r="T129" s="596">
        <f t="shared" si="47"/>
        <v>0</v>
      </c>
      <c r="U129" s="681">
        <f t="shared" si="48"/>
        <v>0</v>
      </c>
      <c r="V129" s="681">
        <f t="shared" si="49"/>
        <v>0</v>
      </c>
      <c r="W129" s="598">
        <f t="shared" si="50"/>
        <v>0</v>
      </c>
      <c r="X129" s="599" t="str">
        <f t="shared" si="51"/>
        <v>S</v>
      </c>
      <c r="Y129" s="600"/>
      <c r="Z129" s="686" t="e">
        <f>(R129+S129)*'1.0-Contractblad'!$L$98</f>
        <v>#DIV/0!</v>
      </c>
      <c r="AA129" s="687">
        <f ca="1">VLOOKUP(E129,'1.1a-Jaarprijzen'!$B$33:$O$51,14,FALSE)*(L129+K129)</f>
        <v>0</v>
      </c>
      <c r="AB129" s="60">
        <f t="shared" si="53"/>
        <v>0</v>
      </c>
      <c r="AD129" s="60" t="str">
        <f t="shared" si="52"/>
        <v>4200-200</v>
      </c>
    </row>
    <row r="130" spans="1:30">
      <c r="A130" s="92">
        <f t="shared" si="54"/>
        <v>1</v>
      </c>
      <c r="B130" s="604"/>
      <c r="C130" s="590"/>
      <c r="D130" s="688">
        <v>1</v>
      </c>
      <c r="E130" s="591" t="s">
        <v>632</v>
      </c>
      <c r="F130" s="592" t="s">
        <v>348</v>
      </c>
      <c r="G130" s="593" t="s">
        <v>484</v>
      </c>
      <c r="H130" s="594" t="s">
        <v>322</v>
      </c>
      <c r="I130" s="595" t="str">
        <f t="shared" si="43"/>
        <v>sanitaire ruimte (toilet-/doucheruimte)</v>
      </c>
      <c r="J130" s="594" t="s">
        <v>640</v>
      </c>
      <c r="K130" s="678">
        <v>2.6539877127321514</v>
      </c>
      <c r="L130" s="678"/>
      <c r="M130" s="606">
        <v>4200</v>
      </c>
      <c r="N130" s="601"/>
      <c r="O130" s="601"/>
      <c r="P130" s="603">
        <f t="shared" si="44"/>
        <v>200</v>
      </c>
      <c r="Q130" s="689">
        <v>1</v>
      </c>
      <c r="R130" s="596">
        <f t="shared" si="45"/>
        <v>0</v>
      </c>
      <c r="S130" s="596">
        <f t="shared" si="46"/>
        <v>0</v>
      </c>
      <c r="T130" s="596">
        <f t="shared" si="47"/>
        <v>0</v>
      </c>
      <c r="U130" s="681">
        <f t="shared" si="48"/>
        <v>0</v>
      </c>
      <c r="V130" s="681">
        <f t="shared" si="49"/>
        <v>0</v>
      </c>
      <c r="W130" s="598">
        <f t="shared" si="50"/>
        <v>0</v>
      </c>
      <c r="X130" s="599" t="str">
        <f t="shared" si="51"/>
        <v>S</v>
      </c>
      <c r="Y130" s="600"/>
      <c r="Z130" s="686" t="e">
        <f>(R130+S130)*'1.0-Contractblad'!$L$98</f>
        <v>#DIV/0!</v>
      </c>
      <c r="AA130" s="687">
        <f ca="1">VLOOKUP(E130,'1.1a-Jaarprijzen'!$B$33:$O$51,14,FALSE)*(L130+K130)</f>
        <v>0</v>
      </c>
      <c r="AB130" s="60">
        <f t="shared" si="53"/>
        <v>0</v>
      </c>
      <c r="AD130" s="60" t="str">
        <f t="shared" si="52"/>
        <v>4200-200</v>
      </c>
    </row>
    <row r="131" spans="1:30">
      <c r="A131" s="92">
        <f t="shared" si="54"/>
        <v>1</v>
      </c>
      <c r="B131" s="604"/>
      <c r="C131" s="590"/>
      <c r="D131" s="688">
        <v>1</v>
      </c>
      <c r="E131" s="591" t="s">
        <v>632</v>
      </c>
      <c r="F131" s="592" t="s">
        <v>348</v>
      </c>
      <c r="G131" s="593" t="s">
        <v>486</v>
      </c>
      <c r="H131" s="594" t="s">
        <v>322</v>
      </c>
      <c r="I131" s="595" t="str">
        <f t="shared" si="43"/>
        <v>sanitaire ruimte (toilet-/doucheruimte)</v>
      </c>
      <c r="J131" s="594" t="s">
        <v>640</v>
      </c>
      <c r="K131" s="678">
        <v>3.1002620325321164</v>
      </c>
      <c r="L131" s="678"/>
      <c r="M131" s="606">
        <v>4200</v>
      </c>
      <c r="N131" s="601"/>
      <c r="O131" s="601"/>
      <c r="P131" s="603">
        <f t="shared" si="44"/>
        <v>200</v>
      </c>
      <c r="Q131" s="689">
        <v>1</v>
      </c>
      <c r="R131" s="596">
        <f t="shared" si="45"/>
        <v>0</v>
      </c>
      <c r="S131" s="596">
        <f t="shared" si="46"/>
        <v>0</v>
      </c>
      <c r="T131" s="596">
        <f t="shared" si="47"/>
        <v>0</v>
      </c>
      <c r="U131" s="681">
        <f t="shared" si="48"/>
        <v>0</v>
      </c>
      <c r="V131" s="681">
        <f t="shared" si="49"/>
        <v>0</v>
      </c>
      <c r="W131" s="598">
        <f t="shared" si="50"/>
        <v>0</v>
      </c>
      <c r="X131" s="599" t="str">
        <f t="shared" si="51"/>
        <v>S</v>
      </c>
      <c r="Y131" s="600"/>
      <c r="Z131" s="686" t="e">
        <f>(R131+S131)*'1.0-Contractblad'!$L$98</f>
        <v>#DIV/0!</v>
      </c>
      <c r="AA131" s="687">
        <f ca="1">VLOOKUP(E131,'1.1a-Jaarprijzen'!$B$33:$O$51,14,FALSE)*(L131+K131)</f>
        <v>0</v>
      </c>
      <c r="AB131" s="60">
        <f t="shared" si="53"/>
        <v>0</v>
      </c>
      <c r="AD131" s="60" t="str">
        <f t="shared" si="52"/>
        <v>4200-200</v>
      </c>
    </row>
    <row r="132" spans="1:30">
      <c r="A132" s="92">
        <f t="shared" si="54"/>
        <v>1</v>
      </c>
      <c r="B132" s="604"/>
      <c r="C132" s="590"/>
      <c r="D132" s="688">
        <v>1</v>
      </c>
      <c r="E132" s="591" t="s">
        <v>632</v>
      </c>
      <c r="F132" s="592" t="s">
        <v>348</v>
      </c>
      <c r="G132" s="593" t="s">
        <v>365</v>
      </c>
      <c r="H132" s="594" t="s">
        <v>378</v>
      </c>
      <c r="I132" s="595" t="str">
        <f t="shared" si="43"/>
        <v>administratieve -, personeels- en vergaderruimte</v>
      </c>
      <c r="J132" s="594" t="s">
        <v>403</v>
      </c>
      <c r="K132" s="678">
        <v>16.371070304171624</v>
      </c>
      <c r="L132" s="678"/>
      <c r="M132" s="606">
        <v>1040</v>
      </c>
      <c r="N132" s="601"/>
      <c r="O132" s="601"/>
      <c r="P132" s="603">
        <f t="shared" si="44"/>
        <v>40</v>
      </c>
      <c r="Q132" s="689">
        <v>1</v>
      </c>
      <c r="R132" s="596">
        <f t="shared" si="45"/>
        <v>0</v>
      </c>
      <c r="S132" s="596">
        <f t="shared" si="46"/>
        <v>0</v>
      </c>
      <c r="T132" s="596">
        <f t="shared" si="47"/>
        <v>0</v>
      </c>
      <c r="U132" s="681">
        <f t="shared" si="48"/>
        <v>0</v>
      </c>
      <c r="V132" s="681">
        <f t="shared" si="49"/>
        <v>0</v>
      </c>
      <c r="W132" s="598">
        <f t="shared" si="50"/>
        <v>0</v>
      </c>
      <c r="X132" s="599" t="str">
        <f t="shared" si="51"/>
        <v>V</v>
      </c>
      <c r="Y132" s="600"/>
      <c r="Z132" s="686" t="e">
        <f>(R132+S132)*'1.0-Contractblad'!$L$98</f>
        <v>#DIV/0!</v>
      </c>
      <c r="AA132" s="687">
        <f ca="1">VLOOKUP(E132,'1.1a-Jaarprijzen'!$B$33:$O$51,14,FALSE)*(L132+K132)</f>
        <v>0</v>
      </c>
      <c r="AB132" s="60">
        <f t="shared" si="53"/>
        <v>0</v>
      </c>
      <c r="AD132" s="60" t="str">
        <f t="shared" si="52"/>
        <v>1040-40</v>
      </c>
    </row>
    <row r="133" spans="1:30">
      <c r="A133" s="92">
        <f t="shared" si="54"/>
        <v>1</v>
      </c>
      <c r="B133" s="605"/>
      <c r="C133" s="590"/>
      <c r="D133" s="688">
        <v>1</v>
      </c>
      <c r="E133" s="591" t="s">
        <v>632</v>
      </c>
      <c r="F133" s="592" t="s">
        <v>348</v>
      </c>
      <c r="G133" s="593" t="s">
        <v>386</v>
      </c>
      <c r="H133" s="594" t="s">
        <v>519</v>
      </c>
      <c r="I133" s="595" t="str">
        <f t="shared" si="43"/>
        <v>administratieve -, personeels- en vergaderruimte</v>
      </c>
      <c r="J133" s="594" t="s">
        <v>403</v>
      </c>
      <c r="K133" s="678">
        <v>28.164445573603892</v>
      </c>
      <c r="L133" s="678"/>
      <c r="M133" s="606">
        <v>1040</v>
      </c>
      <c r="N133" s="601"/>
      <c r="O133" s="601"/>
      <c r="P133" s="603">
        <f t="shared" si="44"/>
        <v>40</v>
      </c>
      <c r="Q133" s="689">
        <v>1</v>
      </c>
      <c r="R133" s="596">
        <f t="shared" si="45"/>
        <v>0</v>
      </c>
      <c r="S133" s="596">
        <f t="shared" si="46"/>
        <v>0</v>
      </c>
      <c r="T133" s="596">
        <f t="shared" si="47"/>
        <v>0</v>
      </c>
      <c r="U133" s="681">
        <f t="shared" si="48"/>
        <v>0</v>
      </c>
      <c r="V133" s="681">
        <f t="shared" si="49"/>
        <v>0</v>
      </c>
      <c r="W133" s="598">
        <f t="shared" si="50"/>
        <v>0</v>
      </c>
      <c r="X133" s="599" t="str">
        <f t="shared" si="51"/>
        <v>V</v>
      </c>
      <c r="Y133" s="600"/>
      <c r="Z133" s="686" t="e">
        <f>(R133+S133)*'1.0-Contractblad'!$L$98</f>
        <v>#DIV/0!</v>
      </c>
      <c r="AA133" s="687">
        <f ca="1">VLOOKUP(E133,'1.1a-Jaarprijzen'!$B$33:$O$51,14,FALSE)*(L133+K133)</f>
        <v>0</v>
      </c>
      <c r="AB133" s="60">
        <f t="shared" si="53"/>
        <v>0</v>
      </c>
      <c r="AD133" s="60" t="str">
        <f t="shared" si="52"/>
        <v>1040-40</v>
      </c>
    </row>
    <row r="134" spans="1:30">
      <c r="A134" s="92">
        <f t="shared" si="54"/>
        <v>1</v>
      </c>
      <c r="B134" s="605"/>
      <c r="C134" s="590"/>
      <c r="D134" s="688">
        <v>1</v>
      </c>
      <c r="E134" s="591" t="s">
        <v>632</v>
      </c>
      <c r="F134" s="592" t="s">
        <v>348</v>
      </c>
      <c r="G134" s="593" t="s">
        <v>387</v>
      </c>
      <c r="H134" s="594" t="s">
        <v>321</v>
      </c>
      <c r="I134" s="595" t="str">
        <f t="shared" si="43"/>
        <v>pantry, keuken</v>
      </c>
      <c r="J134" s="594" t="s">
        <v>493</v>
      </c>
      <c r="K134" s="678">
        <v>2.3581039474613368</v>
      </c>
      <c r="L134" s="678"/>
      <c r="M134" s="606">
        <v>5200</v>
      </c>
      <c r="N134" s="601"/>
      <c r="O134" s="601"/>
      <c r="P134" s="603">
        <f t="shared" si="44"/>
        <v>200</v>
      </c>
      <c r="Q134" s="689">
        <v>1</v>
      </c>
      <c r="R134" s="596">
        <f t="shared" si="45"/>
        <v>0</v>
      </c>
      <c r="S134" s="596">
        <f t="shared" si="46"/>
        <v>0</v>
      </c>
      <c r="T134" s="596">
        <f t="shared" si="47"/>
        <v>0</v>
      </c>
      <c r="U134" s="681">
        <f t="shared" si="48"/>
        <v>0</v>
      </c>
      <c r="V134" s="681">
        <f t="shared" si="49"/>
        <v>0</v>
      </c>
      <c r="W134" s="598">
        <f t="shared" si="50"/>
        <v>0</v>
      </c>
      <c r="X134" s="599" t="str">
        <f t="shared" si="51"/>
        <v>V</v>
      </c>
      <c r="Y134" s="600"/>
      <c r="Z134" s="686" t="e">
        <f>(R134+S134)*'1.0-Contractblad'!$L$98</f>
        <v>#DIV/0!</v>
      </c>
      <c r="AA134" s="687">
        <f ca="1">VLOOKUP(E134,'1.1a-Jaarprijzen'!$B$33:$O$51,14,FALSE)*(L134+K134)</f>
        <v>0</v>
      </c>
      <c r="AB134" s="60">
        <f t="shared" si="53"/>
        <v>0</v>
      </c>
      <c r="AD134" s="60" t="str">
        <f t="shared" si="52"/>
        <v>5200-200</v>
      </c>
    </row>
    <row r="135" spans="1:30">
      <c r="A135" s="92">
        <f t="shared" si="54"/>
        <v>1</v>
      </c>
      <c r="B135" s="605"/>
      <c r="C135" s="590"/>
      <c r="D135" s="688">
        <v>1</v>
      </c>
      <c r="E135" s="591" t="s">
        <v>632</v>
      </c>
      <c r="F135" s="592" t="s">
        <v>348</v>
      </c>
      <c r="G135" s="593" t="s">
        <v>397</v>
      </c>
      <c r="H135" s="594" t="s">
        <v>366</v>
      </c>
      <c r="I135" s="595" t="str">
        <f t="shared" si="43"/>
        <v>administratieve -, personeels- en vergaderruimte</v>
      </c>
      <c r="J135" s="594" t="s">
        <v>403</v>
      </c>
      <c r="K135" s="678">
        <v>16.650341503478082</v>
      </c>
      <c r="L135" s="678"/>
      <c r="M135" s="606">
        <v>1040</v>
      </c>
      <c r="N135" s="601"/>
      <c r="O135" s="601"/>
      <c r="P135" s="603">
        <f t="shared" si="44"/>
        <v>40</v>
      </c>
      <c r="Q135" s="689">
        <v>1</v>
      </c>
      <c r="R135" s="596">
        <f t="shared" si="45"/>
        <v>0</v>
      </c>
      <c r="S135" s="596">
        <f t="shared" si="46"/>
        <v>0</v>
      </c>
      <c r="T135" s="596">
        <f t="shared" si="47"/>
        <v>0</v>
      </c>
      <c r="U135" s="681">
        <f t="shared" si="48"/>
        <v>0</v>
      </c>
      <c r="V135" s="681">
        <f t="shared" si="49"/>
        <v>0</v>
      </c>
      <c r="W135" s="598">
        <f t="shared" si="50"/>
        <v>0</v>
      </c>
      <c r="X135" s="599" t="str">
        <f t="shared" si="51"/>
        <v>V</v>
      </c>
      <c r="Y135" s="600"/>
      <c r="Z135" s="686" t="e">
        <f>(R135+S135)*'1.0-Contractblad'!$L$98</f>
        <v>#DIV/0!</v>
      </c>
      <c r="AA135" s="687">
        <f ca="1">VLOOKUP(E135,'1.1a-Jaarprijzen'!$B$33:$O$51,14,FALSE)*(L135+K135)</f>
        <v>0</v>
      </c>
      <c r="AB135" s="60">
        <f t="shared" si="53"/>
        <v>0</v>
      </c>
      <c r="AD135" s="60" t="str">
        <f t="shared" si="52"/>
        <v>1040-40</v>
      </c>
    </row>
    <row r="136" spans="1:30">
      <c r="A136" s="92">
        <f t="shared" si="54"/>
        <v>1</v>
      </c>
      <c r="B136" s="605"/>
      <c r="C136" s="590"/>
      <c r="D136" s="688">
        <v>1</v>
      </c>
      <c r="E136" s="591" t="s">
        <v>632</v>
      </c>
      <c r="F136" s="592" t="s">
        <v>348</v>
      </c>
      <c r="G136" s="593" t="s">
        <v>398</v>
      </c>
      <c r="H136" s="594" t="s">
        <v>520</v>
      </c>
      <c r="I136" s="595" t="str">
        <f t="shared" si="43"/>
        <v>niet van toepassing</v>
      </c>
      <c r="J136" s="594" t="s">
        <v>639</v>
      </c>
      <c r="K136" s="678"/>
      <c r="L136" s="678">
        <v>2.0711863568956992</v>
      </c>
      <c r="M136" s="606" t="s">
        <v>27</v>
      </c>
      <c r="N136" s="601"/>
      <c r="O136" s="601"/>
      <c r="P136" s="603">
        <f t="shared" si="44"/>
        <v>0</v>
      </c>
      <c r="Q136" s="689">
        <v>1</v>
      </c>
      <c r="R136" s="596">
        <f t="shared" si="45"/>
        <v>0</v>
      </c>
      <c r="S136" s="596">
        <f t="shared" si="46"/>
        <v>0</v>
      </c>
      <c r="T136" s="596">
        <f t="shared" si="47"/>
        <v>0</v>
      </c>
      <c r="U136" s="681">
        <f t="shared" si="48"/>
        <v>0</v>
      </c>
      <c r="V136" s="681">
        <f t="shared" si="49"/>
        <v>0</v>
      </c>
      <c r="W136" s="598">
        <f t="shared" si="50"/>
        <v>0</v>
      </c>
      <c r="X136" s="599">
        <f t="shared" si="51"/>
        <v>0</v>
      </c>
      <c r="Y136" s="600"/>
      <c r="Z136" s="686" t="e">
        <f>(R136+S136)*'1.0-Contractblad'!$L$98</f>
        <v>#DIV/0!</v>
      </c>
      <c r="AA136" s="687">
        <f ca="1">VLOOKUP(E136,'1.1a-Jaarprijzen'!$B$33:$O$51,14,FALSE)*(L136+K136)</f>
        <v>0</v>
      </c>
      <c r="AB136" s="60">
        <f t="shared" si="53"/>
        <v>0</v>
      </c>
      <c r="AD136" s="60" t="str">
        <f t="shared" si="52"/>
        <v>nvt-0</v>
      </c>
    </row>
    <row r="137" spans="1:30">
      <c r="A137" s="92">
        <f t="shared" si="54"/>
        <v>1</v>
      </c>
      <c r="B137" s="605"/>
      <c r="C137" s="590"/>
      <c r="D137" s="688">
        <v>1</v>
      </c>
      <c r="E137" s="591" t="s">
        <v>632</v>
      </c>
      <c r="F137" s="592" t="s">
        <v>348</v>
      </c>
      <c r="G137" s="593" t="s">
        <v>373</v>
      </c>
      <c r="H137" s="594" t="s">
        <v>360</v>
      </c>
      <c r="I137" s="595" t="str">
        <f t="shared" si="43"/>
        <v>niet van toepassing</v>
      </c>
      <c r="J137" s="594" t="s">
        <v>639</v>
      </c>
      <c r="K137" s="678"/>
      <c r="L137" s="678">
        <v>0.48</v>
      </c>
      <c r="M137" s="606" t="s">
        <v>27</v>
      </c>
      <c r="N137" s="601"/>
      <c r="O137" s="601"/>
      <c r="P137" s="603">
        <f t="shared" si="44"/>
        <v>0</v>
      </c>
      <c r="Q137" s="689">
        <v>1</v>
      </c>
      <c r="R137" s="596">
        <f t="shared" si="45"/>
        <v>0</v>
      </c>
      <c r="S137" s="596">
        <f t="shared" si="46"/>
        <v>0</v>
      </c>
      <c r="T137" s="596">
        <f t="shared" si="47"/>
        <v>0</v>
      </c>
      <c r="U137" s="681">
        <f t="shared" si="48"/>
        <v>0</v>
      </c>
      <c r="V137" s="681">
        <f t="shared" si="49"/>
        <v>0</v>
      </c>
      <c r="W137" s="598">
        <f t="shared" si="50"/>
        <v>0</v>
      </c>
      <c r="X137" s="599">
        <f t="shared" si="51"/>
        <v>0</v>
      </c>
      <c r="Y137" s="600"/>
      <c r="Z137" s="686" t="e">
        <f>(R137+S137)*'1.0-Contractblad'!$L$98</f>
        <v>#DIV/0!</v>
      </c>
      <c r="AA137" s="687">
        <f ca="1">VLOOKUP(E137,'1.1a-Jaarprijzen'!$B$33:$O$51,14,FALSE)*(L137+K137)</f>
        <v>0</v>
      </c>
      <c r="AB137" s="60">
        <f t="shared" si="53"/>
        <v>0</v>
      </c>
      <c r="AD137" s="60" t="str">
        <f t="shared" si="52"/>
        <v>nvt-0</v>
      </c>
    </row>
    <row r="138" spans="1:30">
      <c r="A138" s="92">
        <f t="shared" si="54"/>
        <v>1</v>
      </c>
      <c r="B138" s="605"/>
      <c r="C138" s="590"/>
      <c r="D138" s="688">
        <v>1</v>
      </c>
      <c r="E138" s="591" t="s">
        <v>632</v>
      </c>
      <c r="F138" s="592" t="s">
        <v>348</v>
      </c>
      <c r="G138" s="593" t="s">
        <v>391</v>
      </c>
      <c r="H138" s="594" t="s">
        <v>311</v>
      </c>
      <c r="I138" s="595" t="str">
        <f t="shared" si="43"/>
        <v>niet van toepassing</v>
      </c>
      <c r="J138" s="594" t="s">
        <v>639</v>
      </c>
      <c r="K138" s="678"/>
      <c r="L138" s="678">
        <v>1.7393351800554016</v>
      </c>
      <c r="M138" s="606" t="s">
        <v>27</v>
      </c>
      <c r="N138" s="601"/>
      <c r="O138" s="601"/>
      <c r="P138" s="603">
        <f t="shared" si="44"/>
        <v>0</v>
      </c>
      <c r="Q138" s="689">
        <v>1</v>
      </c>
      <c r="R138" s="596">
        <f t="shared" si="45"/>
        <v>0</v>
      </c>
      <c r="S138" s="596">
        <f t="shared" si="46"/>
        <v>0</v>
      </c>
      <c r="T138" s="596">
        <f t="shared" si="47"/>
        <v>0</v>
      </c>
      <c r="U138" s="681">
        <f t="shared" si="48"/>
        <v>0</v>
      </c>
      <c r="V138" s="681">
        <f t="shared" si="49"/>
        <v>0</v>
      </c>
      <c r="W138" s="598">
        <f t="shared" si="50"/>
        <v>0</v>
      </c>
      <c r="X138" s="599">
        <f t="shared" si="51"/>
        <v>0</v>
      </c>
      <c r="Y138" s="600"/>
      <c r="Z138" s="686" t="e">
        <f>(R138+S138)*'1.0-Contractblad'!$L$98</f>
        <v>#DIV/0!</v>
      </c>
      <c r="AA138" s="687">
        <f ca="1">VLOOKUP(E138,'1.1a-Jaarprijzen'!$B$33:$O$51,14,FALSE)*(L138+K138)</f>
        <v>0</v>
      </c>
      <c r="AB138" s="60">
        <f t="shared" si="53"/>
        <v>0</v>
      </c>
      <c r="AD138" s="60" t="str">
        <f t="shared" si="52"/>
        <v>nvt-0</v>
      </c>
    </row>
    <row r="139" spans="1:30">
      <c r="A139" s="92">
        <f t="shared" si="54"/>
        <v>1</v>
      </c>
      <c r="B139" s="605"/>
      <c r="C139" s="590"/>
      <c r="D139" s="688">
        <v>1</v>
      </c>
      <c r="E139" s="591" t="s">
        <v>632</v>
      </c>
      <c r="F139" s="592" t="s">
        <v>348</v>
      </c>
      <c r="G139" s="593" t="s">
        <v>392</v>
      </c>
      <c r="H139" s="594" t="s">
        <v>521</v>
      </c>
      <c r="I139" s="595" t="str">
        <f t="shared" si="43"/>
        <v>niet van toepassing</v>
      </c>
      <c r="J139" s="594" t="s">
        <v>639</v>
      </c>
      <c r="K139" s="678"/>
      <c r="L139" s="678">
        <v>1.4271468144044321</v>
      </c>
      <c r="M139" s="606" t="s">
        <v>27</v>
      </c>
      <c r="N139" s="601"/>
      <c r="O139" s="601"/>
      <c r="P139" s="603">
        <f t="shared" si="44"/>
        <v>0</v>
      </c>
      <c r="Q139" s="689">
        <v>1</v>
      </c>
      <c r="R139" s="596">
        <f t="shared" si="45"/>
        <v>0</v>
      </c>
      <c r="S139" s="596">
        <f t="shared" si="46"/>
        <v>0</v>
      </c>
      <c r="T139" s="596">
        <f t="shared" si="47"/>
        <v>0</v>
      </c>
      <c r="U139" s="681">
        <f t="shared" si="48"/>
        <v>0</v>
      </c>
      <c r="V139" s="681">
        <f t="shared" si="49"/>
        <v>0</v>
      </c>
      <c r="W139" s="598">
        <f t="shared" si="50"/>
        <v>0</v>
      </c>
      <c r="X139" s="599">
        <f t="shared" si="51"/>
        <v>0</v>
      </c>
      <c r="Y139" s="600"/>
      <c r="Z139" s="686" t="e">
        <f>(R139+S139)*'1.0-Contractblad'!$L$98</f>
        <v>#DIV/0!</v>
      </c>
      <c r="AA139" s="687">
        <f ca="1">VLOOKUP(E139,'1.1a-Jaarprijzen'!$B$33:$O$51,14,FALSE)*(L139+K139)</f>
        <v>0</v>
      </c>
      <c r="AB139" s="60">
        <f t="shared" si="53"/>
        <v>0</v>
      </c>
      <c r="AD139" s="60" t="str">
        <f t="shared" si="52"/>
        <v>nvt-0</v>
      </c>
    </row>
    <row r="140" spans="1:30">
      <c r="A140" s="92">
        <f t="shared" si="54"/>
        <v>1</v>
      </c>
      <c r="B140" s="605"/>
      <c r="C140" s="590"/>
      <c r="D140" s="688">
        <v>1</v>
      </c>
      <c r="E140" s="591" t="s">
        <v>632</v>
      </c>
      <c r="F140" s="592" t="s">
        <v>348</v>
      </c>
      <c r="G140" s="593" t="s">
        <v>364</v>
      </c>
      <c r="H140" s="594" t="s">
        <v>522</v>
      </c>
      <c r="I140" s="595" t="str">
        <f t="shared" si="43"/>
        <v>niet van toepassing</v>
      </c>
      <c r="J140" s="594" t="s">
        <v>639</v>
      </c>
      <c r="K140" s="678"/>
      <c r="L140" s="678">
        <v>10.674569029652462</v>
      </c>
      <c r="M140" s="606" t="s">
        <v>27</v>
      </c>
      <c r="N140" s="601"/>
      <c r="O140" s="601"/>
      <c r="P140" s="603">
        <f t="shared" si="44"/>
        <v>0</v>
      </c>
      <c r="Q140" s="689">
        <v>1</v>
      </c>
      <c r="R140" s="596">
        <f t="shared" si="45"/>
        <v>0</v>
      </c>
      <c r="S140" s="596">
        <f t="shared" si="46"/>
        <v>0</v>
      </c>
      <c r="T140" s="596">
        <f t="shared" si="47"/>
        <v>0</v>
      </c>
      <c r="U140" s="681">
        <f t="shared" si="48"/>
        <v>0</v>
      </c>
      <c r="V140" s="681">
        <f t="shared" si="49"/>
        <v>0</v>
      </c>
      <c r="W140" s="598">
        <f t="shared" si="50"/>
        <v>0</v>
      </c>
      <c r="X140" s="599">
        <f t="shared" si="51"/>
        <v>0</v>
      </c>
      <c r="Y140" s="600"/>
      <c r="Z140" s="686" t="e">
        <f>(R140+S140)*'1.0-Contractblad'!$L$98</f>
        <v>#DIV/0!</v>
      </c>
      <c r="AA140" s="687">
        <f ca="1">VLOOKUP(E140,'1.1a-Jaarprijzen'!$B$33:$O$51,14,FALSE)*(L140+K140)</f>
        <v>0</v>
      </c>
      <c r="AB140" s="60">
        <f t="shared" si="53"/>
        <v>0</v>
      </c>
      <c r="AD140" s="60" t="str">
        <f t="shared" si="52"/>
        <v>nvt-0</v>
      </c>
    </row>
    <row r="141" spans="1:30">
      <c r="A141" s="92">
        <f t="shared" si="54"/>
        <v>1</v>
      </c>
      <c r="B141" s="605"/>
      <c r="C141" s="590"/>
      <c r="D141" s="688">
        <v>1</v>
      </c>
      <c r="E141" s="591" t="s">
        <v>632</v>
      </c>
      <c r="F141" s="592" t="s">
        <v>348</v>
      </c>
      <c r="G141" s="593" t="s">
        <v>357</v>
      </c>
      <c r="H141" s="594" t="s">
        <v>309</v>
      </c>
      <c r="I141" s="595" t="str">
        <f t="shared" si="43"/>
        <v>niet van toepassing</v>
      </c>
      <c r="J141" s="594" t="s">
        <v>639</v>
      </c>
      <c r="K141" s="678"/>
      <c r="L141" s="678">
        <v>12.05192975325577</v>
      </c>
      <c r="M141" s="606" t="s">
        <v>27</v>
      </c>
      <c r="N141" s="601"/>
      <c r="O141" s="601"/>
      <c r="P141" s="603">
        <f t="shared" si="44"/>
        <v>0</v>
      </c>
      <c r="Q141" s="689">
        <v>1</v>
      </c>
      <c r="R141" s="596">
        <f t="shared" si="45"/>
        <v>0</v>
      </c>
      <c r="S141" s="596">
        <f t="shared" si="46"/>
        <v>0</v>
      </c>
      <c r="T141" s="596">
        <f t="shared" si="47"/>
        <v>0</v>
      </c>
      <c r="U141" s="681">
        <f t="shared" si="48"/>
        <v>0</v>
      </c>
      <c r="V141" s="681">
        <f t="shared" si="49"/>
        <v>0</v>
      </c>
      <c r="W141" s="598">
        <f t="shared" si="50"/>
        <v>0</v>
      </c>
      <c r="X141" s="599">
        <f t="shared" si="51"/>
        <v>0</v>
      </c>
      <c r="Y141" s="600"/>
      <c r="Z141" s="686" t="e">
        <f>(R141+S141)*'1.0-Contractblad'!$L$98</f>
        <v>#DIV/0!</v>
      </c>
      <c r="AA141" s="687">
        <f ca="1">VLOOKUP(E141,'1.1a-Jaarprijzen'!$B$33:$O$51,14,FALSE)*(L141+K141)</f>
        <v>0</v>
      </c>
      <c r="AB141" s="60">
        <f t="shared" si="53"/>
        <v>0</v>
      </c>
      <c r="AD141" s="60" t="str">
        <f t="shared" si="52"/>
        <v>nvt-0</v>
      </c>
    </row>
    <row r="142" spans="1:30">
      <c r="A142" s="92">
        <f t="shared" si="54"/>
        <v>1</v>
      </c>
      <c r="B142" s="605"/>
      <c r="C142" s="590"/>
      <c r="D142" s="688">
        <v>1</v>
      </c>
      <c r="E142" s="591" t="s">
        <v>632</v>
      </c>
      <c r="F142" s="592" t="s">
        <v>348</v>
      </c>
      <c r="G142" s="593" t="s">
        <v>358</v>
      </c>
      <c r="H142" s="594" t="s">
        <v>309</v>
      </c>
      <c r="I142" s="595" t="str">
        <f t="shared" si="43"/>
        <v>niet van toepassing</v>
      </c>
      <c r="J142" s="594" t="s">
        <v>639</v>
      </c>
      <c r="K142" s="678"/>
      <c r="L142" s="678">
        <v>6.1391840277777776</v>
      </c>
      <c r="M142" s="606" t="s">
        <v>27</v>
      </c>
      <c r="N142" s="601"/>
      <c r="O142" s="601"/>
      <c r="P142" s="603">
        <f t="shared" si="44"/>
        <v>0</v>
      </c>
      <c r="Q142" s="689">
        <v>1</v>
      </c>
      <c r="R142" s="596">
        <f t="shared" si="45"/>
        <v>0</v>
      </c>
      <c r="S142" s="596">
        <f t="shared" si="46"/>
        <v>0</v>
      </c>
      <c r="T142" s="596">
        <f t="shared" si="47"/>
        <v>0</v>
      </c>
      <c r="U142" s="681">
        <f t="shared" si="48"/>
        <v>0</v>
      </c>
      <c r="V142" s="681">
        <f t="shared" si="49"/>
        <v>0</v>
      </c>
      <c r="W142" s="598">
        <f t="shared" si="50"/>
        <v>0</v>
      </c>
      <c r="X142" s="599">
        <f t="shared" si="51"/>
        <v>0</v>
      </c>
      <c r="Y142" s="600"/>
      <c r="Z142" s="686" t="e">
        <f>(R142+S142)*'1.0-Contractblad'!$L$98</f>
        <v>#DIV/0!</v>
      </c>
      <c r="AA142" s="687">
        <f ca="1">VLOOKUP(E142,'1.1a-Jaarprijzen'!$B$33:$O$51,14,FALSE)*(L142+K142)</f>
        <v>0</v>
      </c>
      <c r="AB142" s="60">
        <f t="shared" si="53"/>
        <v>0</v>
      </c>
      <c r="AD142" s="60" t="str">
        <f t="shared" si="52"/>
        <v>nvt-0</v>
      </c>
    </row>
    <row r="143" spans="1:30">
      <c r="A143" s="92">
        <f t="shared" si="54"/>
        <v>1</v>
      </c>
      <c r="B143" s="605"/>
      <c r="C143" s="590"/>
      <c r="D143" s="688">
        <v>1</v>
      </c>
      <c r="E143" s="591" t="s">
        <v>632</v>
      </c>
      <c r="F143" s="592" t="s">
        <v>348</v>
      </c>
      <c r="G143" s="593" t="s">
        <v>359</v>
      </c>
      <c r="H143" s="594" t="s">
        <v>309</v>
      </c>
      <c r="I143" s="595" t="str">
        <f t="shared" si="43"/>
        <v>niet van toepassing</v>
      </c>
      <c r="J143" s="594" t="s">
        <v>639</v>
      </c>
      <c r="K143" s="678"/>
      <c r="L143" s="678">
        <v>1.0971191135734071</v>
      </c>
      <c r="M143" s="606" t="s">
        <v>27</v>
      </c>
      <c r="N143" s="601"/>
      <c r="O143" s="601"/>
      <c r="P143" s="603">
        <f t="shared" si="44"/>
        <v>0</v>
      </c>
      <c r="Q143" s="689">
        <v>1</v>
      </c>
      <c r="R143" s="596">
        <f t="shared" si="45"/>
        <v>0</v>
      </c>
      <c r="S143" s="596">
        <f t="shared" si="46"/>
        <v>0</v>
      </c>
      <c r="T143" s="596">
        <f t="shared" si="47"/>
        <v>0</v>
      </c>
      <c r="U143" s="681">
        <f t="shared" si="48"/>
        <v>0</v>
      </c>
      <c r="V143" s="681">
        <f t="shared" si="49"/>
        <v>0</v>
      </c>
      <c r="W143" s="598">
        <f t="shared" si="50"/>
        <v>0</v>
      </c>
      <c r="X143" s="599">
        <f t="shared" si="51"/>
        <v>0</v>
      </c>
      <c r="Y143" s="600"/>
      <c r="Z143" s="686" t="e">
        <f>(R143+S143)*'1.0-Contractblad'!$L$98</f>
        <v>#DIV/0!</v>
      </c>
      <c r="AA143" s="687">
        <f ca="1">VLOOKUP(E143,'1.1a-Jaarprijzen'!$B$33:$O$51,14,FALSE)*(L143+K143)</f>
        <v>0</v>
      </c>
      <c r="AB143" s="60">
        <f t="shared" si="53"/>
        <v>0</v>
      </c>
      <c r="AD143" s="60" t="str">
        <f t="shared" si="52"/>
        <v>nvt-0</v>
      </c>
    </row>
    <row r="144" spans="1:30">
      <c r="A144" s="92">
        <f t="shared" si="54"/>
        <v>1</v>
      </c>
      <c r="B144" s="605"/>
      <c r="C144" s="590"/>
      <c r="D144" s="688">
        <v>1</v>
      </c>
      <c r="E144" s="591" t="s">
        <v>632</v>
      </c>
      <c r="F144" s="592" t="s">
        <v>348</v>
      </c>
      <c r="G144" s="593" t="s">
        <v>361</v>
      </c>
      <c r="H144" s="594" t="s">
        <v>309</v>
      </c>
      <c r="I144" s="595" t="str">
        <f t="shared" si="43"/>
        <v>niet van toepassing</v>
      </c>
      <c r="J144" s="594" t="s">
        <v>639</v>
      </c>
      <c r="K144" s="678"/>
      <c r="L144" s="678">
        <v>5.8281076388888895</v>
      </c>
      <c r="M144" s="606" t="s">
        <v>27</v>
      </c>
      <c r="N144" s="601"/>
      <c r="O144" s="601"/>
      <c r="P144" s="603">
        <f t="shared" si="44"/>
        <v>0</v>
      </c>
      <c r="Q144" s="689">
        <v>1</v>
      </c>
      <c r="R144" s="596">
        <f t="shared" si="45"/>
        <v>0</v>
      </c>
      <c r="S144" s="596">
        <f t="shared" si="46"/>
        <v>0</v>
      </c>
      <c r="T144" s="596">
        <f t="shared" si="47"/>
        <v>0</v>
      </c>
      <c r="U144" s="681">
        <f t="shared" si="48"/>
        <v>0</v>
      </c>
      <c r="V144" s="681">
        <f t="shared" si="49"/>
        <v>0</v>
      </c>
      <c r="W144" s="598">
        <f t="shared" si="50"/>
        <v>0</v>
      </c>
      <c r="X144" s="599">
        <f t="shared" si="51"/>
        <v>0</v>
      </c>
      <c r="Y144" s="600"/>
      <c r="Z144" s="686" t="e">
        <f>(R144+S144)*'1.0-Contractblad'!$L$98</f>
        <v>#DIV/0!</v>
      </c>
      <c r="AA144" s="687">
        <f ca="1">VLOOKUP(E144,'1.1a-Jaarprijzen'!$B$33:$O$51,14,FALSE)*(L144+K144)</f>
        <v>0</v>
      </c>
      <c r="AB144" s="60">
        <f t="shared" si="53"/>
        <v>0</v>
      </c>
      <c r="AD144" s="60" t="str">
        <f t="shared" si="52"/>
        <v>nvt-0</v>
      </c>
    </row>
    <row r="145" spans="1:30">
      <c r="A145" s="92">
        <f t="shared" si="54"/>
        <v>1</v>
      </c>
      <c r="B145" s="605"/>
      <c r="C145" s="590"/>
      <c r="D145" s="688">
        <v>1</v>
      </c>
      <c r="E145" s="591" t="s">
        <v>632</v>
      </c>
      <c r="F145" s="592" t="s">
        <v>348</v>
      </c>
      <c r="G145" s="593" t="s">
        <v>362</v>
      </c>
      <c r="H145" s="594" t="s">
        <v>309</v>
      </c>
      <c r="I145" s="595" t="str">
        <f t="shared" si="43"/>
        <v>niet van toepassing</v>
      </c>
      <c r="J145" s="594" t="s">
        <v>639</v>
      </c>
      <c r="K145" s="678"/>
      <c r="L145" s="678">
        <v>7.9272044214114761</v>
      </c>
      <c r="M145" s="606" t="s">
        <v>27</v>
      </c>
      <c r="N145" s="601"/>
      <c r="O145" s="601"/>
      <c r="P145" s="603">
        <f t="shared" si="44"/>
        <v>0</v>
      </c>
      <c r="Q145" s="689">
        <v>1</v>
      </c>
      <c r="R145" s="596">
        <f t="shared" si="45"/>
        <v>0</v>
      </c>
      <c r="S145" s="596">
        <f t="shared" si="46"/>
        <v>0</v>
      </c>
      <c r="T145" s="596">
        <f t="shared" si="47"/>
        <v>0</v>
      </c>
      <c r="U145" s="681">
        <f t="shared" si="48"/>
        <v>0</v>
      </c>
      <c r="V145" s="681">
        <f t="shared" si="49"/>
        <v>0</v>
      </c>
      <c r="W145" s="598">
        <f t="shared" si="50"/>
        <v>0</v>
      </c>
      <c r="X145" s="599">
        <f t="shared" si="51"/>
        <v>0</v>
      </c>
      <c r="Y145" s="600"/>
      <c r="Z145" s="686" t="e">
        <f>(R145+S145)*'1.0-Contractblad'!$L$98</f>
        <v>#DIV/0!</v>
      </c>
      <c r="AA145" s="687">
        <f ca="1">VLOOKUP(E145,'1.1a-Jaarprijzen'!$B$33:$O$51,14,FALSE)*(L145+K145)</f>
        <v>0</v>
      </c>
      <c r="AB145" s="60">
        <f t="shared" si="53"/>
        <v>0</v>
      </c>
      <c r="AD145" s="60" t="str">
        <f t="shared" si="52"/>
        <v>nvt-0</v>
      </c>
    </row>
    <row r="146" spans="1:30">
      <c r="A146" s="92">
        <f t="shared" si="54"/>
        <v>1</v>
      </c>
      <c r="B146" s="605"/>
      <c r="C146" s="590"/>
      <c r="D146" s="688">
        <v>1</v>
      </c>
      <c r="E146" s="591" t="s">
        <v>632</v>
      </c>
      <c r="F146" s="592" t="s">
        <v>348</v>
      </c>
      <c r="G146" s="593" t="s">
        <v>374</v>
      </c>
      <c r="H146" s="594" t="s">
        <v>309</v>
      </c>
      <c r="I146" s="595" t="str">
        <f t="shared" si="43"/>
        <v>niet van toepassing</v>
      </c>
      <c r="J146" s="594" t="s">
        <v>639</v>
      </c>
      <c r="K146" s="678"/>
      <c r="L146" s="678">
        <v>10.768287809544054</v>
      </c>
      <c r="M146" s="606" t="s">
        <v>27</v>
      </c>
      <c r="N146" s="601"/>
      <c r="O146" s="601"/>
      <c r="P146" s="603">
        <f t="shared" si="44"/>
        <v>0</v>
      </c>
      <c r="Q146" s="689">
        <v>1</v>
      </c>
      <c r="R146" s="596">
        <f t="shared" si="45"/>
        <v>0</v>
      </c>
      <c r="S146" s="596">
        <f t="shared" si="46"/>
        <v>0</v>
      </c>
      <c r="T146" s="596">
        <f t="shared" si="47"/>
        <v>0</v>
      </c>
      <c r="U146" s="681">
        <f t="shared" si="48"/>
        <v>0</v>
      </c>
      <c r="V146" s="681">
        <f t="shared" si="49"/>
        <v>0</v>
      </c>
      <c r="W146" s="598">
        <f t="shared" si="50"/>
        <v>0</v>
      </c>
      <c r="X146" s="599">
        <f t="shared" si="51"/>
        <v>0</v>
      </c>
      <c r="Y146" s="600"/>
      <c r="Z146" s="686" t="e">
        <f>(R146+S146)*'1.0-Contractblad'!$L$98</f>
        <v>#DIV/0!</v>
      </c>
      <c r="AA146" s="687">
        <f ca="1">VLOOKUP(E146,'1.1a-Jaarprijzen'!$B$33:$O$51,14,FALSE)*(L146+K146)</f>
        <v>0</v>
      </c>
      <c r="AB146" s="60">
        <f t="shared" si="53"/>
        <v>0</v>
      </c>
      <c r="AD146" s="60" t="str">
        <f t="shared" si="52"/>
        <v>nvt-0</v>
      </c>
    </row>
    <row r="147" spans="1:30">
      <c r="A147" s="92">
        <f t="shared" si="54"/>
        <v>1</v>
      </c>
      <c r="B147" s="605"/>
      <c r="C147" s="590"/>
      <c r="D147" s="688">
        <v>1</v>
      </c>
      <c r="E147" s="591" t="s">
        <v>632</v>
      </c>
      <c r="F147" s="592" t="s">
        <v>348</v>
      </c>
      <c r="G147" s="593" t="s">
        <v>388</v>
      </c>
      <c r="H147" s="594" t="s">
        <v>309</v>
      </c>
      <c r="I147" s="595" t="str">
        <f t="shared" si="43"/>
        <v>niet van toepassing</v>
      </c>
      <c r="J147" s="594" t="s">
        <v>639</v>
      </c>
      <c r="K147" s="678"/>
      <c r="L147" s="678">
        <v>6.239826388888889</v>
      </c>
      <c r="M147" s="606" t="s">
        <v>27</v>
      </c>
      <c r="N147" s="601"/>
      <c r="O147" s="601"/>
      <c r="P147" s="603">
        <f t="shared" si="44"/>
        <v>0</v>
      </c>
      <c r="Q147" s="689">
        <v>1</v>
      </c>
      <c r="R147" s="596">
        <f t="shared" si="45"/>
        <v>0</v>
      </c>
      <c r="S147" s="596">
        <f t="shared" si="46"/>
        <v>0</v>
      </c>
      <c r="T147" s="596">
        <f t="shared" si="47"/>
        <v>0</v>
      </c>
      <c r="U147" s="681">
        <f t="shared" si="48"/>
        <v>0</v>
      </c>
      <c r="V147" s="681">
        <f t="shared" si="49"/>
        <v>0</v>
      </c>
      <c r="W147" s="598">
        <f t="shared" si="50"/>
        <v>0</v>
      </c>
      <c r="X147" s="599">
        <f t="shared" si="51"/>
        <v>0</v>
      </c>
      <c r="Y147" s="600"/>
      <c r="Z147" s="686" t="e">
        <f>(R147+S147)*'1.0-Contractblad'!$L$98</f>
        <v>#DIV/0!</v>
      </c>
      <c r="AA147" s="687">
        <f ca="1">VLOOKUP(E147,'1.1a-Jaarprijzen'!$B$33:$O$51,14,FALSE)*(L147+K147)</f>
        <v>0</v>
      </c>
      <c r="AB147" s="60">
        <f t="shared" si="53"/>
        <v>0</v>
      </c>
      <c r="AD147" s="60" t="str">
        <f t="shared" si="52"/>
        <v>nvt-0</v>
      </c>
    </row>
    <row r="148" spans="1:30">
      <c r="A148" s="92">
        <f t="shared" si="54"/>
        <v>1</v>
      </c>
      <c r="B148" s="605"/>
      <c r="C148" s="590"/>
      <c r="D148" s="688">
        <v>1</v>
      </c>
      <c r="E148" s="591" t="s">
        <v>632</v>
      </c>
      <c r="F148" s="592" t="s">
        <v>348</v>
      </c>
      <c r="G148" s="593" t="s">
        <v>481</v>
      </c>
      <c r="H148" s="594" t="s">
        <v>309</v>
      </c>
      <c r="I148" s="595" t="str">
        <f t="shared" si="43"/>
        <v>niet van toepassing</v>
      </c>
      <c r="J148" s="594" t="s">
        <v>639</v>
      </c>
      <c r="K148" s="678"/>
      <c r="L148" s="678">
        <v>1.7214958448753461</v>
      </c>
      <c r="M148" s="606" t="s">
        <v>27</v>
      </c>
      <c r="N148" s="601"/>
      <c r="O148" s="601"/>
      <c r="P148" s="603">
        <f t="shared" si="44"/>
        <v>0</v>
      </c>
      <c r="Q148" s="689">
        <v>1</v>
      </c>
      <c r="R148" s="596">
        <f t="shared" si="45"/>
        <v>0</v>
      </c>
      <c r="S148" s="596">
        <f t="shared" si="46"/>
        <v>0</v>
      </c>
      <c r="T148" s="596">
        <f t="shared" si="47"/>
        <v>0</v>
      </c>
      <c r="U148" s="681">
        <f t="shared" si="48"/>
        <v>0</v>
      </c>
      <c r="V148" s="681">
        <f t="shared" si="49"/>
        <v>0</v>
      </c>
      <c r="W148" s="598">
        <f t="shared" si="50"/>
        <v>0</v>
      </c>
      <c r="X148" s="599">
        <f t="shared" si="51"/>
        <v>0</v>
      </c>
      <c r="Y148" s="600"/>
      <c r="Z148" s="686" t="e">
        <f>(R148+S148)*'1.0-Contractblad'!$L$98</f>
        <v>#DIV/0!</v>
      </c>
      <c r="AA148" s="687">
        <f ca="1">VLOOKUP(E148,'1.1a-Jaarprijzen'!$B$33:$O$51,14,FALSE)*(L148+K148)</f>
        <v>0</v>
      </c>
      <c r="AB148" s="60">
        <f t="shared" si="53"/>
        <v>0</v>
      </c>
      <c r="AD148" s="60" t="str">
        <f t="shared" si="52"/>
        <v>nvt-0</v>
      </c>
    </row>
    <row r="149" spans="1:30">
      <c r="A149" s="92">
        <f t="shared" si="54"/>
        <v>1</v>
      </c>
      <c r="B149" s="605"/>
      <c r="C149" s="590"/>
      <c r="D149" s="688">
        <v>1</v>
      </c>
      <c r="E149" s="591" t="s">
        <v>632</v>
      </c>
      <c r="F149" s="592" t="s">
        <v>348</v>
      </c>
      <c r="G149" s="593" t="s">
        <v>482</v>
      </c>
      <c r="H149" s="594" t="s">
        <v>309</v>
      </c>
      <c r="I149" s="595" t="str">
        <f t="shared" si="43"/>
        <v>niet van toepassing</v>
      </c>
      <c r="J149" s="594" t="s">
        <v>639</v>
      </c>
      <c r="K149" s="678"/>
      <c r="L149" s="678">
        <v>5.672569444444445</v>
      </c>
      <c r="M149" s="606" t="s">
        <v>27</v>
      </c>
      <c r="N149" s="601"/>
      <c r="O149" s="601"/>
      <c r="P149" s="603">
        <f t="shared" si="44"/>
        <v>0</v>
      </c>
      <c r="Q149" s="689">
        <v>1</v>
      </c>
      <c r="R149" s="596">
        <f t="shared" si="45"/>
        <v>0</v>
      </c>
      <c r="S149" s="596">
        <f t="shared" si="46"/>
        <v>0</v>
      </c>
      <c r="T149" s="596">
        <f t="shared" si="47"/>
        <v>0</v>
      </c>
      <c r="U149" s="681">
        <f t="shared" si="48"/>
        <v>0</v>
      </c>
      <c r="V149" s="681">
        <f t="shared" si="49"/>
        <v>0</v>
      </c>
      <c r="W149" s="598">
        <f t="shared" si="50"/>
        <v>0</v>
      </c>
      <c r="X149" s="599">
        <f t="shared" si="51"/>
        <v>0</v>
      </c>
      <c r="Y149" s="600"/>
      <c r="Z149" s="686" t="e">
        <f>(R149+S149)*'1.0-Contractblad'!$L$98</f>
        <v>#DIV/0!</v>
      </c>
      <c r="AA149" s="687">
        <f ca="1">VLOOKUP(E149,'1.1a-Jaarprijzen'!$B$33:$O$51,14,FALSE)*(L149+K149)</f>
        <v>0</v>
      </c>
      <c r="AB149" s="60">
        <f t="shared" si="53"/>
        <v>0</v>
      </c>
      <c r="AD149" s="60" t="str">
        <f t="shared" si="52"/>
        <v>nvt-0</v>
      </c>
    </row>
    <row r="150" spans="1:30">
      <c r="A150" s="92">
        <f t="shared" si="54"/>
        <v>1</v>
      </c>
      <c r="B150" s="605"/>
      <c r="C150" s="590"/>
      <c r="D150" s="688">
        <v>1</v>
      </c>
      <c r="E150" s="591" t="s">
        <v>632</v>
      </c>
      <c r="F150" s="592" t="s">
        <v>348</v>
      </c>
      <c r="G150" s="593" t="s">
        <v>523</v>
      </c>
      <c r="H150" s="594" t="s">
        <v>309</v>
      </c>
      <c r="I150" s="595" t="str">
        <f t="shared" si="43"/>
        <v>niet van toepassing</v>
      </c>
      <c r="J150" s="594" t="s">
        <v>639</v>
      </c>
      <c r="K150" s="678"/>
      <c r="L150" s="678">
        <v>4.5519763250683178</v>
      </c>
      <c r="M150" s="606" t="s">
        <v>27</v>
      </c>
      <c r="N150" s="601"/>
      <c r="O150" s="601"/>
      <c r="P150" s="603">
        <f t="shared" si="44"/>
        <v>0</v>
      </c>
      <c r="Q150" s="689">
        <v>1</v>
      </c>
      <c r="R150" s="596">
        <f t="shared" si="45"/>
        <v>0</v>
      </c>
      <c r="S150" s="596">
        <f t="shared" si="46"/>
        <v>0</v>
      </c>
      <c r="T150" s="596">
        <f t="shared" si="47"/>
        <v>0</v>
      </c>
      <c r="U150" s="681">
        <f t="shared" si="48"/>
        <v>0</v>
      </c>
      <c r="V150" s="681">
        <f t="shared" si="49"/>
        <v>0</v>
      </c>
      <c r="W150" s="598">
        <f t="shared" si="50"/>
        <v>0</v>
      </c>
      <c r="X150" s="599">
        <f t="shared" si="51"/>
        <v>0</v>
      </c>
      <c r="Y150" s="600"/>
      <c r="Z150" s="686" t="e">
        <f>(R150+S150)*'1.0-Contractblad'!$L$98</f>
        <v>#DIV/0!</v>
      </c>
      <c r="AA150" s="687">
        <f ca="1">VLOOKUP(E150,'1.1a-Jaarprijzen'!$B$33:$O$51,14,FALSE)*(L150+K150)</f>
        <v>0</v>
      </c>
      <c r="AB150" s="60">
        <f t="shared" si="53"/>
        <v>0</v>
      </c>
      <c r="AD150" s="60" t="str">
        <f t="shared" si="52"/>
        <v>nvt-0</v>
      </c>
    </row>
    <row r="151" spans="1:30">
      <c r="A151" s="92">
        <f t="shared" si="54"/>
        <v>1</v>
      </c>
      <c r="B151" s="605"/>
      <c r="C151" s="590"/>
      <c r="D151" s="688">
        <v>1</v>
      </c>
      <c r="E151" s="591" t="s">
        <v>632</v>
      </c>
      <c r="F151" s="592" t="s">
        <v>348</v>
      </c>
      <c r="G151" s="593" t="s">
        <v>492</v>
      </c>
      <c r="H151" s="594" t="s">
        <v>399</v>
      </c>
      <c r="I151" s="595" t="str">
        <f t="shared" si="43"/>
        <v>speellokaal (berging)</v>
      </c>
      <c r="J151" s="594" t="s">
        <v>641</v>
      </c>
      <c r="K151" s="678">
        <v>9.1165719772471032</v>
      </c>
      <c r="L151" s="678"/>
      <c r="M151" s="606">
        <v>8005</v>
      </c>
      <c r="N151" s="601"/>
      <c r="O151" s="601"/>
      <c r="P151" s="603">
        <f t="shared" si="44"/>
        <v>5</v>
      </c>
      <c r="Q151" s="689">
        <v>1</v>
      </c>
      <c r="R151" s="596">
        <f t="shared" si="45"/>
        <v>0</v>
      </c>
      <c r="S151" s="596">
        <f t="shared" si="46"/>
        <v>0</v>
      </c>
      <c r="T151" s="596">
        <f t="shared" si="47"/>
        <v>0</v>
      </c>
      <c r="U151" s="681">
        <f t="shared" si="48"/>
        <v>0</v>
      </c>
      <c r="V151" s="681">
        <f t="shared" si="49"/>
        <v>0</v>
      </c>
      <c r="W151" s="598">
        <f t="shared" si="50"/>
        <v>0</v>
      </c>
      <c r="X151" s="599" t="str">
        <f t="shared" si="51"/>
        <v>L</v>
      </c>
      <c r="Y151" s="600"/>
      <c r="Z151" s="686" t="e">
        <f>(R151+S151)*'1.0-Contractblad'!$L$98</f>
        <v>#DIV/0!</v>
      </c>
      <c r="AA151" s="687">
        <f ca="1">VLOOKUP(E151,'1.1a-Jaarprijzen'!$B$33:$O$51,14,FALSE)*(L151+K151)</f>
        <v>0</v>
      </c>
      <c r="AB151" s="60">
        <f t="shared" si="53"/>
        <v>0</v>
      </c>
      <c r="AD151" s="60" t="str">
        <f t="shared" si="52"/>
        <v>8005-5</v>
      </c>
    </row>
    <row r="152" spans="1:30">
      <c r="A152" s="92">
        <f t="shared" si="54"/>
        <v>1</v>
      </c>
      <c r="B152" s="589"/>
      <c r="C152" s="590"/>
      <c r="D152" s="688">
        <v>1</v>
      </c>
      <c r="E152" s="591" t="s">
        <v>632</v>
      </c>
      <c r="F152" s="592" t="s">
        <v>348</v>
      </c>
      <c r="G152" s="593" t="s">
        <v>524</v>
      </c>
      <c r="H152" s="594" t="s">
        <v>309</v>
      </c>
      <c r="I152" s="595" t="str">
        <f t="shared" si="43"/>
        <v>niet van toepassing</v>
      </c>
      <c r="J152" s="594" t="s">
        <v>639</v>
      </c>
      <c r="K152" s="678"/>
      <c r="L152" s="678">
        <v>11.910696201459803</v>
      </c>
      <c r="M152" s="606" t="s">
        <v>27</v>
      </c>
      <c r="N152" s="601"/>
      <c r="O152" s="602"/>
      <c r="P152" s="603">
        <f t="shared" si="44"/>
        <v>0</v>
      </c>
      <c r="Q152" s="689">
        <v>1</v>
      </c>
      <c r="R152" s="596">
        <f t="shared" si="45"/>
        <v>0</v>
      </c>
      <c r="S152" s="596">
        <f t="shared" si="46"/>
        <v>0</v>
      </c>
      <c r="T152" s="596">
        <f t="shared" si="47"/>
        <v>0</v>
      </c>
      <c r="U152" s="681">
        <f t="shared" si="48"/>
        <v>0</v>
      </c>
      <c r="V152" s="681">
        <f t="shared" si="49"/>
        <v>0</v>
      </c>
      <c r="W152" s="598">
        <f t="shared" si="50"/>
        <v>0</v>
      </c>
      <c r="X152" s="599">
        <f t="shared" si="51"/>
        <v>0</v>
      </c>
      <c r="Y152" s="600"/>
      <c r="Z152" s="686" t="e">
        <f>(R152+S152)*'1.0-Contractblad'!$L$98</f>
        <v>#DIV/0!</v>
      </c>
      <c r="AA152" s="687">
        <f ca="1">VLOOKUP(E152,'1.1a-Jaarprijzen'!$B$33:$O$51,14,FALSE)*(L152+K152)</f>
        <v>0</v>
      </c>
      <c r="AB152" s="60">
        <f t="shared" si="53"/>
        <v>0</v>
      </c>
      <c r="AD152" s="60" t="str">
        <f t="shared" si="52"/>
        <v>nvt-0</v>
      </c>
    </row>
    <row r="153" spans="1:30">
      <c r="A153" s="92">
        <f t="shared" si="54"/>
        <v>1</v>
      </c>
      <c r="B153" s="605"/>
      <c r="C153" s="590"/>
      <c r="D153" s="688">
        <v>1</v>
      </c>
      <c r="E153" s="591" t="s">
        <v>632</v>
      </c>
      <c r="F153" s="592" t="s">
        <v>348</v>
      </c>
      <c r="G153" s="593" t="s">
        <v>525</v>
      </c>
      <c r="H153" s="594" t="s">
        <v>320</v>
      </c>
      <c r="I153" s="595" t="str">
        <f t="shared" si="43"/>
        <v>leslokaal</v>
      </c>
      <c r="J153" s="594" t="s">
        <v>493</v>
      </c>
      <c r="K153" s="678">
        <v>59.431175072530273</v>
      </c>
      <c r="L153" s="678"/>
      <c r="M153" s="606">
        <v>7200</v>
      </c>
      <c r="N153" s="601"/>
      <c r="O153" s="601"/>
      <c r="P153" s="603">
        <f t="shared" si="44"/>
        <v>200</v>
      </c>
      <c r="Q153" s="689">
        <v>1</v>
      </c>
      <c r="R153" s="596">
        <f t="shared" si="45"/>
        <v>0</v>
      </c>
      <c r="S153" s="596">
        <f t="shared" si="46"/>
        <v>0</v>
      </c>
      <c r="T153" s="596">
        <f t="shared" si="47"/>
        <v>0</v>
      </c>
      <c r="U153" s="681">
        <f t="shared" si="48"/>
        <v>0</v>
      </c>
      <c r="V153" s="681">
        <f t="shared" si="49"/>
        <v>0</v>
      </c>
      <c r="W153" s="598">
        <f t="shared" si="50"/>
        <v>0</v>
      </c>
      <c r="X153" s="599" t="str">
        <f t="shared" si="51"/>
        <v>L</v>
      </c>
      <c r="Y153" s="600"/>
      <c r="Z153" s="686" t="e">
        <f>(R153+S153)*'1.0-Contractblad'!$L$98</f>
        <v>#DIV/0!</v>
      </c>
      <c r="AA153" s="687">
        <f ca="1">VLOOKUP(E153,'1.1a-Jaarprijzen'!$B$33:$O$51,14,FALSE)*(L153+K153)</f>
        <v>0</v>
      </c>
      <c r="AB153" s="60">
        <f t="shared" si="53"/>
        <v>0</v>
      </c>
      <c r="AD153" s="60" t="str">
        <f t="shared" si="52"/>
        <v>7200-200</v>
      </c>
    </row>
    <row r="154" spans="1:30">
      <c r="A154" s="92">
        <f t="shared" si="54"/>
        <v>1</v>
      </c>
      <c r="B154" s="605"/>
      <c r="C154" s="590"/>
      <c r="D154" s="688">
        <v>1</v>
      </c>
      <c r="E154" s="591" t="s">
        <v>632</v>
      </c>
      <c r="F154" s="592" t="s">
        <v>348</v>
      </c>
      <c r="G154" s="593" t="s">
        <v>526</v>
      </c>
      <c r="H154" s="594" t="s">
        <v>320</v>
      </c>
      <c r="I154" s="595" t="str">
        <f t="shared" si="43"/>
        <v>leslokaal</v>
      </c>
      <c r="J154" s="594" t="s">
        <v>493</v>
      </c>
      <c r="K154" s="678">
        <v>59.245818485797166</v>
      </c>
      <c r="L154" s="678"/>
      <c r="M154" s="606">
        <v>7200</v>
      </c>
      <c r="N154" s="601"/>
      <c r="O154" s="601"/>
      <c r="P154" s="603">
        <f t="shared" si="44"/>
        <v>200</v>
      </c>
      <c r="Q154" s="689">
        <v>1</v>
      </c>
      <c r="R154" s="596">
        <f t="shared" si="45"/>
        <v>0</v>
      </c>
      <c r="S154" s="596">
        <f t="shared" si="46"/>
        <v>0</v>
      </c>
      <c r="T154" s="596">
        <f t="shared" si="47"/>
        <v>0</v>
      </c>
      <c r="U154" s="681">
        <f t="shared" si="48"/>
        <v>0</v>
      </c>
      <c r="V154" s="681">
        <f t="shared" si="49"/>
        <v>0</v>
      </c>
      <c r="W154" s="598">
        <f t="shared" si="50"/>
        <v>0</v>
      </c>
      <c r="X154" s="599" t="str">
        <f t="shared" si="51"/>
        <v>L</v>
      </c>
      <c r="Y154" s="600"/>
      <c r="Z154" s="686" t="e">
        <f>(R154+S154)*'1.0-Contractblad'!$L$98</f>
        <v>#DIV/0!</v>
      </c>
      <c r="AA154" s="687">
        <f ca="1">VLOOKUP(E154,'1.1a-Jaarprijzen'!$B$33:$O$51,14,FALSE)*(L154+K154)</f>
        <v>0</v>
      </c>
      <c r="AB154" s="60">
        <f t="shared" si="53"/>
        <v>0</v>
      </c>
      <c r="AD154" s="60" t="str">
        <f t="shared" si="52"/>
        <v>7200-200</v>
      </c>
    </row>
    <row r="155" spans="1:30">
      <c r="A155" s="92">
        <f t="shared" si="54"/>
        <v>1</v>
      </c>
      <c r="B155" s="605"/>
      <c r="C155" s="590"/>
      <c r="D155" s="688">
        <v>1</v>
      </c>
      <c r="E155" s="591" t="s">
        <v>632</v>
      </c>
      <c r="F155" s="592" t="s">
        <v>348</v>
      </c>
      <c r="G155" s="593" t="s">
        <v>527</v>
      </c>
      <c r="H155" s="594" t="s">
        <v>320</v>
      </c>
      <c r="I155" s="595" t="str">
        <f t="shared" si="43"/>
        <v>leslokaal</v>
      </c>
      <c r="J155" s="594" t="s">
        <v>493</v>
      </c>
      <c r="K155" s="678">
        <v>59.158017997344643</v>
      </c>
      <c r="L155" s="678"/>
      <c r="M155" s="606">
        <v>7200</v>
      </c>
      <c r="N155" s="601"/>
      <c r="O155" s="601"/>
      <c r="P155" s="603">
        <f t="shared" si="44"/>
        <v>200</v>
      </c>
      <c r="Q155" s="689">
        <v>1</v>
      </c>
      <c r="R155" s="596">
        <f t="shared" si="45"/>
        <v>0</v>
      </c>
      <c r="S155" s="596">
        <f t="shared" si="46"/>
        <v>0</v>
      </c>
      <c r="T155" s="596">
        <f t="shared" si="47"/>
        <v>0</v>
      </c>
      <c r="U155" s="681">
        <f t="shared" si="48"/>
        <v>0</v>
      </c>
      <c r="V155" s="681">
        <f t="shared" si="49"/>
        <v>0</v>
      </c>
      <c r="W155" s="598">
        <f t="shared" si="50"/>
        <v>0</v>
      </c>
      <c r="X155" s="599" t="str">
        <f t="shared" si="51"/>
        <v>L</v>
      </c>
      <c r="Y155" s="600"/>
      <c r="Z155" s="686" t="e">
        <f>(R155+S155)*'1.0-Contractblad'!$L$98</f>
        <v>#DIV/0!</v>
      </c>
      <c r="AA155" s="687">
        <f ca="1">VLOOKUP(E155,'1.1a-Jaarprijzen'!$B$33:$O$51,14,FALSE)*(L155+K155)</f>
        <v>0</v>
      </c>
      <c r="AB155" s="60">
        <f t="shared" si="53"/>
        <v>0</v>
      </c>
      <c r="AD155" s="60" t="str">
        <f t="shared" si="52"/>
        <v>7200-200</v>
      </c>
    </row>
    <row r="156" spans="1:30">
      <c r="A156" s="92">
        <f t="shared" si="54"/>
        <v>1</v>
      </c>
      <c r="B156" s="605"/>
      <c r="C156" s="590"/>
      <c r="D156" s="688">
        <v>1</v>
      </c>
      <c r="E156" s="591" t="s">
        <v>632</v>
      </c>
      <c r="F156" s="592" t="s">
        <v>348</v>
      </c>
      <c r="G156" s="593" t="s">
        <v>528</v>
      </c>
      <c r="H156" s="594" t="s">
        <v>320</v>
      </c>
      <c r="I156" s="595" t="str">
        <f t="shared" si="43"/>
        <v>leslokaal</v>
      </c>
      <c r="J156" s="594" t="s">
        <v>493</v>
      </c>
      <c r="K156" s="678">
        <v>60.865249717254819</v>
      </c>
      <c r="L156" s="678"/>
      <c r="M156" s="606">
        <v>7200</v>
      </c>
      <c r="N156" s="601"/>
      <c r="O156" s="601"/>
      <c r="P156" s="603">
        <f t="shared" si="44"/>
        <v>200</v>
      </c>
      <c r="Q156" s="689">
        <v>1</v>
      </c>
      <c r="R156" s="596">
        <f t="shared" si="45"/>
        <v>0</v>
      </c>
      <c r="S156" s="596">
        <f t="shared" si="46"/>
        <v>0</v>
      </c>
      <c r="T156" s="596">
        <f t="shared" si="47"/>
        <v>0</v>
      </c>
      <c r="U156" s="681">
        <f t="shared" si="48"/>
        <v>0</v>
      </c>
      <c r="V156" s="681">
        <f t="shared" si="49"/>
        <v>0</v>
      </c>
      <c r="W156" s="598">
        <f t="shared" si="50"/>
        <v>0</v>
      </c>
      <c r="X156" s="599" t="str">
        <f t="shared" si="51"/>
        <v>L</v>
      </c>
      <c r="Y156" s="600"/>
      <c r="Z156" s="686" t="e">
        <f>(R156+S156)*'1.0-Contractblad'!$L$98</f>
        <v>#DIV/0!</v>
      </c>
      <c r="AA156" s="687">
        <f ca="1">VLOOKUP(E156,'1.1a-Jaarprijzen'!$B$33:$O$51,14,FALSE)*(L156+K156)</f>
        <v>0</v>
      </c>
      <c r="AB156" s="60">
        <f t="shared" si="53"/>
        <v>0</v>
      </c>
      <c r="AD156" s="60" t="str">
        <f t="shared" si="52"/>
        <v>7200-200</v>
      </c>
    </row>
    <row r="157" spans="1:30">
      <c r="A157" s="92">
        <f t="shared" ref="A157:A188" si="55">D157</f>
        <v>1</v>
      </c>
      <c r="B157" s="605"/>
      <c r="C157" s="590"/>
      <c r="D157" s="688">
        <v>1</v>
      </c>
      <c r="E157" s="591" t="s">
        <v>632</v>
      </c>
      <c r="F157" s="592" t="s">
        <v>348</v>
      </c>
      <c r="G157" s="593" t="s">
        <v>529</v>
      </c>
      <c r="H157" s="594" t="s">
        <v>320</v>
      </c>
      <c r="I157" s="595" t="str">
        <f t="shared" ref="I157:I195" si="56">IF($M157="",0,VLOOKUP($M157,Kengetal,4,FALSE))</f>
        <v>leslokaal</v>
      </c>
      <c r="J157" s="594" t="s">
        <v>493</v>
      </c>
      <c r="K157" s="678">
        <v>71.235462964480632</v>
      </c>
      <c r="L157" s="678"/>
      <c r="M157" s="606">
        <v>7200</v>
      </c>
      <c r="N157" s="601"/>
      <c r="O157" s="601"/>
      <c r="P157" s="603">
        <f t="shared" ref="P157:P195" si="57">VLOOKUP(M157,Kengetal,3,FALSE)+VLOOKUP(N157,Kengetal,3,FALSE)+VLOOKUP(O157,Kengetal,3,FALSE)</f>
        <v>200</v>
      </c>
      <c r="Q157" s="689">
        <v>1</v>
      </c>
      <c r="R157" s="596">
        <f t="shared" ref="R157:R195" si="58">U157*K157*Q157</f>
        <v>0</v>
      </c>
      <c r="S157" s="596">
        <f t="shared" ref="S157:S195" si="59">V157*K157*Q157</f>
        <v>0</v>
      </c>
      <c r="T157" s="596">
        <f t="shared" ref="T157:T195" si="60">W157*K157*Q157</f>
        <v>0</v>
      </c>
      <c r="U157" s="681">
        <f t="shared" ref="U157:U195" si="61">VLOOKUP($M157,Kengetal,6,FALSE)</f>
        <v>0</v>
      </c>
      <c r="V157" s="681">
        <f t="shared" ref="V157:V195" si="62">VLOOKUP($M157,Kengetal,7,FALSE)</f>
        <v>0</v>
      </c>
      <c r="W157" s="598">
        <f t="shared" ref="W157:W195" si="63">VLOOKUP($O157,Kengetal,7,FALSE)</f>
        <v>0</v>
      </c>
      <c r="X157" s="599" t="str">
        <f t="shared" ref="X157:X195" si="64">IF(M157="","",VLOOKUP(M157,Kengetal,14,FALSE))</f>
        <v>L</v>
      </c>
      <c r="Y157" s="600"/>
      <c r="Z157" s="686" t="e">
        <f>(R157+S157)*'1.0-Contractblad'!$L$98</f>
        <v>#DIV/0!</v>
      </c>
      <c r="AA157" s="687">
        <f ca="1">VLOOKUP(E157,'1.1a-Jaarprijzen'!$B$33:$O$51,14,FALSE)*(L157+K157)</f>
        <v>0</v>
      </c>
      <c r="AB157" s="60">
        <f t="shared" si="53"/>
        <v>0</v>
      </c>
      <c r="AD157" s="60" t="str">
        <f t="shared" ref="AD157:AD195" si="65">CONCATENATE(M157,"-",P157)</f>
        <v>7200-200</v>
      </c>
    </row>
    <row r="158" spans="1:30">
      <c r="A158" s="92">
        <f t="shared" si="55"/>
        <v>1</v>
      </c>
      <c r="B158" s="605"/>
      <c r="C158" s="590"/>
      <c r="D158" s="688">
        <v>1</v>
      </c>
      <c r="E158" s="591" t="s">
        <v>632</v>
      </c>
      <c r="F158" s="592" t="s">
        <v>348</v>
      </c>
      <c r="G158" s="593" t="s">
        <v>530</v>
      </c>
      <c r="H158" s="594" t="s">
        <v>320</v>
      </c>
      <c r="I158" s="595" t="str">
        <f t="shared" si="56"/>
        <v>leslokaal</v>
      </c>
      <c r="J158" s="594" t="s">
        <v>493</v>
      </c>
      <c r="K158" s="678">
        <v>75.440130800373709</v>
      </c>
      <c r="L158" s="678"/>
      <c r="M158" s="606">
        <v>7200</v>
      </c>
      <c r="N158" s="601"/>
      <c r="O158" s="601"/>
      <c r="P158" s="603">
        <f t="shared" si="57"/>
        <v>200</v>
      </c>
      <c r="Q158" s="689">
        <v>1</v>
      </c>
      <c r="R158" s="596">
        <f t="shared" si="58"/>
        <v>0</v>
      </c>
      <c r="S158" s="596">
        <f t="shared" si="59"/>
        <v>0</v>
      </c>
      <c r="T158" s="596">
        <f t="shared" si="60"/>
        <v>0</v>
      </c>
      <c r="U158" s="681">
        <f t="shared" si="61"/>
        <v>0</v>
      </c>
      <c r="V158" s="681">
        <f t="shared" si="62"/>
        <v>0</v>
      </c>
      <c r="W158" s="598">
        <f t="shared" si="63"/>
        <v>0</v>
      </c>
      <c r="X158" s="599" t="str">
        <f t="shared" si="64"/>
        <v>L</v>
      </c>
      <c r="Y158" s="600"/>
      <c r="Z158" s="686" t="e">
        <f>(R158+S158)*'1.0-Contractblad'!$L$98</f>
        <v>#DIV/0!</v>
      </c>
      <c r="AA158" s="687">
        <f ca="1">VLOOKUP(E158,'1.1a-Jaarprijzen'!$B$33:$O$51,14,FALSE)*(L158+K158)</f>
        <v>0</v>
      </c>
      <c r="AB158" s="60">
        <f t="shared" ref="AB158:AB195" si="66">IF(M158=8255,R158+S158,0)</f>
        <v>0</v>
      </c>
      <c r="AD158" s="60" t="str">
        <f t="shared" si="65"/>
        <v>7200-200</v>
      </c>
    </row>
    <row r="159" spans="1:30">
      <c r="A159" s="92">
        <f t="shared" si="55"/>
        <v>1</v>
      </c>
      <c r="B159" s="605"/>
      <c r="C159" s="590"/>
      <c r="D159" s="688">
        <v>1</v>
      </c>
      <c r="E159" s="591" t="s">
        <v>632</v>
      </c>
      <c r="F159" s="592" t="s">
        <v>348</v>
      </c>
      <c r="G159" s="593" t="s">
        <v>531</v>
      </c>
      <c r="H159" s="594" t="s">
        <v>320</v>
      </c>
      <c r="I159" s="595" t="str">
        <f t="shared" si="56"/>
        <v>leslokaal</v>
      </c>
      <c r="J159" s="594" t="s">
        <v>493</v>
      </c>
      <c r="K159" s="678">
        <v>61.606676064187241</v>
      </c>
      <c r="L159" s="678"/>
      <c r="M159" s="606">
        <v>7200</v>
      </c>
      <c r="N159" s="601"/>
      <c r="O159" s="601"/>
      <c r="P159" s="603">
        <f t="shared" si="57"/>
        <v>200</v>
      </c>
      <c r="Q159" s="689">
        <v>1</v>
      </c>
      <c r="R159" s="596">
        <f t="shared" si="58"/>
        <v>0</v>
      </c>
      <c r="S159" s="596">
        <f t="shared" si="59"/>
        <v>0</v>
      </c>
      <c r="T159" s="596">
        <f t="shared" si="60"/>
        <v>0</v>
      </c>
      <c r="U159" s="681">
        <f t="shared" si="61"/>
        <v>0</v>
      </c>
      <c r="V159" s="681">
        <f t="shared" si="62"/>
        <v>0</v>
      </c>
      <c r="W159" s="598">
        <f t="shared" si="63"/>
        <v>0</v>
      </c>
      <c r="X159" s="599" t="str">
        <f t="shared" si="64"/>
        <v>L</v>
      </c>
      <c r="Y159" s="600"/>
      <c r="Z159" s="686" t="e">
        <f>(R159+S159)*'1.0-Contractblad'!$L$98</f>
        <v>#DIV/0!</v>
      </c>
      <c r="AA159" s="687">
        <f ca="1">VLOOKUP(E159,'1.1a-Jaarprijzen'!$B$33:$O$51,14,FALSE)*(L159+K159)</f>
        <v>0</v>
      </c>
      <c r="AB159" s="60">
        <f t="shared" si="66"/>
        <v>0</v>
      </c>
      <c r="AD159" s="60" t="str">
        <f t="shared" si="65"/>
        <v>7200-200</v>
      </c>
    </row>
    <row r="160" spans="1:30">
      <c r="A160" s="92">
        <f t="shared" si="55"/>
        <v>1</v>
      </c>
      <c r="B160" s="605"/>
      <c r="C160" s="590"/>
      <c r="D160" s="688">
        <v>1</v>
      </c>
      <c r="E160" s="591" t="s">
        <v>632</v>
      </c>
      <c r="F160" s="592" t="s">
        <v>348</v>
      </c>
      <c r="G160" s="593" t="s">
        <v>532</v>
      </c>
      <c r="H160" s="594" t="s">
        <v>320</v>
      </c>
      <c r="I160" s="595" t="str">
        <f t="shared" si="56"/>
        <v>leslokaal</v>
      </c>
      <c r="J160" s="594" t="s">
        <v>493</v>
      </c>
      <c r="K160" s="678">
        <v>61.655454113327536</v>
      </c>
      <c r="L160" s="678"/>
      <c r="M160" s="606">
        <v>7200</v>
      </c>
      <c r="N160" s="601"/>
      <c r="O160" s="601"/>
      <c r="P160" s="603">
        <f t="shared" si="57"/>
        <v>200</v>
      </c>
      <c r="Q160" s="689">
        <v>1</v>
      </c>
      <c r="R160" s="596">
        <f t="shared" si="58"/>
        <v>0</v>
      </c>
      <c r="S160" s="596">
        <f t="shared" si="59"/>
        <v>0</v>
      </c>
      <c r="T160" s="596">
        <f t="shared" si="60"/>
        <v>0</v>
      </c>
      <c r="U160" s="681">
        <f t="shared" si="61"/>
        <v>0</v>
      </c>
      <c r="V160" s="681">
        <f t="shared" si="62"/>
        <v>0</v>
      </c>
      <c r="W160" s="598">
        <f t="shared" si="63"/>
        <v>0</v>
      </c>
      <c r="X160" s="599" t="str">
        <f t="shared" si="64"/>
        <v>L</v>
      </c>
      <c r="Y160" s="600"/>
      <c r="Z160" s="686" t="e">
        <f>(R160+S160)*'1.0-Contractblad'!$L$98</f>
        <v>#DIV/0!</v>
      </c>
      <c r="AA160" s="687">
        <f ca="1">VLOOKUP(E160,'1.1a-Jaarprijzen'!$B$33:$O$51,14,FALSE)*(L160+K160)</f>
        <v>0</v>
      </c>
      <c r="AB160" s="60">
        <f t="shared" si="66"/>
        <v>0</v>
      </c>
      <c r="AD160" s="60" t="str">
        <f t="shared" si="65"/>
        <v>7200-200</v>
      </c>
    </row>
    <row r="161" spans="1:30">
      <c r="A161" s="92">
        <f t="shared" si="55"/>
        <v>1</v>
      </c>
      <c r="B161" s="605"/>
      <c r="C161" s="590"/>
      <c r="D161" s="688">
        <v>1</v>
      </c>
      <c r="E161" s="591" t="s">
        <v>632</v>
      </c>
      <c r="F161" s="592" t="s">
        <v>348</v>
      </c>
      <c r="G161" s="593" t="s">
        <v>533</v>
      </c>
      <c r="H161" s="594" t="s">
        <v>313</v>
      </c>
      <c r="I161" s="595" t="str">
        <f t="shared" si="56"/>
        <v>speellokaal (peuterspeelzaal)</v>
      </c>
      <c r="J161" s="594" t="s">
        <v>641</v>
      </c>
      <c r="K161" s="678">
        <v>91.897844580307805</v>
      </c>
      <c r="L161" s="678"/>
      <c r="M161" s="606">
        <v>8200</v>
      </c>
      <c r="N161" s="601"/>
      <c r="O161" s="601"/>
      <c r="P161" s="603">
        <f t="shared" si="57"/>
        <v>200</v>
      </c>
      <c r="Q161" s="689">
        <v>1</v>
      </c>
      <c r="R161" s="596">
        <f t="shared" si="58"/>
        <v>0</v>
      </c>
      <c r="S161" s="596">
        <f t="shared" si="59"/>
        <v>0</v>
      </c>
      <c r="T161" s="596">
        <f t="shared" si="60"/>
        <v>0</v>
      </c>
      <c r="U161" s="681">
        <f t="shared" si="61"/>
        <v>0</v>
      </c>
      <c r="V161" s="681">
        <f t="shared" si="62"/>
        <v>0</v>
      </c>
      <c r="W161" s="598">
        <f t="shared" si="63"/>
        <v>0</v>
      </c>
      <c r="X161" s="599" t="str">
        <f t="shared" si="64"/>
        <v>L</v>
      </c>
      <c r="Y161" s="600"/>
      <c r="Z161" s="686" t="e">
        <f>(R161+S161)*'1.0-Contractblad'!$L$98</f>
        <v>#DIV/0!</v>
      </c>
      <c r="AA161" s="687">
        <f ca="1">VLOOKUP(E161,'1.1a-Jaarprijzen'!$B$33:$O$51,14,FALSE)*(L161+K161)</f>
        <v>0</v>
      </c>
      <c r="AB161" s="60">
        <f t="shared" si="66"/>
        <v>0</v>
      </c>
      <c r="AD161" s="60" t="str">
        <f t="shared" si="65"/>
        <v>8200-200</v>
      </c>
    </row>
    <row r="162" spans="1:30">
      <c r="A162" s="92">
        <f t="shared" si="55"/>
        <v>1</v>
      </c>
      <c r="B162" s="605"/>
      <c r="C162" s="590"/>
      <c r="D162" s="688">
        <v>1</v>
      </c>
      <c r="E162" s="591" t="s">
        <v>632</v>
      </c>
      <c r="F162" s="592" t="s">
        <v>348</v>
      </c>
      <c r="G162" s="593" t="s">
        <v>534</v>
      </c>
      <c r="H162" s="594" t="s">
        <v>402</v>
      </c>
      <c r="I162" s="595" t="str">
        <f t="shared" si="56"/>
        <v>leslokaal</v>
      </c>
      <c r="J162" s="594" t="s">
        <v>493</v>
      </c>
      <c r="K162" s="678">
        <v>62.39</v>
      </c>
      <c r="L162" s="678"/>
      <c r="M162" s="606">
        <v>7200</v>
      </c>
      <c r="N162" s="601"/>
      <c r="O162" s="601"/>
      <c r="P162" s="603">
        <f t="shared" si="57"/>
        <v>200</v>
      </c>
      <c r="Q162" s="689">
        <v>1</v>
      </c>
      <c r="R162" s="596">
        <f t="shared" si="58"/>
        <v>0</v>
      </c>
      <c r="S162" s="596">
        <f t="shared" si="59"/>
        <v>0</v>
      </c>
      <c r="T162" s="596">
        <f t="shared" si="60"/>
        <v>0</v>
      </c>
      <c r="U162" s="681">
        <f t="shared" si="61"/>
        <v>0</v>
      </c>
      <c r="V162" s="681">
        <f t="shared" si="62"/>
        <v>0</v>
      </c>
      <c r="W162" s="598">
        <f t="shared" si="63"/>
        <v>0</v>
      </c>
      <c r="X162" s="599" t="str">
        <f t="shared" si="64"/>
        <v>L</v>
      </c>
      <c r="Y162" s="600"/>
      <c r="Z162" s="686" t="e">
        <f>(R162+S162)*'1.0-Contractblad'!$L$98</f>
        <v>#DIV/0!</v>
      </c>
      <c r="AA162" s="687">
        <f ca="1">VLOOKUP(E162,'1.1a-Jaarprijzen'!$B$33:$O$51,14,FALSE)*(L162+K162)</f>
        <v>0</v>
      </c>
      <c r="AB162" s="60">
        <f t="shared" si="66"/>
        <v>0</v>
      </c>
      <c r="AD162" s="60" t="str">
        <f t="shared" si="65"/>
        <v>7200-200</v>
      </c>
    </row>
    <row r="163" spans="1:30">
      <c r="A163" s="92">
        <f t="shared" si="55"/>
        <v>1</v>
      </c>
      <c r="B163" s="605"/>
      <c r="C163" s="590"/>
      <c r="D163" s="688">
        <v>1</v>
      </c>
      <c r="E163" s="591" t="s">
        <v>632</v>
      </c>
      <c r="F163" s="592" t="s">
        <v>348</v>
      </c>
      <c r="G163" s="593" t="s">
        <v>535</v>
      </c>
      <c r="H163" s="594" t="s">
        <v>350</v>
      </c>
      <c r="I163" s="595" t="str">
        <f t="shared" si="56"/>
        <v>entree, gang, hal, repro, kopieer</v>
      </c>
      <c r="J163" s="594" t="s">
        <v>493</v>
      </c>
      <c r="K163" s="678">
        <v>7.1716131932348146</v>
      </c>
      <c r="L163" s="678"/>
      <c r="M163" s="606">
        <v>3200</v>
      </c>
      <c r="N163" s="601"/>
      <c r="O163" s="601"/>
      <c r="P163" s="603">
        <f t="shared" si="57"/>
        <v>200</v>
      </c>
      <c r="Q163" s="689">
        <v>1</v>
      </c>
      <c r="R163" s="596">
        <f t="shared" si="58"/>
        <v>0</v>
      </c>
      <c r="S163" s="596">
        <f t="shared" si="59"/>
        <v>0</v>
      </c>
      <c r="T163" s="596">
        <f t="shared" si="60"/>
        <v>0</v>
      </c>
      <c r="U163" s="681">
        <f t="shared" si="61"/>
        <v>0</v>
      </c>
      <c r="V163" s="681">
        <f t="shared" si="62"/>
        <v>0</v>
      </c>
      <c r="W163" s="598">
        <f t="shared" si="63"/>
        <v>0</v>
      </c>
      <c r="X163" s="599" t="str">
        <f t="shared" si="64"/>
        <v>V</v>
      </c>
      <c r="Y163" s="600"/>
      <c r="Z163" s="686" t="e">
        <f>(R163+S163)*'1.0-Contractblad'!$L$98</f>
        <v>#DIV/0!</v>
      </c>
      <c r="AA163" s="687">
        <f ca="1">VLOOKUP(E163,'1.1a-Jaarprijzen'!$B$33:$O$51,14,FALSE)*(L163+K163)</f>
        <v>0</v>
      </c>
      <c r="AB163" s="60">
        <f t="shared" si="66"/>
        <v>0</v>
      </c>
      <c r="AD163" s="60" t="str">
        <f t="shared" si="65"/>
        <v>3200-200</v>
      </c>
    </row>
    <row r="164" spans="1:30">
      <c r="A164" s="92">
        <f t="shared" si="55"/>
        <v>1</v>
      </c>
      <c r="B164" s="605"/>
      <c r="C164" s="590"/>
      <c r="D164" s="688">
        <v>1</v>
      </c>
      <c r="E164" s="591" t="s">
        <v>632</v>
      </c>
      <c r="F164" s="592" t="s">
        <v>348</v>
      </c>
      <c r="G164" s="593" t="s">
        <v>536</v>
      </c>
      <c r="H164" s="594" t="s">
        <v>350</v>
      </c>
      <c r="I164" s="595" t="str">
        <f t="shared" si="56"/>
        <v>entree, gang, hal, repro, kopieer</v>
      </c>
      <c r="J164" s="594" t="s">
        <v>493</v>
      </c>
      <c r="K164" s="678">
        <v>4.2030580697116644</v>
      </c>
      <c r="L164" s="678"/>
      <c r="M164" s="606">
        <v>3200</v>
      </c>
      <c r="N164" s="601"/>
      <c r="O164" s="601"/>
      <c r="P164" s="603">
        <f t="shared" si="57"/>
        <v>200</v>
      </c>
      <c r="Q164" s="689">
        <v>1</v>
      </c>
      <c r="R164" s="596">
        <f t="shared" si="58"/>
        <v>0</v>
      </c>
      <c r="S164" s="596">
        <f t="shared" si="59"/>
        <v>0</v>
      </c>
      <c r="T164" s="596">
        <f t="shared" si="60"/>
        <v>0</v>
      </c>
      <c r="U164" s="681">
        <f t="shared" si="61"/>
        <v>0</v>
      </c>
      <c r="V164" s="681">
        <f t="shared" si="62"/>
        <v>0</v>
      </c>
      <c r="W164" s="598">
        <f t="shared" si="63"/>
        <v>0</v>
      </c>
      <c r="X164" s="599" t="str">
        <f t="shared" si="64"/>
        <v>V</v>
      </c>
      <c r="Y164" s="600"/>
      <c r="Z164" s="686" t="e">
        <f>(R164+S164)*'1.0-Contractblad'!$L$98</f>
        <v>#DIV/0!</v>
      </c>
      <c r="AA164" s="687">
        <f ca="1">VLOOKUP(E164,'1.1a-Jaarprijzen'!$B$33:$O$51,14,FALSE)*(L164+K164)</f>
        <v>0</v>
      </c>
      <c r="AB164" s="60">
        <f t="shared" si="66"/>
        <v>0</v>
      </c>
      <c r="AD164" s="60" t="str">
        <f t="shared" si="65"/>
        <v>3200-200</v>
      </c>
    </row>
    <row r="165" spans="1:30">
      <c r="A165" s="92">
        <f t="shared" si="55"/>
        <v>1</v>
      </c>
      <c r="B165" s="605"/>
      <c r="C165" s="590"/>
      <c r="D165" s="688">
        <v>1</v>
      </c>
      <c r="E165" s="591" t="s">
        <v>632</v>
      </c>
      <c r="F165" s="592" t="s">
        <v>348</v>
      </c>
      <c r="G165" s="593" t="s">
        <v>537</v>
      </c>
      <c r="H165" s="594" t="s">
        <v>312</v>
      </c>
      <c r="I165" s="595" t="str">
        <f t="shared" si="56"/>
        <v>entree, gang, hal, repro, kopieer</v>
      </c>
      <c r="J165" s="594" t="s">
        <v>493</v>
      </c>
      <c r="K165" s="678">
        <v>45.373341310298471</v>
      </c>
      <c r="L165" s="678"/>
      <c r="M165" s="606">
        <v>3200</v>
      </c>
      <c r="N165" s="601"/>
      <c r="O165" s="601"/>
      <c r="P165" s="603">
        <f t="shared" si="57"/>
        <v>200</v>
      </c>
      <c r="Q165" s="689">
        <v>1</v>
      </c>
      <c r="R165" s="596">
        <f t="shared" si="58"/>
        <v>0</v>
      </c>
      <c r="S165" s="596">
        <f t="shared" si="59"/>
        <v>0</v>
      </c>
      <c r="T165" s="596">
        <f t="shared" si="60"/>
        <v>0</v>
      </c>
      <c r="U165" s="681">
        <f t="shared" si="61"/>
        <v>0</v>
      </c>
      <c r="V165" s="681">
        <f t="shared" si="62"/>
        <v>0</v>
      </c>
      <c r="W165" s="598">
        <f t="shared" si="63"/>
        <v>0</v>
      </c>
      <c r="X165" s="599" t="str">
        <f t="shared" si="64"/>
        <v>V</v>
      </c>
      <c r="Y165" s="600"/>
      <c r="Z165" s="686" t="e">
        <f>(R165+S165)*'1.0-Contractblad'!$L$98</f>
        <v>#DIV/0!</v>
      </c>
      <c r="AA165" s="687">
        <f ca="1">VLOOKUP(E165,'1.1a-Jaarprijzen'!$B$33:$O$51,14,FALSE)*(L165+K165)</f>
        <v>0</v>
      </c>
      <c r="AB165" s="60">
        <f t="shared" si="66"/>
        <v>0</v>
      </c>
      <c r="AD165" s="60" t="str">
        <f t="shared" si="65"/>
        <v>3200-200</v>
      </c>
    </row>
    <row r="166" spans="1:30">
      <c r="A166" s="92">
        <f t="shared" si="55"/>
        <v>1</v>
      </c>
      <c r="B166" s="605"/>
      <c r="C166" s="590"/>
      <c r="D166" s="688">
        <v>1</v>
      </c>
      <c r="E166" s="591" t="s">
        <v>632</v>
      </c>
      <c r="F166" s="592" t="s">
        <v>348</v>
      </c>
      <c r="G166" s="593" t="s">
        <v>538</v>
      </c>
      <c r="H166" s="594" t="s">
        <v>312</v>
      </c>
      <c r="I166" s="595" t="str">
        <f t="shared" si="56"/>
        <v>entree, gang, hal, repro, kopieer</v>
      </c>
      <c r="J166" s="594" t="s">
        <v>493</v>
      </c>
      <c r="K166" s="678">
        <v>101.12</v>
      </c>
      <c r="L166" s="678"/>
      <c r="M166" s="606">
        <v>3200</v>
      </c>
      <c r="N166" s="601"/>
      <c r="O166" s="601"/>
      <c r="P166" s="603">
        <f t="shared" si="57"/>
        <v>200</v>
      </c>
      <c r="Q166" s="689">
        <v>1</v>
      </c>
      <c r="R166" s="596">
        <f t="shared" si="58"/>
        <v>0</v>
      </c>
      <c r="S166" s="596">
        <f t="shared" si="59"/>
        <v>0</v>
      </c>
      <c r="T166" s="596">
        <f t="shared" si="60"/>
        <v>0</v>
      </c>
      <c r="U166" s="681">
        <f t="shared" si="61"/>
        <v>0</v>
      </c>
      <c r="V166" s="681">
        <f t="shared" si="62"/>
        <v>0</v>
      </c>
      <c r="W166" s="598">
        <f t="shared" si="63"/>
        <v>0</v>
      </c>
      <c r="X166" s="599" t="str">
        <f t="shared" si="64"/>
        <v>V</v>
      </c>
      <c r="Y166" s="600"/>
      <c r="Z166" s="686" t="e">
        <f>(R166+S166)*'1.0-Contractblad'!$L$98</f>
        <v>#DIV/0!</v>
      </c>
      <c r="AA166" s="687">
        <f ca="1">VLOOKUP(E166,'1.1a-Jaarprijzen'!$B$33:$O$51,14,FALSE)*(L166+K166)</f>
        <v>0</v>
      </c>
      <c r="AB166" s="60">
        <f t="shared" si="66"/>
        <v>0</v>
      </c>
      <c r="AD166" s="60" t="str">
        <f t="shared" si="65"/>
        <v>3200-200</v>
      </c>
    </row>
    <row r="167" spans="1:30">
      <c r="A167" s="92">
        <f t="shared" si="55"/>
        <v>1</v>
      </c>
      <c r="B167" s="605"/>
      <c r="C167" s="590"/>
      <c r="D167" s="688">
        <v>1</v>
      </c>
      <c r="E167" s="591" t="s">
        <v>632</v>
      </c>
      <c r="F167" s="592" t="s">
        <v>348</v>
      </c>
      <c r="G167" s="593" t="s">
        <v>539</v>
      </c>
      <c r="H167" s="594" t="s">
        <v>312</v>
      </c>
      <c r="I167" s="595" t="str">
        <f t="shared" si="56"/>
        <v>entree, gang, hal, repro, kopieer</v>
      </c>
      <c r="J167" s="594" t="s">
        <v>493</v>
      </c>
      <c r="K167" s="678">
        <v>6.8406156612393616</v>
      </c>
      <c r="L167" s="678"/>
      <c r="M167" s="606">
        <v>3200</v>
      </c>
      <c r="N167" s="601"/>
      <c r="O167" s="601"/>
      <c r="P167" s="603">
        <f t="shared" si="57"/>
        <v>200</v>
      </c>
      <c r="Q167" s="689">
        <v>1</v>
      </c>
      <c r="R167" s="596">
        <f t="shared" si="58"/>
        <v>0</v>
      </c>
      <c r="S167" s="596">
        <f t="shared" si="59"/>
        <v>0</v>
      </c>
      <c r="T167" s="596">
        <f t="shared" si="60"/>
        <v>0</v>
      </c>
      <c r="U167" s="681">
        <f t="shared" si="61"/>
        <v>0</v>
      </c>
      <c r="V167" s="681">
        <f t="shared" si="62"/>
        <v>0</v>
      </c>
      <c r="W167" s="598">
        <f t="shared" si="63"/>
        <v>0</v>
      </c>
      <c r="X167" s="599" t="str">
        <f t="shared" si="64"/>
        <v>V</v>
      </c>
      <c r="Y167" s="600"/>
      <c r="Z167" s="686" t="e">
        <f>(R167+S167)*'1.0-Contractblad'!$L$98</f>
        <v>#DIV/0!</v>
      </c>
      <c r="AA167" s="687">
        <f ca="1">VLOOKUP(E167,'1.1a-Jaarprijzen'!$B$33:$O$51,14,FALSE)*(L167+K167)</f>
        <v>0</v>
      </c>
      <c r="AB167" s="60">
        <f t="shared" si="66"/>
        <v>0</v>
      </c>
      <c r="AD167" s="60" t="str">
        <f t="shared" si="65"/>
        <v>3200-200</v>
      </c>
    </row>
    <row r="168" spans="1:30">
      <c r="A168" s="92">
        <f t="shared" si="55"/>
        <v>1</v>
      </c>
      <c r="B168" s="605"/>
      <c r="C168" s="590"/>
      <c r="D168" s="688">
        <v>1</v>
      </c>
      <c r="E168" s="591" t="s">
        <v>632</v>
      </c>
      <c r="F168" s="592" t="s">
        <v>348</v>
      </c>
      <c r="G168" s="593" t="s">
        <v>540</v>
      </c>
      <c r="H168" s="594" t="s">
        <v>316</v>
      </c>
      <c r="I168" s="595" t="str">
        <f t="shared" si="56"/>
        <v>aula, gemeenschappelijke ruimte, bibliotheek</v>
      </c>
      <c r="J168" s="594" t="s">
        <v>493</v>
      </c>
      <c r="K168" s="678">
        <v>130.16910193577996</v>
      </c>
      <c r="L168" s="678"/>
      <c r="M168" s="606">
        <v>2200</v>
      </c>
      <c r="N168" s="601"/>
      <c r="O168" s="601"/>
      <c r="P168" s="603">
        <f t="shared" si="57"/>
        <v>200</v>
      </c>
      <c r="Q168" s="689">
        <v>1</v>
      </c>
      <c r="R168" s="596">
        <f t="shared" si="58"/>
        <v>0</v>
      </c>
      <c r="S168" s="596">
        <f t="shared" si="59"/>
        <v>0</v>
      </c>
      <c r="T168" s="596">
        <f t="shared" si="60"/>
        <v>0</v>
      </c>
      <c r="U168" s="681">
        <f t="shared" si="61"/>
        <v>0</v>
      </c>
      <c r="V168" s="681">
        <f t="shared" si="62"/>
        <v>0</v>
      </c>
      <c r="W168" s="598">
        <f t="shared" si="63"/>
        <v>0</v>
      </c>
      <c r="X168" s="599" t="str">
        <f t="shared" si="64"/>
        <v>V</v>
      </c>
      <c r="Y168" s="600"/>
      <c r="Z168" s="686" t="e">
        <f>(R168+S168)*'1.0-Contractblad'!$L$98</f>
        <v>#DIV/0!</v>
      </c>
      <c r="AA168" s="687">
        <f ca="1">VLOOKUP(E168,'1.1a-Jaarprijzen'!$B$33:$O$51,14,FALSE)*(L168+K168)</f>
        <v>0</v>
      </c>
      <c r="AB168" s="60">
        <f t="shared" si="66"/>
        <v>0</v>
      </c>
      <c r="AD168" s="60" t="str">
        <f t="shared" si="65"/>
        <v>2200-200</v>
      </c>
    </row>
    <row r="169" spans="1:30">
      <c r="A169" s="92">
        <f t="shared" si="55"/>
        <v>1</v>
      </c>
      <c r="B169" s="605"/>
      <c r="C169" s="590"/>
      <c r="D169" s="688">
        <v>1</v>
      </c>
      <c r="E169" s="591" t="s">
        <v>632</v>
      </c>
      <c r="F169" s="592" t="s">
        <v>348</v>
      </c>
      <c r="G169" s="593" t="s">
        <v>541</v>
      </c>
      <c r="H169" s="594" t="s">
        <v>542</v>
      </c>
      <c r="I169" s="595" t="str">
        <f t="shared" si="56"/>
        <v>sanitaire ruimte (toilet-/doucheruimte)</v>
      </c>
      <c r="J169" s="594" t="s">
        <v>640</v>
      </c>
      <c r="K169" s="678">
        <v>1.4895844875346258</v>
      </c>
      <c r="L169" s="678"/>
      <c r="M169" s="606">
        <v>4200</v>
      </c>
      <c r="N169" s="601"/>
      <c r="O169" s="601"/>
      <c r="P169" s="603">
        <f t="shared" si="57"/>
        <v>200</v>
      </c>
      <c r="Q169" s="689">
        <v>1</v>
      </c>
      <c r="R169" s="596">
        <f t="shared" si="58"/>
        <v>0</v>
      </c>
      <c r="S169" s="596">
        <f t="shared" si="59"/>
        <v>0</v>
      </c>
      <c r="T169" s="596">
        <f t="shared" si="60"/>
        <v>0</v>
      </c>
      <c r="U169" s="681">
        <f t="shared" si="61"/>
        <v>0</v>
      </c>
      <c r="V169" s="681">
        <f t="shared" si="62"/>
        <v>0</v>
      </c>
      <c r="W169" s="598">
        <f t="shared" si="63"/>
        <v>0</v>
      </c>
      <c r="X169" s="599" t="str">
        <f t="shared" si="64"/>
        <v>S</v>
      </c>
      <c r="Y169" s="600"/>
      <c r="Z169" s="686" t="e">
        <f>(R169+S169)*'1.0-Contractblad'!$L$98</f>
        <v>#DIV/0!</v>
      </c>
      <c r="AA169" s="687">
        <f ca="1">VLOOKUP(E169,'1.1a-Jaarprijzen'!$B$33:$O$51,14,FALSE)*(L169+K169)</f>
        <v>0</v>
      </c>
      <c r="AB169" s="60">
        <f t="shared" si="66"/>
        <v>0</v>
      </c>
      <c r="AD169" s="60" t="str">
        <f t="shared" si="65"/>
        <v>4200-200</v>
      </c>
    </row>
    <row r="170" spans="1:30">
      <c r="A170" s="92">
        <f t="shared" si="55"/>
        <v>1</v>
      </c>
      <c r="B170" s="605"/>
      <c r="C170" s="590"/>
      <c r="D170" s="688">
        <v>1</v>
      </c>
      <c r="E170" s="591" t="s">
        <v>632</v>
      </c>
      <c r="F170" s="592" t="s">
        <v>348</v>
      </c>
      <c r="G170" s="593" t="s">
        <v>543</v>
      </c>
      <c r="H170" s="594" t="s">
        <v>506</v>
      </c>
      <c r="I170" s="595" t="str">
        <f t="shared" si="56"/>
        <v>sanitaire ruimte (toilet-/doucheruimte)</v>
      </c>
      <c r="J170" s="594" t="s">
        <v>640</v>
      </c>
      <c r="K170" s="678">
        <v>7.4652461217954231</v>
      </c>
      <c r="L170" s="678"/>
      <c r="M170" s="606">
        <v>4200</v>
      </c>
      <c r="N170" s="601"/>
      <c r="O170" s="601"/>
      <c r="P170" s="603">
        <f t="shared" si="57"/>
        <v>200</v>
      </c>
      <c r="Q170" s="689">
        <v>1</v>
      </c>
      <c r="R170" s="596">
        <f t="shared" si="58"/>
        <v>0</v>
      </c>
      <c r="S170" s="596">
        <f t="shared" si="59"/>
        <v>0</v>
      </c>
      <c r="T170" s="596">
        <f t="shared" si="60"/>
        <v>0</v>
      </c>
      <c r="U170" s="681">
        <f t="shared" si="61"/>
        <v>0</v>
      </c>
      <c r="V170" s="681">
        <f t="shared" si="62"/>
        <v>0</v>
      </c>
      <c r="W170" s="598">
        <f t="shared" si="63"/>
        <v>0</v>
      </c>
      <c r="X170" s="599" t="str">
        <f t="shared" si="64"/>
        <v>S</v>
      </c>
      <c r="Y170" s="600"/>
      <c r="Z170" s="686" t="e">
        <f>(R170+S170)*'1.0-Contractblad'!$L$98</f>
        <v>#DIV/0!</v>
      </c>
      <c r="AA170" s="687">
        <f ca="1">VLOOKUP(E170,'1.1a-Jaarprijzen'!$B$33:$O$51,14,FALSE)*(L170+K170)</f>
        <v>0</v>
      </c>
      <c r="AB170" s="60">
        <f t="shared" si="66"/>
        <v>0</v>
      </c>
      <c r="AD170" s="60" t="str">
        <f t="shared" si="65"/>
        <v>4200-200</v>
      </c>
    </row>
    <row r="171" spans="1:30">
      <c r="A171" s="92">
        <f t="shared" si="55"/>
        <v>1</v>
      </c>
      <c r="B171" s="605"/>
      <c r="C171" s="590"/>
      <c r="D171" s="688">
        <v>1</v>
      </c>
      <c r="E171" s="591" t="s">
        <v>632</v>
      </c>
      <c r="F171" s="592" t="s">
        <v>348</v>
      </c>
      <c r="G171" s="593" t="s">
        <v>544</v>
      </c>
      <c r="H171" s="594" t="s">
        <v>506</v>
      </c>
      <c r="I171" s="595" t="str">
        <f t="shared" si="56"/>
        <v>sanitaire ruimte (toilet-/doucheruimte)</v>
      </c>
      <c r="J171" s="594" t="s">
        <v>640</v>
      </c>
      <c r="K171" s="678">
        <v>7.8255735954959453</v>
      </c>
      <c r="L171" s="678"/>
      <c r="M171" s="606">
        <v>4200</v>
      </c>
      <c r="N171" s="601"/>
      <c r="O171" s="601"/>
      <c r="P171" s="603">
        <f t="shared" si="57"/>
        <v>200</v>
      </c>
      <c r="Q171" s="689">
        <v>1</v>
      </c>
      <c r="R171" s="596">
        <f t="shared" si="58"/>
        <v>0</v>
      </c>
      <c r="S171" s="596">
        <f t="shared" si="59"/>
        <v>0</v>
      </c>
      <c r="T171" s="596">
        <f t="shared" si="60"/>
        <v>0</v>
      </c>
      <c r="U171" s="681">
        <f t="shared" si="61"/>
        <v>0</v>
      </c>
      <c r="V171" s="681">
        <f t="shared" si="62"/>
        <v>0</v>
      </c>
      <c r="W171" s="598">
        <f t="shared" si="63"/>
        <v>0</v>
      </c>
      <c r="X171" s="599" t="str">
        <f t="shared" si="64"/>
        <v>S</v>
      </c>
      <c r="Y171" s="600"/>
      <c r="Z171" s="686" t="e">
        <f>(R171+S171)*'1.0-Contractblad'!$L$98</f>
        <v>#DIV/0!</v>
      </c>
      <c r="AA171" s="687">
        <f ca="1">VLOOKUP(E171,'1.1a-Jaarprijzen'!$B$33:$O$51,14,FALSE)*(L171+K171)</f>
        <v>0</v>
      </c>
      <c r="AB171" s="60">
        <f t="shared" si="66"/>
        <v>0</v>
      </c>
      <c r="AD171" s="60" t="str">
        <f t="shared" si="65"/>
        <v>4200-200</v>
      </c>
    </row>
    <row r="172" spans="1:30">
      <c r="A172" s="92">
        <f t="shared" si="55"/>
        <v>1</v>
      </c>
      <c r="B172" s="605"/>
      <c r="C172" s="590"/>
      <c r="D172" s="688">
        <v>1</v>
      </c>
      <c r="E172" s="591" t="s">
        <v>632</v>
      </c>
      <c r="F172" s="592" t="s">
        <v>348</v>
      </c>
      <c r="G172" s="593" t="s">
        <v>545</v>
      </c>
      <c r="H172" s="594" t="s">
        <v>384</v>
      </c>
      <c r="I172" s="595" t="str">
        <f t="shared" si="56"/>
        <v>sanitaire ruimte (toilet-/doucheruimte)</v>
      </c>
      <c r="J172" s="594" t="s">
        <v>640</v>
      </c>
      <c r="K172" s="678">
        <v>10.102131684994195</v>
      </c>
      <c r="L172" s="678"/>
      <c r="M172" s="606">
        <v>4200</v>
      </c>
      <c r="N172" s="601"/>
      <c r="O172" s="601"/>
      <c r="P172" s="603">
        <f t="shared" si="57"/>
        <v>200</v>
      </c>
      <c r="Q172" s="689">
        <v>1</v>
      </c>
      <c r="R172" s="596">
        <f t="shared" si="58"/>
        <v>0</v>
      </c>
      <c r="S172" s="596">
        <f t="shared" si="59"/>
        <v>0</v>
      </c>
      <c r="T172" s="596">
        <f t="shared" si="60"/>
        <v>0</v>
      </c>
      <c r="U172" s="681">
        <f t="shared" si="61"/>
        <v>0</v>
      </c>
      <c r="V172" s="681">
        <f t="shared" si="62"/>
        <v>0</v>
      </c>
      <c r="W172" s="598">
        <f t="shared" si="63"/>
        <v>0</v>
      </c>
      <c r="X172" s="599" t="str">
        <f t="shared" si="64"/>
        <v>S</v>
      </c>
      <c r="Y172" s="600"/>
      <c r="Z172" s="686" t="e">
        <f>(R172+S172)*'1.0-Contractblad'!$L$98</f>
        <v>#DIV/0!</v>
      </c>
      <c r="AA172" s="687">
        <f ca="1">VLOOKUP(E172,'1.1a-Jaarprijzen'!$B$33:$O$51,14,FALSE)*(L172+K172)</f>
        <v>0</v>
      </c>
      <c r="AB172" s="60">
        <f t="shared" si="66"/>
        <v>0</v>
      </c>
      <c r="AD172" s="60" t="str">
        <f t="shared" si="65"/>
        <v>4200-200</v>
      </c>
    </row>
    <row r="173" spans="1:30">
      <c r="A173" s="92">
        <f t="shared" si="55"/>
        <v>1</v>
      </c>
      <c r="B173" s="605"/>
      <c r="C173" s="590"/>
      <c r="D173" s="688">
        <v>1</v>
      </c>
      <c r="E173" s="591" t="s">
        <v>632</v>
      </c>
      <c r="F173" s="592" t="s">
        <v>348</v>
      </c>
      <c r="G173" s="593" t="s">
        <v>546</v>
      </c>
      <c r="H173" s="594" t="s">
        <v>542</v>
      </c>
      <c r="I173" s="595" t="str">
        <f t="shared" si="56"/>
        <v>sanitaire ruimte (toilet-/doucheruimte)</v>
      </c>
      <c r="J173" s="594" t="s">
        <v>640</v>
      </c>
      <c r="K173" s="678">
        <v>1.2576731301939057</v>
      </c>
      <c r="L173" s="678"/>
      <c r="M173" s="606">
        <v>4200</v>
      </c>
      <c r="N173" s="601"/>
      <c r="O173" s="601"/>
      <c r="P173" s="603">
        <f t="shared" si="57"/>
        <v>200</v>
      </c>
      <c r="Q173" s="689">
        <v>1</v>
      </c>
      <c r="R173" s="596">
        <f t="shared" si="58"/>
        <v>0</v>
      </c>
      <c r="S173" s="596">
        <f t="shared" si="59"/>
        <v>0</v>
      </c>
      <c r="T173" s="596">
        <f t="shared" si="60"/>
        <v>0</v>
      </c>
      <c r="U173" s="681">
        <f t="shared" si="61"/>
        <v>0</v>
      </c>
      <c r="V173" s="681">
        <f t="shared" si="62"/>
        <v>0</v>
      </c>
      <c r="W173" s="598">
        <f t="shared" si="63"/>
        <v>0</v>
      </c>
      <c r="X173" s="599" t="str">
        <f t="shared" si="64"/>
        <v>S</v>
      </c>
      <c r="Y173" s="600"/>
      <c r="Z173" s="686" t="e">
        <f>(R173+S173)*'1.0-Contractblad'!$L$98</f>
        <v>#DIV/0!</v>
      </c>
      <c r="AA173" s="687">
        <f ca="1">VLOOKUP(E173,'1.1a-Jaarprijzen'!$B$33:$O$51,14,FALSE)*(L173+K173)</f>
        <v>0</v>
      </c>
      <c r="AB173" s="60">
        <f t="shared" si="66"/>
        <v>0</v>
      </c>
      <c r="AD173" s="60" t="str">
        <f t="shared" si="65"/>
        <v>4200-200</v>
      </c>
    </row>
    <row r="174" spans="1:30">
      <c r="A174" s="92">
        <f t="shared" si="55"/>
        <v>1</v>
      </c>
      <c r="B174" s="605"/>
      <c r="C174" s="590"/>
      <c r="D174" s="688">
        <v>1</v>
      </c>
      <c r="E174" s="591" t="s">
        <v>632</v>
      </c>
      <c r="F174" s="592" t="s">
        <v>348</v>
      </c>
      <c r="G174" s="593" t="s">
        <v>547</v>
      </c>
      <c r="H174" s="594" t="s">
        <v>542</v>
      </c>
      <c r="I174" s="595" t="str">
        <f t="shared" si="56"/>
        <v>sanitaire ruimte (toilet-/doucheruimte)</v>
      </c>
      <c r="J174" s="594" t="s">
        <v>640</v>
      </c>
      <c r="K174" s="678">
        <v>2.6539877127321514</v>
      </c>
      <c r="L174" s="678"/>
      <c r="M174" s="606">
        <v>4200</v>
      </c>
      <c r="N174" s="601"/>
      <c r="O174" s="601"/>
      <c r="P174" s="603">
        <f t="shared" si="57"/>
        <v>200</v>
      </c>
      <c r="Q174" s="689">
        <v>1</v>
      </c>
      <c r="R174" s="596">
        <f t="shared" si="58"/>
        <v>0</v>
      </c>
      <c r="S174" s="596">
        <f t="shared" si="59"/>
        <v>0</v>
      </c>
      <c r="T174" s="596">
        <f t="shared" si="60"/>
        <v>0</v>
      </c>
      <c r="U174" s="681">
        <f t="shared" si="61"/>
        <v>0</v>
      </c>
      <c r="V174" s="681">
        <f t="shared" si="62"/>
        <v>0</v>
      </c>
      <c r="W174" s="598">
        <f t="shared" si="63"/>
        <v>0</v>
      </c>
      <c r="X174" s="599" t="str">
        <f t="shared" si="64"/>
        <v>S</v>
      </c>
      <c r="Y174" s="600"/>
      <c r="Z174" s="686" t="e">
        <f>(R174+S174)*'1.0-Contractblad'!$L$98</f>
        <v>#DIV/0!</v>
      </c>
      <c r="AA174" s="687">
        <f ca="1">VLOOKUP(E174,'1.1a-Jaarprijzen'!$B$33:$O$51,14,FALSE)*(L174+K174)</f>
        <v>0</v>
      </c>
      <c r="AB174" s="60">
        <f t="shared" si="66"/>
        <v>0</v>
      </c>
      <c r="AD174" s="60" t="str">
        <f t="shared" si="65"/>
        <v>4200-200</v>
      </c>
    </row>
    <row r="175" spans="1:30">
      <c r="A175" s="92">
        <f t="shared" si="55"/>
        <v>1</v>
      </c>
      <c r="B175" s="605"/>
      <c r="C175" s="590"/>
      <c r="D175" s="688">
        <v>1</v>
      </c>
      <c r="E175" s="591" t="s">
        <v>632</v>
      </c>
      <c r="F175" s="592" t="s">
        <v>348</v>
      </c>
      <c r="G175" s="593" t="s">
        <v>548</v>
      </c>
      <c r="H175" s="594" t="s">
        <v>542</v>
      </c>
      <c r="I175" s="595" t="str">
        <f t="shared" si="56"/>
        <v>sanitaire ruimte (toilet-/doucheruimte)</v>
      </c>
      <c r="J175" s="594" t="s">
        <v>640</v>
      </c>
      <c r="K175" s="678">
        <v>3.1002620325321164</v>
      </c>
      <c r="L175" s="678"/>
      <c r="M175" s="606">
        <v>4200</v>
      </c>
      <c r="N175" s="601"/>
      <c r="O175" s="601"/>
      <c r="P175" s="603">
        <f t="shared" si="57"/>
        <v>200</v>
      </c>
      <c r="Q175" s="689">
        <v>1</v>
      </c>
      <c r="R175" s="596">
        <f t="shared" si="58"/>
        <v>0</v>
      </c>
      <c r="S175" s="596">
        <f t="shared" si="59"/>
        <v>0</v>
      </c>
      <c r="T175" s="596">
        <f t="shared" si="60"/>
        <v>0</v>
      </c>
      <c r="U175" s="681">
        <f t="shared" si="61"/>
        <v>0</v>
      </c>
      <c r="V175" s="681">
        <f t="shared" si="62"/>
        <v>0</v>
      </c>
      <c r="W175" s="598">
        <f t="shared" si="63"/>
        <v>0</v>
      </c>
      <c r="X175" s="599" t="str">
        <f t="shared" si="64"/>
        <v>S</v>
      </c>
      <c r="Y175" s="600"/>
      <c r="Z175" s="686" t="e">
        <f>(R175+S175)*'1.0-Contractblad'!$L$98</f>
        <v>#DIV/0!</v>
      </c>
      <c r="AA175" s="687">
        <f ca="1">VLOOKUP(E175,'1.1a-Jaarprijzen'!$B$33:$O$51,14,FALSE)*(L175+K175)</f>
        <v>0</v>
      </c>
      <c r="AB175" s="60">
        <f t="shared" si="66"/>
        <v>0</v>
      </c>
      <c r="AD175" s="60" t="str">
        <f t="shared" si="65"/>
        <v>4200-200</v>
      </c>
    </row>
    <row r="176" spans="1:30">
      <c r="A176" s="92">
        <f t="shared" si="55"/>
        <v>1</v>
      </c>
      <c r="B176" s="605"/>
      <c r="C176" s="590"/>
      <c r="D176" s="688">
        <v>1</v>
      </c>
      <c r="E176" s="591" t="s">
        <v>632</v>
      </c>
      <c r="F176" s="592" t="s">
        <v>348</v>
      </c>
      <c r="G176" s="593" t="s">
        <v>549</v>
      </c>
      <c r="H176" s="594" t="s">
        <v>384</v>
      </c>
      <c r="I176" s="595" t="str">
        <f t="shared" si="56"/>
        <v>sanitaire ruimte (toilet-/doucheruimte)</v>
      </c>
      <c r="J176" s="594" t="s">
        <v>640</v>
      </c>
      <c r="K176" s="678">
        <v>10.167427088313639</v>
      </c>
      <c r="L176" s="678"/>
      <c r="M176" s="606">
        <v>4200</v>
      </c>
      <c r="N176" s="601"/>
      <c r="O176" s="601"/>
      <c r="P176" s="603">
        <f t="shared" si="57"/>
        <v>200</v>
      </c>
      <c r="Q176" s="689">
        <v>1</v>
      </c>
      <c r="R176" s="596">
        <f t="shared" si="58"/>
        <v>0</v>
      </c>
      <c r="S176" s="596">
        <f t="shared" si="59"/>
        <v>0</v>
      </c>
      <c r="T176" s="596">
        <f t="shared" si="60"/>
        <v>0</v>
      </c>
      <c r="U176" s="681">
        <f t="shared" si="61"/>
        <v>0</v>
      </c>
      <c r="V176" s="681">
        <f t="shared" si="62"/>
        <v>0</v>
      </c>
      <c r="W176" s="598">
        <f t="shared" si="63"/>
        <v>0</v>
      </c>
      <c r="X176" s="599" t="str">
        <f t="shared" si="64"/>
        <v>S</v>
      </c>
      <c r="Y176" s="600"/>
      <c r="Z176" s="686" t="e">
        <f>(R176+S176)*'1.0-Contractblad'!$L$98</f>
        <v>#DIV/0!</v>
      </c>
      <c r="AA176" s="687">
        <f ca="1">VLOOKUP(E176,'1.1a-Jaarprijzen'!$B$33:$O$51,14,FALSE)*(L176+K176)</f>
        <v>0</v>
      </c>
      <c r="AB176" s="60">
        <f t="shared" si="66"/>
        <v>0</v>
      </c>
      <c r="AD176" s="60" t="str">
        <f t="shared" si="65"/>
        <v>4200-200</v>
      </c>
    </row>
    <row r="177" spans="1:30">
      <c r="A177" s="92">
        <f t="shared" si="55"/>
        <v>1</v>
      </c>
      <c r="B177" s="605"/>
      <c r="C177" s="590"/>
      <c r="D177" s="688">
        <v>1</v>
      </c>
      <c r="E177" s="591" t="s">
        <v>632</v>
      </c>
      <c r="F177" s="592" t="s">
        <v>348</v>
      </c>
      <c r="G177" s="593" t="s">
        <v>550</v>
      </c>
      <c r="H177" s="594" t="s">
        <v>519</v>
      </c>
      <c r="I177" s="595" t="str">
        <f t="shared" si="56"/>
        <v>administratieve -, personeels- en vergaderruimte</v>
      </c>
      <c r="J177" s="594" t="s">
        <v>403</v>
      </c>
      <c r="K177" s="678">
        <v>28.164445573603892</v>
      </c>
      <c r="L177" s="678"/>
      <c r="M177" s="606">
        <v>1040</v>
      </c>
      <c r="N177" s="601"/>
      <c r="O177" s="601"/>
      <c r="P177" s="603">
        <f t="shared" si="57"/>
        <v>40</v>
      </c>
      <c r="Q177" s="689">
        <v>1</v>
      </c>
      <c r="R177" s="596">
        <f t="shared" si="58"/>
        <v>0</v>
      </c>
      <c r="S177" s="596">
        <f t="shared" si="59"/>
        <v>0</v>
      </c>
      <c r="T177" s="596">
        <f t="shared" si="60"/>
        <v>0</v>
      </c>
      <c r="U177" s="681">
        <f t="shared" si="61"/>
        <v>0</v>
      </c>
      <c r="V177" s="681">
        <f t="shared" si="62"/>
        <v>0</v>
      </c>
      <c r="W177" s="598">
        <f t="shared" si="63"/>
        <v>0</v>
      </c>
      <c r="X177" s="599" t="str">
        <f t="shared" si="64"/>
        <v>V</v>
      </c>
      <c r="Y177" s="600"/>
      <c r="Z177" s="686" t="e">
        <f>(R177+S177)*'1.0-Contractblad'!$L$98</f>
        <v>#DIV/0!</v>
      </c>
      <c r="AA177" s="687">
        <f ca="1">VLOOKUP(E177,'1.1a-Jaarprijzen'!$B$33:$O$51,14,FALSE)*(L177+K177)</f>
        <v>0</v>
      </c>
      <c r="AB177" s="60">
        <f t="shared" si="66"/>
        <v>0</v>
      </c>
      <c r="AD177" s="60" t="str">
        <f t="shared" si="65"/>
        <v>1040-40</v>
      </c>
    </row>
    <row r="178" spans="1:30">
      <c r="A178" s="92">
        <f t="shared" si="55"/>
        <v>1</v>
      </c>
      <c r="B178" s="605"/>
      <c r="C178" s="590"/>
      <c r="D178" s="688">
        <v>1</v>
      </c>
      <c r="E178" s="591" t="s">
        <v>632</v>
      </c>
      <c r="F178" s="592" t="s">
        <v>348</v>
      </c>
      <c r="G178" s="593" t="s">
        <v>551</v>
      </c>
      <c r="H178" s="594" t="s">
        <v>321</v>
      </c>
      <c r="I178" s="595" t="str">
        <f t="shared" si="56"/>
        <v>pantry, keuken</v>
      </c>
      <c r="J178" s="594" t="s">
        <v>493</v>
      </c>
      <c r="K178" s="678">
        <v>2.3581039474613368</v>
      </c>
      <c r="L178" s="678"/>
      <c r="M178" s="606">
        <v>5200</v>
      </c>
      <c r="N178" s="601"/>
      <c r="O178" s="601"/>
      <c r="P178" s="603">
        <f t="shared" si="57"/>
        <v>200</v>
      </c>
      <c r="Q178" s="689">
        <v>1</v>
      </c>
      <c r="R178" s="596">
        <f t="shared" si="58"/>
        <v>0</v>
      </c>
      <c r="S178" s="596">
        <f t="shared" si="59"/>
        <v>0</v>
      </c>
      <c r="T178" s="596">
        <f t="shared" si="60"/>
        <v>0</v>
      </c>
      <c r="U178" s="681">
        <f t="shared" si="61"/>
        <v>0</v>
      </c>
      <c r="V178" s="681">
        <f t="shared" si="62"/>
        <v>0</v>
      </c>
      <c r="W178" s="598">
        <f t="shared" si="63"/>
        <v>0</v>
      </c>
      <c r="X178" s="599" t="str">
        <f t="shared" si="64"/>
        <v>V</v>
      </c>
      <c r="Y178" s="600"/>
      <c r="Z178" s="686" t="e">
        <f>(R178+S178)*'1.0-Contractblad'!$L$98</f>
        <v>#DIV/0!</v>
      </c>
      <c r="AA178" s="687">
        <f ca="1">VLOOKUP(E178,'1.1a-Jaarprijzen'!$B$33:$O$51,14,FALSE)*(L178+K178)</f>
        <v>0</v>
      </c>
      <c r="AB178" s="60">
        <f t="shared" si="66"/>
        <v>0</v>
      </c>
      <c r="AD178" s="60" t="str">
        <f t="shared" si="65"/>
        <v>5200-200</v>
      </c>
    </row>
    <row r="179" spans="1:30">
      <c r="A179" s="92">
        <f t="shared" si="55"/>
        <v>1</v>
      </c>
      <c r="B179" s="605"/>
      <c r="C179" s="590"/>
      <c r="D179" s="688">
        <v>1</v>
      </c>
      <c r="E179" s="591" t="s">
        <v>632</v>
      </c>
      <c r="F179" s="592" t="s">
        <v>348</v>
      </c>
      <c r="G179" s="593" t="s">
        <v>552</v>
      </c>
      <c r="H179" s="594" t="s">
        <v>366</v>
      </c>
      <c r="I179" s="595" t="str">
        <f t="shared" si="56"/>
        <v>administratieve -, personeels- en vergaderruimte</v>
      </c>
      <c r="J179" s="594" t="s">
        <v>403</v>
      </c>
      <c r="K179" s="678">
        <v>18.680037934737438</v>
      </c>
      <c r="L179" s="678"/>
      <c r="M179" s="606">
        <v>1040</v>
      </c>
      <c r="N179" s="601"/>
      <c r="O179" s="601"/>
      <c r="P179" s="603">
        <f t="shared" si="57"/>
        <v>40</v>
      </c>
      <c r="Q179" s="689">
        <v>1</v>
      </c>
      <c r="R179" s="596">
        <f t="shared" si="58"/>
        <v>0</v>
      </c>
      <c r="S179" s="596">
        <f t="shared" si="59"/>
        <v>0</v>
      </c>
      <c r="T179" s="596">
        <f t="shared" si="60"/>
        <v>0</v>
      </c>
      <c r="U179" s="681">
        <f t="shared" si="61"/>
        <v>0</v>
      </c>
      <c r="V179" s="681">
        <f t="shared" si="62"/>
        <v>0</v>
      </c>
      <c r="W179" s="598">
        <f t="shared" si="63"/>
        <v>0</v>
      </c>
      <c r="X179" s="599" t="str">
        <f t="shared" si="64"/>
        <v>V</v>
      </c>
      <c r="Y179" s="600"/>
      <c r="Z179" s="686" t="e">
        <f>(R179+S179)*'1.0-Contractblad'!$L$98</f>
        <v>#DIV/0!</v>
      </c>
      <c r="AA179" s="687">
        <f ca="1">VLOOKUP(E179,'1.1a-Jaarprijzen'!$B$33:$O$51,14,FALSE)*(L179+K179)</f>
        <v>0</v>
      </c>
      <c r="AB179" s="60">
        <f t="shared" si="66"/>
        <v>0</v>
      </c>
      <c r="AD179" s="60" t="str">
        <f t="shared" si="65"/>
        <v>1040-40</v>
      </c>
    </row>
    <row r="180" spans="1:30">
      <c r="A180" s="92">
        <f t="shared" si="55"/>
        <v>1</v>
      </c>
      <c r="B180" s="605"/>
      <c r="C180" s="590"/>
      <c r="D180" s="688">
        <v>1</v>
      </c>
      <c r="E180" s="591" t="s">
        <v>632</v>
      </c>
      <c r="F180" s="592" t="s">
        <v>348</v>
      </c>
      <c r="G180" s="593" t="s">
        <v>553</v>
      </c>
      <c r="H180" s="594" t="s">
        <v>378</v>
      </c>
      <c r="I180" s="595" t="str">
        <f t="shared" si="56"/>
        <v>administratieve -, personeels- en vergaderruimte</v>
      </c>
      <c r="J180" s="594" t="s">
        <v>403</v>
      </c>
      <c r="K180" s="678">
        <v>16.573301172634924</v>
      </c>
      <c r="L180" s="678"/>
      <c r="M180" s="606">
        <v>1040</v>
      </c>
      <c r="N180" s="601"/>
      <c r="O180" s="601"/>
      <c r="P180" s="603">
        <f t="shared" si="57"/>
        <v>40</v>
      </c>
      <c r="Q180" s="689">
        <v>1</v>
      </c>
      <c r="R180" s="596">
        <f t="shared" si="58"/>
        <v>0</v>
      </c>
      <c r="S180" s="596">
        <f t="shared" si="59"/>
        <v>0</v>
      </c>
      <c r="T180" s="596">
        <f t="shared" si="60"/>
        <v>0</v>
      </c>
      <c r="U180" s="681">
        <f t="shared" si="61"/>
        <v>0</v>
      </c>
      <c r="V180" s="681">
        <f t="shared" si="62"/>
        <v>0</v>
      </c>
      <c r="W180" s="598">
        <f t="shared" si="63"/>
        <v>0</v>
      </c>
      <c r="X180" s="599" t="str">
        <f t="shared" si="64"/>
        <v>V</v>
      </c>
      <c r="Y180" s="600"/>
      <c r="Z180" s="686" t="e">
        <f>(R180+S180)*'1.0-Contractblad'!$L$98</f>
        <v>#DIV/0!</v>
      </c>
      <c r="AA180" s="687">
        <f ca="1">VLOOKUP(E180,'1.1a-Jaarprijzen'!$B$33:$O$51,14,FALSE)*(L180+K180)</f>
        <v>0</v>
      </c>
      <c r="AB180" s="60">
        <f t="shared" si="66"/>
        <v>0</v>
      </c>
      <c r="AD180" s="60" t="str">
        <f t="shared" si="65"/>
        <v>1040-40</v>
      </c>
    </row>
    <row r="181" spans="1:30">
      <c r="A181" s="92">
        <f t="shared" si="55"/>
        <v>1</v>
      </c>
      <c r="B181" s="605"/>
      <c r="C181" s="590"/>
      <c r="D181" s="688">
        <v>1</v>
      </c>
      <c r="E181" s="591" t="s">
        <v>632</v>
      </c>
      <c r="F181" s="592" t="s">
        <v>348</v>
      </c>
      <c r="G181" s="593" t="s">
        <v>554</v>
      </c>
      <c r="H181" s="594" t="s">
        <v>399</v>
      </c>
      <c r="I181" s="595" t="str">
        <f t="shared" si="56"/>
        <v>speellokaal (berging)</v>
      </c>
      <c r="J181" s="594" t="s">
        <v>641</v>
      </c>
      <c r="K181" s="678">
        <v>9.1165719772471032</v>
      </c>
      <c r="L181" s="678"/>
      <c r="M181" s="606">
        <v>8005</v>
      </c>
      <c r="N181" s="601"/>
      <c r="O181" s="601"/>
      <c r="P181" s="603">
        <f t="shared" si="57"/>
        <v>5</v>
      </c>
      <c r="Q181" s="689">
        <v>1</v>
      </c>
      <c r="R181" s="596">
        <f t="shared" si="58"/>
        <v>0</v>
      </c>
      <c r="S181" s="596">
        <f t="shared" si="59"/>
        <v>0</v>
      </c>
      <c r="T181" s="596">
        <f t="shared" si="60"/>
        <v>0</v>
      </c>
      <c r="U181" s="681">
        <f t="shared" si="61"/>
        <v>0</v>
      </c>
      <c r="V181" s="681">
        <f t="shared" si="62"/>
        <v>0</v>
      </c>
      <c r="W181" s="598">
        <f t="shared" si="63"/>
        <v>0</v>
      </c>
      <c r="X181" s="599" t="str">
        <f t="shared" si="64"/>
        <v>L</v>
      </c>
      <c r="Y181" s="600"/>
      <c r="Z181" s="686" t="e">
        <f>(R181+S181)*'1.0-Contractblad'!$L$98</f>
        <v>#DIV/0!</v>
      </c>
      <c r="AA181" s="687">
        <f ca="1">VLOOKUP(E181,'1.1a-Jaarprijzen'!$B$33:$O$51,14,FALSE)*(L181+K181)</f>
        <v>0</v>
      </c>
      <c r="AB181" s="60">
        <f t="shared" si="66"/>
        <v>0</v>
      </c>
      <c r="AD181" s="60" t="str">
        <f t="shared" si="65"/>
        <v>8005-5</v>
      </c>
    </row>
    <row r="182" spans="1:30">
      <c r="A182" s="92">
        <f t="shared" si="55"/>
        <v>1</v>
      </c>
      <c r="B182" s="605"/>
      <c r="C182" s="590"/>
      <c r="D182" s="688">
        <v>1</v>
      </c>
      <c r="E182" s="591" t="s">
        <v>632</v>
      </c>
      <c r="F182" s="592" t="s">
        <v>348</v>
      </c>
      <c r="G182" s="593" t="s">
        <v>555</v>
      </c>
      <c r="H182" s="594" t="s">
        <v>360</v>
      </c>
      <c r="I182" s="595" t="str">
        <f t="shared" si="56"/>
        <v>niet van toepassing</v>
      </c>
      <c r="J182" s="594" t="s">
        <v>639</v>
      </c>
      <c r="K182" s="678"/>
      <c r="L182" s="678">
        <v>0.5</v>
      </c>
      <c r="M182" s="606" t="s">
        <v>27</v>
      </c>
      <c r="N182" s="601"/>
      <c r="O182" s="601"/>
      <c r="P182" s="603">
        <f t="shared" si="57"/>
        <v>0</v>
      </c>
      <c r="Q182" s="689">
        <v>1</v>
      </c>
      <c r="R182" s="596">
        <f t="shared" si="58"/>
        <v>0</v>
      </c>
      <c r="S182" s="596">
        <f t="shared" si="59"/>
        <v>0</v>
      </c>
      <c r="T182" s="596">
        <f t="shared" si="60"/>
        <v>0</v>
      </c>
      <c r="U182" s="681">
        <f t="shared" si="61"/>
        <v>0</v>
      </c>
      <c r="V182" s="681">
        <f t="shared" si="62"/>
        <v>0</v>
      </c>
      <c r="W182" s="598">
        <f t="shared" si="63"/>
        <v>0</v>
      </c>
      <c r="X182" s="599">
        <f t="shared" si="64"/>
        <v>0</v>
      </c>
      <c r="Y182" s="600"/>
      <c r="Z182" s="686" t="e">
        <f>(R182+S182)*'1.0-Contractblad'!$L$98</f>
        <v>#DIV/0!</v>
      </c>
      <c r="AA182" s="687">
        <f ca="1">VLOOKUP(E182,'1.1a-Jaarprijzen'!$B$33:$O$51,14,FALSE)*(L182+K182)</f>
        <v>0</v>
      </c>
      <c r="AB182" s="60">
        <f t="shared" si="66"/>
        <v>0</v>
      </c>
      <c r="AD182" s="60" t="str">
        <f t="shared" si="65"/>
        <v>nvt-0</v>
      </c>
    </row>
    <row r="183" spans="1:30">
      <c r="A183" s="92">
        <f t="shared" si="55"/>
        <v>1</v>
      </c>
      <c r="B183" s="605"/>
      <c r="C183" s="590"/>
      <c r="D183" s="688">
        <v>1</v>
      </c>
      <c r="E183" s="591" t="s">
        <v>632</v>
      </c>
      <c r="F183" s="592" t="s">
        <v>348</v>
      </c>
      <c r="G183" s="593" t="s">
        <v>556</v>
      </c>
      <c r="H183" s="594" t="s">
        <v>311</v>
      </c>
      <c r="I183" s="595" t="str">
        <f t="shared" si="56"/>
        <v>niet van toepassing</v>
      </c>
      <c r="J183" s="594" t="s">
        <v>639</v>
      </c>
      <c r="K183" s="678"/>
      <c r="L183" s="678">
        <v>1.7393351800554016</v>
      </c>
      <c r="M183" s="606" t="s">
        <v>27</v>
      </c>
      <c r="N183" s="601"/>
      <c r="O183" s="601"/>
      <c r="P183" s="603">
        <f t="shared" si="57"/>
        <v>0</v>
      </c>
      <c r="Q183" s="689">
        <v>1</v>
      </c>
      <c r="R183" s="596">
        <f t="shared" si="58"/>
        <v>0</v>
      </c>
      <c r="S183" s="596">
        <f t="shared" si="59"/>
        <v>0</v>
      </c>
      <c r="T183" s="596">
        <f t="shared" si="60"/>
        <v>0</v>
      </c>
      <c r="U183" s="681">
        <f t="shared" si="61"/>
        <v>0</v>
      </c>
      <c r="V183" s="681">
        <f t="shared" si="62"/>
        <v>0</v>
      </c>
      <c r="W183" s="598">
        <f t="shared" si="63"/>
        <v>0</v>
      </c>
      <c r="X183" s="599">
        <f t="shared" si="64"/>
        <v>0</v>
      </c>
      <c r="Y183" s="600"/>
      <c r="Z183" s="686" t="e">
        <f>(R183+S183)*'1.0-Contractblad'!$L$98</f>
        <v>#DIV/0!</v>
      </c>
      <c r="AA183" s="687">
        <f ca="1">VLOOKUP(E183,'1.1a-Jaarprijzen'!$B$33:$O$51,14,FALSE)*(L183+K183)</f>
        <v>0</v>
      </c>
      <c r="AB183" s="60">
        <f t="shared" si="66"/>
        <v>0</v>
      </c>
      <c r="AD183" s="60" t="str">
        <f t="shared" si="65"/>
        <v>nvt-0</v>
      </c>
    </row>
    <row r="184" spans="1:30">
      <c r="A184" s="92">
        <f t="shared" si="55"/>
        <v>1</v>
      </c>
      <c r="B184" s="605"/>
      <c r="C184" s="590"/>
      <c r="D184" s="688">
        <v>1</v>
      </c>
      <c r="E184" s="591" t="s">
        <v>632</v>
      </c>
      <c r="F184" s="592" t="s">
        <v>348</v>
      </c>
      <c r="G184" s="593" t="s">
        <v>557</v>
      </c>
      <c r="H184" s="594" t="s">
        <v>558</v>
      </c>
      <c r="I184" s="595" t="str">
        <f t="shared" si="56"/>
        <v>niet van toepassing</v>
      </c>
      <c r="J184" s="594" t="s">
        <v>639</v>
      </c>
      <c r="K184" s="678"/>
      <c r="L184" s="678">
        <v>13.483550792797633</v>
      </c>
      <c r="M184" s="606" t="s">
        <v>27</v>
      </c>
      <c r="N184" s="601"/>
      <c r="O184" s="601"/>
      <c r="P184" s="603">
        <f t="shared" si="57"/>
        <v>0</v>
      </c>
      <c r="Q184" s="689">
        <v>1</v>
      </c>
      <c r="R184" s="596">
        <f t="shared" si="58"/>
        <v>0</v>
      </c>
      <c r="S184" s="596">
        <f t="shared" si="59"/>
        <v>0</v>
      </c>
      <c r="T184" s="596">
        <f t="shared" si="60"/>
        <v>0</v>
      </c>
      <c r="U184" s="681">
        <f t="shared" si="61"/>
        <v>0</v>
      </c>
      <c r="V184" s="681">
        <f t="shared" si="62"/>
        <v>0</v>
      </c>
      <c r="W184" s="598">
        <f t="shared" si="63"/>
        <v>0</v>
      </c>
      <c r="X184" s="599">
        <f t="shared" si="64"/>
        <v>0</v>
      </c>
      <c r="Y184" s="600"/>
      <c r="Z184" s="686" t="e">
        <f>(R184+S184)*'1.0-Contractblad'!$L$98</f>
        <v>#DIV/0!</v>
      </c>
      <c r="AA184" s="687">
        <f ca="1">VLOOKUP(E184,'1.1a-Jaarprijzen'!$B$33:$O$51,14,FALSE)*(L184+K184)</f>
        <v>0</v>
      </c>
      <c r="AB184" s="60">
        <f t="shared" si="66"/>
        <v>0</v>
      </c>
      <c r="AD184" s="60" t="str">
        <f t="shared" si="65"/>
        <v>nvt-0</v>
      </c>
    </row>
    <row r="185" spans="1:30">
      <c r="A185" s="92">
        <f t="shared" si="55"/>
        <v>1</v>
      </c>
      <c r="B185" s="605"/>
      <c r="C185" s="590"/>
      <c r="D185" s="688">
        <v>1</v>
      </c>
      <c r="E185" s="591" t="s">
        <v>632</v>
      </c>
      <c r="F185" s="592" t="s">
        <v>348</v>
      </c>
      <c r="G185" s="593" t="s">
        <v>559</v>
      </c>
      <c r="H185" s="594" t="s">
        <v>521</v>
      </c>
      <c r="I185" s="595" t="str">
        <f t="shared" si="56"/>
        <v>niet van toepassing</v>
      </c>
      <c r="J185" s="594" t="s">
        <v>639</v>
      </c>
      <c r="K185" s="678"/>
      <c r="L185" s="678">
        <v>1.4271468144044321</v>
      </c>
      <c r="M185" s="606" t="s">
        <v>27</v>
      </c>
      <c r="N185" s="601"/>
      <c r="O185" s="601"/>
      <c r="P185" s="603">
        <f t="shared" si="57"/>
        <v>0</v>
      </c>
      <c r="Q185" s="689">
        <v>1</v>
      </c>
      <c r="R185" s="596">
        <f t="shared" si="58"/>
        <v>0</v>
      </c>
      <c r="S185" s="596">
        <f t="shared" si="59"/>
        <v>0</v>
      </c>
      <c r="T185" s="596">
        <f t="shared" si="60"/>
        <v>0</v>
      </c>
      <c r="U185" s="681">
        <f t="shared" si="61"/>
        <v>0</v>
      </c>
      <c r="V185" s="681">
        <f t="shared" si="62"/>
        <v>0</v>
      </c>
      <c r="W185" s="598">
        <f t="shared" si="63"/>
        <v>0</v>
      </c>
      <c r="X185" s="599">
        <f t="shared" si="64"/>
        <v>0</v>
      </c>
      <c r="Y185" s="600"/>
      <c r="Z185" s="686" t="e">
        <f>(R185+S185)*'1.0-Contractblad'!$L$98</f>
        <v>#DIV/0!</v>
      </c>
      <c r="AA185" s="687">
        <f ca="1">VLOOKUP(E185,'1.1a-Jaarprijzen'!$B$33:$O$51,14,FALSE)*(L185+K185)</f>
        <v>0</v>
      </c>
      <c r="AB185" s="60">
        <f t="shared" si="66"/>
        <v>0</v>
      </c>
      <c r="AD185" s="60" t="str">
        <f t="shared" si="65"/>
        <v>nvt-0</v>
      </c>
    </row>
    <row r="186" spans="1:30">
      <c r="A186" s="92">
        <f t="shared" si="55"/>
        <v>1</v>
      </c>
      <c r="B186" s="605"/>
      <c r="C186" s="590"/>
      <c r="D186" s="688">
        <v>1</v>
      </c>
      <c r="E186" s="591" t="s">
        <v>632</v>
      </c>
      <c r="F186" s="592" t="s">
        <v>348</v>
      </c>
      <c r="G186" s="593" t="s">
        <v>560</v>
      </c>
      <c r="H186" s="594" t="s">
        <v>309</v>
      </c>
      <c r="I186" s="595" t="str">
        <f t="shared" si="56"/>
        <v>niet van toepassing</v>
      </c>
      <c r="J186" s="594" t="s">
        <v>639</v>
      </c>
      <c r="K186" s="678"/>
      <c r="L186" s="678">
        <v>5.8281076388888895</v>
      </c>
      <c r="M186" s="606" t="s">
        <v>27</v>
      </c>
      <c r="N186" s="601"/>
      <c r="O186" s="601"/>
      <c r="P186" s="603">
        <f t="shared" si="57"/>
        <v>0</v>
      </c>
      <c r="Q186" s="689">
        <v>1</v>
      </c>
      <c r="R186" s="596">
        <f t="shared" si="58"/>
        <v>0</v>
      </c>
      <c r="S186" s="596">
        <f t="shared" si="59"/>
        <v>0</v>
      </c>
      <c r="T186" s="596">
        <f t="shared" si="60"/>
        <v>0</v>
      </c>
      <c r="U186" s="681">
        <f t="shared" si="61"/>
        <v>0</v>
      </c>
      <c r="V186" s="681">
        <f t="shared" si="62"/>
        <v>0</v>
      </c>
      <c r="W186" s="598">
        <f t="shared" si="63"/>
        <v>0</v>
      </c>
      <c r="X186" s="599">
        <f t="shared" si="64"/>
        <v>0</v>
      </c>
      <c r="Y186" s="600"/>
      <c r="Z186" s="686" t="e">
        <f>(R186+S186)*'1.0-Contractblad'!$L$98</f>
        <v>#DIV/0!</v>
      </c>
      <c r="AA186" s="687">
        <f ca="1">VLOOKUP(E186,'1.1a-Jaarprijzen'!$B$33:$O$51,14,FALSE)*(L186+K186)</f>
        <v>0</v>
      </c>
      <c r="AB186" s="60">
        <f t="shared" si="66"/>
        <v>0</v>
      </c>
      <c r="AD186" s="60" t="str">
        <f t="shared" si="65"/>
        <v>nvt-0</v>
      </c>
    </row>
    <row r="187" spans="1:30">
      <c r="A187" s="92">
        <f t="shared" si="55"/>
        <v>1</v>
      </c>
      <c r="B187" s="605"/>
      <c r="C187" s="590"/>
      <c r="D187" s="688">
        <v>1</v>
      </c>
      <c r="E187" s="591" t="s">
        <v>632</v>
      </c>
      <c r="F187" s="592" t="s">
        <v>348</v>
      </c>
      <c r="G187" s="593" t="s">
        <v>561</v>
      </c>
      <c r="H187" s="594" t="s">
        <v>309</v>
      </c>
      <c r="I187" s="595" t="str">
        <f t="shared" si="56"/>
        <v>niet van toepassing</v>
      </c>
      <c r="J187" s="594" t="s">
        <v>639</v>
      </c>
      <c r="K187" s="678"/>
      <c r="L187" s="678">
        <v>1.0971191135734071</v>
      </c>
      <c r="M187" s="606" t="s">
        <v>27</v>
      </c>
      <c r="N187" s="601"/>
      <c r="O187" s="601"/>
      <c r="P187" s="603">
        <f t="shared" si="57"/>
        <v>0</v>
      </c>
      <c r="Q187" s="689">
        <v>1</v>
      </c>
      <c r="R187" s="596">
        <f t="shared" si="58"/>
        <v>0</v>
      </c>
      <c r="S187" s="596">
        <f t="shared" si="59"/>
        <v>0</v>
      </c>
      <c r="T187" s="596">
        <f t="shared" si="60"/>
        <v>0</v>
      </c>
      <c r="U187" s="681">
        <f t="shared" si="61"/>
        <v>0</v>
      </c>
      <c r="V187" s="681">
        <f t="shared" si="62"/>
        <v>0</v>
      </c>
      <c r="W187" s="598">
        <f t="shared" si="63"/>
        <v>0</v>
      </c>
      <c r="X187" s="599">
        <f t="shared" si="64"/>
        <v>0</v>
      </c>
      <c r="Y187" s="600"/>
      <c r="Z187" s="686" t="e">
        <f>(R187+S187)*'1.0-Contractblad'!$L$98</f>
        <v>#DIV/0!</v>
      </c>
      <c r="AA187" s="687">
        <f ca="1">VLOOKUP(E187,'1.1a-Jaarprijzen'!$B$33:$O$51,14,FALSE)*(L187+K187)</f>
        <v>0</v>
      </c>
      <c r="AB187" s="60">
        <f t="shared" si="66"/>
        <v>0</v>
      </c>
      <c r="AD187" s="60" t="str">
        <f t="shared" si="65"/>
        <v>nvt-0</v>
      </c>
    </row>
    <row r="188" spans="1:30">
      <c r="A188" s="92">
        <f t="shared" si="55"/>
        <v>1</v>
      </c>
      <c r="B188" s="605"/>
      <c r="C188" s="590"/>
      <c r="D188" s="688">
        <v>1</v>
      </c>
      <c r="E188" s="591" t="s">
        <v>632</v>
      </c>
      <c r="F188" s="592" t="s">
        <v>348</v>
      </c>
      <c r="G188" s="593" t="s">
        <v>562</v>
      </c>
      <c r="H188" s="594" t="s">
        <v>309</v>
      </c>
      <c r="I188" s="595" t="str">
        <f t="shared" si="56"/>
        <v>niet van toepassing</v>
      </c>
      <c r="J188" s="594" t="s">
        <v>639</v>
      </c>
      <c r="K188" s="678"/>
      <c r="L188" s="678">
        <v>6.1391840277777776</v>
      </c>
      <c r="M188" s="606" t="s">
        <v>27</v>
      </c>
      <c r="N188" s="601"/>
      <c r="O188" s="601"/>
      <c r="P188" s="603">
        <f t="shared" si="57"/>
        <v>0</v>
      </c>
      <c r="Q188" s="689">
        <v>1</v>
      </c>
      <c r="R188" s="596">
        <f t="shared" si="58"/>
        <v>0</v>
      </c>
      <c r="S188" s="596">
        <f t="shared" si="59"/>
        <v>0</v>
      </c>
      <c r="T188" s="596">
        <f t="shared" si="60"/>
        <v>0</v>
      </c>
      <c r="U188" s="681">
        <f t="shared" si="61"/>
        <v>0</v>
      </c>
      <c r="V188" s="681">
        <f t="shared" si="62"/>
        <v>0</v>
      </c>
      <c r="W188" s="598">
        <f t="shared" si="63"/>
        <v>0</v>
      </c>
      <c r="X188" s="599">
        <f t="shared" si="64"/>
        <v>0</v>
      </c>
      <c r="Y188" s="600"/>
      <c r="Z188" s="686" t="e">
        <f>(R188+S188)*'1.0-Contractblad'!$L$98</f>
        <v>#DIV/0!</v>
      </c>
      <c r="AA188" s="687">
        <f ca="1">VLOOKUP(E188,'1.1a-Jaarprijzen'!$B$33:$O$51,14,FALSE)*(L188+K188)</f>
        <v>0</v>
      </c>
      <c r="AB188" s="60">
        <f t="shared" si="66"/>
        <v>0</v>
      </c>
      <c r="AD188" s="60" t="str">
        <f t="shared" si="65"/>
        <v>nvt-0</v>
      </c>
    </row>
    <row r="189" spans="1:30">
      <c r="A189" s="92">
        <f t="shared" ref="A189:A195" si="67">D189</f>
        <v>1</v>
      </c>
      <c r="B189" s="605"/>
      <c r="C189" s="590"/>
      <c r="D189" s="688">
        <v>1</v>
      </c>
      <c r="E189" s="591" t="s">
        <v>632</v>
      </c>
      <c r="F189" s="592" t="s">
        <v>348</v>
      </c>
      <c r="G189" s="593" t="s">
        <v>563</v>
      </c>
      <c r="H189" s="594" t="s">
        <v>309</v>
      </c>
      <c r="I189" s="595" t="str">
        <f t="shared" si="56"/>
        <v>niet van toepassing</v>
      </c>
      <c r="J189" s="594" t="s">
        <v>639</v>
      </c>
      <c r="K189" s="678"/>
      <c r="L189" s="678">
        <v>12.05192975325577</v>
      </c>
      <c r="M189" s="606" t="s">
        <v>27</v>
      </c>
      <c r="N189" s="601"/>
      <c r="O189" s="601"/>
      <c r="P189" s="603">
        <f t="shared" si="57"/>
        <v>0</v>
      </c>
      <c r="Q189" s="689">
        <v>1</v>
      </c>
      <c r="R189" s="596">
        <f t="shared" si="58"/>
        <v>0</v>
      </c>
      <c r="S189" s="596">
        <f t="shared" si="59"/>
        <v>0</v>
      </c>
      <c r="T189" s="596">
        <f t="shared" si="60"/>
        <v>0</v>
      </c>
      <c r="U189" s="681">
        <f t="shared" si="61"/>
        <v>0</v>
      </c>
      <c r="V189" s="681">
        <f t="shared" si="62"/>
        <v>0</v>
      </c>
      <c r="W189" s="598">
        <f t="shared" si="63"/>
        <v>0</v>
      </c>
      <c r="X189" s="599">
        <f t="shared" si="64"/>
        <v>0</v>
      </c>
      <c r="Y189" s="600"/>
      <c r="Z189" s="686" t="e">
        <f>(R189+S189)*'1.0-Contractblad'!$L$98</f>
        <v>#DIV/0!</v>
      </c>
      <c r="AA189" s="687">
        <f ca="1">VLOOKUP(E189,'1.1a-Jaarprijzen'!$B$33:$O$51,14,FALSE)*(L189+K189)</f>
        <v>0</v>
      </c>
      <c r="AB189" s="60">
        <f t="shared" si="66"/>
        <v>0</v>
      </c>
      <c r="AD189" s="60" t="str">
        <f t="shared" si="65"/>
        <v>nvt-0</v>
      </c>
    </row>
    <row r="190" spans="1:30">
      <c r="A190" s="92">
        <f t="shared" si="67"/>
        <v>1</v>
      </c>
      <c r="B190" s="605"/>
      <c r="C190" s="590"/>
      <c r="D190" s="688">
        <v>1</v>
      </c>
      <c r="E190" s="591" t="s">
        <v>632</v>
      </c>
      <c r="F190" s="592" t="s">
        <v>348</v>
      </c>
      <c r="G190" s="593" t="s">
        <v>564</v>
      </c>
      <c r="H190" s="594" t="s">
        <v>309</v>
      </c>
      <c r="I190" s="595" t="str">
        <f t="shared" si="56"/>
        <v>niet van toepassing</v>
      </c>
      <c r="J190" s="594" t="s">
        <v>639</v>
      </c>
      <c r="K190" s="678"/>
      <c r="L190" s="678">
        <v>8.58</v>
      </c>
      <c r="M190" s="606" t="s">
        <v>27</v>
      </c>
      <c r="N190" s="601"/>
      <c r="O190" s="601"/>
      <c r="P190" s="603">
        <f t="shared" si="57"/>
        <v>0</v>
      </c>
      <c r="Q190" s="689">
        <v>1</v>
      </c>
      <c r="R190" s="596">
        <f t="shared" si="58"/>
        <v>0</v>
      </c>
      <c r="S190" s="596">
        <f t="shared" si="59"/>
        <v>0</v>
      </c>
      <c r="T190" s="596">
        <f t="shared" si="60"/>
        <v>0</v>
      </c>
      <c r="U190" s="681">
        <f t="shared" si="61"/>
        <v>0</v>
      </c>
      <c r="V190" s="681">
        <f t="shared" si="62"/>
        <v>0</v>
      </c>
      <c r="W190" s="598">
        <f t="shared" si="63"/>
        <v>0</v>
      </c>
      <c r="X190" s="599">
        <f t="shared" si="64"/>
        <v>0</v>
      </c>
      <c r="Y190" s="600"/>
      <c r="Z190" s="686" t="e">
        <f>(R190+S190)*'1.0-Contractblad'!$L$98</f>
        <v>#DIV/0!</v>
      </c>
      <c r="AA190" s="687">
        <f ca="1">VLOOKUP(E190,'1.1a-Jaarprijzen'!$B$33:$O$51,14,FALSE)*(L190+K190)</f>
        <v>0</v>
      </c>
      <c r="AB190" s="60">
        <f t="shared" si="66"/>
        <v>0</v>
      </c>
      <c r="AD190" s="60" t="str">
        <f t="shared" si="65"/>
        <v>nvt-0</v>
      </c>
    </row>
    <row r="191" spans="1:30">
      <c r="A191" s="92">
        <f t="shared" si="67"/>
        <v>1</v>
      </c>
      <c r="B191" s="605"/>
      <c r="C191" s="590"/>
      <c r="D191" s="688">
        <v>1</v>
      </c>
      <c r="E191" s="591" t="s">
        <v>632</v>
      </c>
      <c r="F191" s="592" t="s">
        <v>348</v>
      </c>
      <c r="G191" s="593" t="s">
        <v>565</v>
      </c>
      <c r="H191" s="594" t="s">
        <v>309</v>
      </c>
      <c r="I191" s="595" t="str">
        <f t="shared" si="56"/>
        <v>niet van toepassing</v>
      </c>
      <c r="J191" s="594" t="s">
        <v>639</v>
      </c>
      <c r="K191" s="678"/>
      <c r="L191" s="678">
        <v>10.768287809544054</v>
      </c>
      <c r="M191" s="606" t="s">
        <v>27</v>
      </c>
      <c r="N191" s="601"/>
      <c r="O191" s="601"/>
      <c r="P191" s="603">
        <f t="shared" si="57"/>
        <v>0</v>
      </c>
      <c r="Q191" s="689">
        <v>1</v>
      </c>
      <c r="R191" s="596">
        <f t="shared" si="58"/>
        <v>0</v>
      </c>
      <c r="S191" s="596">
        <f t="shared" si="59"/>
        <v>0</v>
      </c>
      <c r="T191" s="596">
        <f t="shared" si="60"/>
        <v>0</v>
      </c>
      <c r="U191" s="681">
        <f t="shared" si="61"/>
        <v>0</v>
      </c>
      <c r="V191" s="681">
        <f t="shared" si="62"/>
        <v>0</v>
      </c>
      <c r="W191" s="598">
        <f t="shared" si="63"/>
        <v>0</v>
      </c>
      <c r="X191" s="599">
        <f t="shared" si="64"/>
        <v>0</v>
      </c>
      <c r="Y191" s="600"/>
      <c r="Z191" s="686" t="e">
        <f>(R191+S191)*'1.0-Contractblad'!$L$98</f>
        <v>#DIV/0!</v>
      </c>
      <c r="AA191" s="687">
        <f ca="1">VLOOKUP(E191,'1.1a-Jaarprijzen'!$B$33:$O$51,14,FALSE)*(L191+K191)</f>
        <v>0</v>
      </c>
      <c r="AB191" s="60">
        <f t="shared" si="66"/>
        <v>0</v>
      </c>
      <c r="AD191" s="60" t="str">
        <f t="shared" si="65"/>
        <v>nvt-0</v>
      </c>
    </row>
    <row r="192" spans="1:30">
      <c r="A192" s="92">
        <f t="shared" si="67"/>
        <v>1</v>
      </c>
      <c r="B192" s="605"/>
      <c r="C192" s="590"/>
      <c r="D192" s="688">
        <v>1</v>
      </c>
      <c r="E192" s="591" t="s">
        <v>632</v>
      </c>
      <c r="F192" s="592" t="s">
        <v>348</v>
      </c>
      <c r="G192" s="593" t="s">
        <v>566</v>
      </c>
      <c r="H192" s="594" t="s">
        <v>309</v>
      </c>
      <c r="I192" s="595" t="str">
        <f t="shared" si="56"/>
        <v>niet van toepassing</v>
      </c>
      <c r="J192" s="594" t="s">
        <v>639</v>
      </c>
      <c r="K192" s="678"/>
      <c r="L192" s="678">
        <v>1.7214958448753461</v>
      </c>
      <c r="M192" s="606" t="s">
        <v>27</v>
      </c>
      <c r="N192" s="601"/>
      <c r="O192" s="601"/>
      <c r="P192" s="603">
        <f t="shared" si="57"/>
        <v>0</v>
      </c>
      <c r="Q192" s="689">
        <v>1</v>
      </c>
      <c r="R192" s="596">
        <f t="shared" si="58"/>
        <v>0</v>
      </c>
      <c r="S192" s="596">
        <f t="shared" si="59"/>
        <v>0</v>
      </c>
      <c r="T192" s="596">
        <f t="shared" si="60"/>
        <v>0</v>
      </c>
      <c r="U192" s="681">
        <f t="shared" si="61"/>
        <v>0</v>
      </c>
      <c r="V192" s="681">
        <f t="shared" si="62"/>
        <v>0</v>
      </c>
      <c r="W192" s="598">
        <f t="shared" si="63"/>
        <v>0</v>
      </c>
      <c r="X192" s="599">
        <f t="shared" si="64"/>
        <v>0</v>
      </c>
      <c r="Y192" s="600"/>
      <c r="Z192" s="686" t="e">
        <f>(R192+S192)*'1.0-Contractblad'!$L$98</f>
        <v>#DIV/0!</v>
      </c>
      <c r="AA192" s="687">
        <f ca="1">VLOOKUP(E192,'1.1a-Jaarprijzen'!$B$33:$O$51,14,FALSE)*(L192+K192)</f>
        <v>0</v>
      </c>
      <c r="AB192" s="60">
        <f t="shared" si="66"/>
        <v>0</v>
      </c>
      <c r="AD192" s="60" t="str">
        <f t="shared" si="65"/>
        <v>nvt-0</v>
      </c>
    </row>
    <row r="193" spans="1:30">
      <c r="A193" s="92">
        <f t="shared" si="67"/>
        <v>1</v>
      </c>
      <c r="B193" s="605"/>
      <c r="C193" s="590"/>
      <c r="D193" s="688">
        <v>1</v>
      </c>
      <c r="E193" s="591" t="s">
        <v>632</v>
      </c>
      <c r="F193" s="592" t="s">
        <v>348</v>
      </c>
      <c r="G193" s="593" t="s">
        <v>567</v>
      </c>
      <c r="H193" s="594" t="s">
        <v>309</v>
      </c>
      <c r="I193" s="595" t="str">
        <f t="shared" si="56"/>
        <v>niet van toepassing</v>
      </c>
      <c r="J193" s="594" t="s">
        <v>639</v>
      </c>
      <c r="K193" s="678"/>
      <c r="L193" s="678">
        <v>5.672569444444445</v>
      </c>
      <c r="M193" s="606" t="s">
        <v>27</v>
      </c>
      <c r="N193" s="601"/>
      <c r="O193" s="601"/>
      <c r="P193" s="603">
        <f t="shared" si="57"/>
        <v>0</v>
      </c>
      <c r="Q193" s="689">
        <v>1</v>
      </c>
      <c r="R193" s="596">
        <f t="shared" si="58"/>
        <v>0</v>
      </c>
      <c r="S193" s="596">
        <f t="shared" si="59"/>
        <v>0</v>
      </c>
      <c r="T193" s="596">
        <f t="shared" si="60"/>
        <v>0</v>
      </c>
      <c r="U193" s="681">
        <f t="shared" si="61"/>
        <v>0</v>
      </c>
      <c r="V193" s="681">
        <f t="shared" si="62"/>
        <v>0</v>
      </c>
      <c r="W193" s="598">
        <f t="shared" si="63"/>
        <v>0</v>
      </c>
      <c r="X193" s="599">
        <f t="shared" si="64"/>
        <v>0</v>
      </c>
      <c r="Y193" s="600"/>
      <c r="Z193" s="686" t="e">
        <f>(R193+S193)*'1.0-Contractblad'!$L$98</f>
        <v>#DIV/0!</v>
      </c>
      <c r="AA193" s="687">
        <f ca="1">VLOOKUP(E193,'1.1a-Jaarprijzen'!$B$33:$O$51,14,FALSE)*(L193+K193)</f>
        <v>0</v>
      </c>
      <c r="AB193" s="60">
        <f t="shared" si="66"/>
        <v>0</v>
      </c>
      <c r="AD193" s="60" t="str">
        <f t="shared" si="65"/>
        <v>nvt-0</v>
      </c>
    </row>
    <row r="194" spans="1:30">
      <c r="A194" s="92">
        <f t="shared" si="67"/>
        <v>1</v>
      </c>
      <c r="B194" s="605"/>
      <c r="C194" s="590"/>
      <c r="D194" s="688">
        <v>1</v>
      </c>
      <c r="E194" s="591" t="s">
        <v>632</v>
      </c>
      <c r="F194" s="592" t="s">
        <v>348</v>
      </c>
      <c r="G194" s="593" t="s">
        <v>568</v>
      </c>
      <c r="H194" s="594" t="s">
        <v>309</v>
      </c>
      <c r="I194" s="595" t="str">
        <f t="shared" si="56"/>
        <v>niet van toepassing</v>
      </c>
      <c r="J194" s="594" t="s">
        <v>639</v>
      </c>
      <c r="K194" s="678"/>
      <c r="L194" s="678">
        <v>5</v>
      </c>
      <c r="M194" s="606" t="s">
        <v>27</v>
      </c>
      <c r="N194" s="601"/>
      <c r="O194" s="601"/>
      <c r="P194" s="603">
        <f t="shared" si="57"/>
        <v>0</v>
      </c>
      <c r="Q194" s="689">
        <v>1</v>
      </c>
      <c r="R194" s="596">
        <f t="shared" si="58"/>
        <v>0</v>
      </c>
      <c r="S194" s="596">
        <f t="shared" si="59"/>
        <v>0</v>
      </c>
      <c r="T194" s="596">
        <f t="shared" si="60"/>
        <v>0</v>
      </c>
      <c r="U194" s="681">
        <f t="shared" si="61"/>
        <v>0</v>
      </c>
      <c r="V194" s="681">
        <f t="shared" si="62"/>
        <v>0</v>
      </c>
      <c r="W194" s="598">
        <f t="shared" si="63"/>
        <v>0</v>
      </c>
      <c r="X194" s="599">
        <f t="shared" si="64"/>
        <v>0</v>
      </c>
      <c r="Y194" s="600"/>
      <c r="Z194" s="686" t="e">
        <f>(R194+S194)*'1.0-Contractblad'!$L$98</f>
        <v>#DIV/0!</v>
      </c>
      <c r="AA194" s="687">
        <f ca="1">VLOOKUP(E194,'1.1a-Jaarprijzen'!$B$33:$O$51,14,FALSE)*(L194+K194)</f>
        <v>0</v>
      </c>
      <c r="AB194" s="60">
        <f t="shared" si="66"/>
        <v>0</v>
      </c>
      <c r="AD194" s="60" t="str">
        <f t="shared" si="65"/>
        <v>nvt-0</v>
      </c>
    </row>
    <row r="195" spans="1:30">
      <c r="A195" s="92">
        <f t="shared" si="67"/>
        <v>1</v>
      </c>
      <c r="B195" s="605"/>
      <c r="C195" s="590"/>
      <c r="D195" s="688">
        <v>1</v>
      </c>
      <c r="E195" s="591" t="s">
        <v>632</v>
      </c>
      <c r="F195" s="592" t="s">
        <v>348</v>
      </c>
      <c r="G195" s="593" t="s">
        <v>569</v>
      </c>
      <c r="H195" s="594" t="s">
        <v>309</v>
      </c>
      <c r="I195" s="595" t="str">
        <f t="shared" si="56"/>
        <v>niet van toepassing</v>
      </c>
      <c r="J195" s="594" t="s">
        <v>639</v>
      </c>
      <c r="K195" s="678"/>
      <c r="L195" s="678">
        <v>6.239826388888889</v>
      </c>
      <c r="M195" s="606" t="s">
        <v>27</v>
      </c>
      <c r="N195" s="601"/>
      <c r="O195" s="601"/>
      <c r="P195" s="603">
        <f t="shared" si="57"/>
        <v>0</v>
      </c>
      <c r="Q195" s="689">
        <v>1</v>
      </c>
      <c r="R195" s="596">
        <f t="shared" si="58"/>
        <v>0</v>
      </c>
      <c r="S195" s="596">
        <f t="shared" si="59"/>
        <v>0</v>
      </c>
      <c r="T195" s="596">
        <f t="shared" si="60"/>
        <v>0</v>
      </c>
      <c r="U195" s="681">
        <f t="shared" si="61"/>
        <v>0</v>
      </c>
      <c r="V195" s="681">
        <f t="shared" si="62"/>
        <v>0</v>
      </c>
      <c r="W195" s="598">
        <f t="shared" si="63"/>
        <v>0</v>
      </c>
      <c r="X195" s="599">
        <f t="shared" si="64"/>
        <v>0</v>
      </c>
      <c r="Y195" s="600"/>
      <c r="Z195" s="686" t="e">
        <f>(R195+S195)*'1.0-Contractblad'!$L$98</f>
        <v>#DIV/0!</v>
      </c>
      <c r="AA195" s="687">
        <f ca="1">VLOOKUP(E195,'1.1a-Jaarprijzen'!$B$33:$O$51,14,FALSE)*(L195+K195)</f>
        <v>0</v>
      </c>
      <c r="AB195" s="60">
        <f t="shared" si="66"/>
        <v>0</v>
      </c>
      <c r="AD195" s="60" t="str">
        <f t="shared" si="65"/>
        <v>nvt-0</v>
      </c>
    </row>
    <row r="196" spans="1:30">
      <c r="A196" s="92">
        <f t="shared" ref="A196:A227" si="68">D196</f>
        <v>1</v>
      </c>
      <c r="B196" s="605"/>
      <c r="C196" s="590"/>
      <c r="D196" s="688">
        <v>1</v>
      </c>
      <c r="E196" s="591" t="s">
        <v>583</v>
      </c>
      <c r="F196" s="592" t="s">
        <v>348</v>
      </c>
      <c r="G196" s="593" t="s">
        <v>353</v>
      </c>
      <c r="H196" s="594" t="s">
        <v>320</v>
      </c>
      <c r="I196" s="595" t="str">
        <f t="shared" ref="I196:I238" si="69">IF($M196="",0,VLOOKUP($M196,Kengetal,4,FALSE))</f>
        <v>speellokaal (peuterspeelzaal incl speelhuisje)</v>
      </c>
      <c r="J196" s="594" t="s">
        <v>493</v>
      </c>
      <c r="K196" s="678">
        <v>59.167773607172698</v>
      </c>
      <c r="L196" s="678"/>
      <c r="M196" s="606">
        <v>6200</v>
      </c>
      <c r="N196" s="601"/>
      <c r="O196" s="601"/>
      <c r="P196" s="603">
        <f t="shared" ref="P196:P238" si="70">VLOOKUP(M196,Kengetal,3,FALSE)+VLOOKUP(N196,Kengetal,3,FALSE)+VLOOKUP(O196,Kengetal,3,FALSE)</f>
        <v>200</v>
      </c>
      <c r="Q196" s="689">
        <v>1</v>
      </c>
      <c r="R196" s="596">
        <f t="shared" ref="R196:R238" si="71">U196*K196*Q196</f>
        <v>0</v>
      </c>
      <c r="S196" s="596">
        <f t="shared" ref="S196:S238" si="72">V196*K196*Q196</f>
        <v>0</v>
      </c>
      <c r="T196" s="596">
        <f t="shared" ref="T196:T227" si="73">W196*K196*Q196</f>
        <v>0</v>
      </c>
      <c r="U196" s="681">
        <f t="shared" ref="U196:U238" si="74">VLOOKUP($M196,Kengetal,6,FALSE)</f>
        <v>0</v>
      </c>
      <c r="V196" s="681">
        <f t="shared" ref="V196:V238" si="75">VLOOKUP($M196,Kengetal,7,FALSE)</f>
        <v>0</v>
      </c>
      <c r="W196" s="598">
        <f t="shared" ref="W196:W227" si="76">VLOOKUP($O196,Kengetal,7,FALSE)</f>
        <v>0</v>
      </c>
      <c r="X196" s="599" t="str">
        <f t="shared" ref="X196:X238" si="77">IF(M196="","",VLOOKUP(M196,Kengetal,14,FALSE))</f>
        <v>L</v>
      </c>
      <c r="Y196" s="600"/>
      <c r="Z196" s="686" t="e">
        <f>(R196+S196)*'1.0-Contractblad'!$L$98</f>
        <v>#DIV/0!</v>
      </c>
      <c r="AA196" s="687">
        <f ca="1">VLOOKUP(E196,'1.1a-Jaarprijzen'!$B$33:$O$51,14,FALSE)*(L196+K196)</f>
        <v>0</v>
      </c>
      <c r="AB196" s="60">
        <f t="shared" ref="AB196:AB239" si="78">IF(M196=8255,R196+S196,0)</f>
        <v>0</v>
      </c>
      <c r="AD196" s="60" t="str">
        <f t="shared" ref="AD196:AD238" si="79">CONCATENATE(M196,"-",P196)</f>
        <v>6200-200</v>
      </c>
    </row>
    <row r="197" spans="1:30">
      <c r="A197" s="92">
        <f t="shared" si="68"/>
        <v>1</v>
      </c>
      <c r="B197" s="605"/>
      <c r="C197" s="590"/>
      <c r="D197" s="688">
        <v>1</v>
      </c>
      <c r="E197" s="591" t="s">
        <v>583</v>
      </c>
      <c r="F197" s="592" t="s">
        <v>348</v>
      </c>
      <c r="G197" s="593" t="s">
        <v>354</v>
      </c>
      <c r="H197" s="594" t="s">
        <v>320</v>
      </c>
      <c r="I197" s="595" t="str">
        <f t="shared" si="69"/>
        <v>speellokaal (peuterspeelzaal incl speelhuisje)</v>
      </c>
      <c r="J197" s="594" t="s">
        <v>493</v>
      </c>
      <c r="K197" s="678">
        <v>71.879333213132483</v>
      </c>
      <c r="L197" s="678"/>
      <c r="M197" s="606">
        <v>6200</v>
      </c>
      <c r="N197" s="601"/>
      <c r="O197" s="601"/>
      <c r="P197" s="603">
        <f t="shared" si="70"/>
        <v>200</v>
      </c>
      <c r="Q197" s="689">
        <v>1</v>
      </c>
      <c r="R197" s="596">
        <f t="shared" si="71"/>
        <v>0</v>
      </c>
      <c r="S197" s="596">
        <f t="shared" si="72"/>
        <v>0</v>
      </c>
      <c r="T197" s="596">
        <f t="shared" si="73"/>
        <v>0</v>
      </c>
      <c r="U197" s="681">
        <f t="shared" si="74"/>
        <v>0</v>
      </c>
      <c r="V197" s="681">
        <f t="shared" si="75"/>
        <v>0</v>
      </c>
      <c r="W197" s="598">
        <f t="shared" si="76"/>
        <v>0</v>
      </c>
      <c r="X197" s="599" t="str">
        <f t="shared" si="77"/>
        <v>L</v>
      </c>
      <c r="Y197" s="600"/>
      <c r="Z197" s="686" t="e">
        <f>(R197+S197)*'1.0-Contractblad'!$L$98</f>
        <v>#DIV/0!</v>
      </c>
      <c r="AA197" s="687">
        <f ca="1">VLOOKUP(E197,'1.1a-Jaarprijzen'!$B$33:$O$51,14,FALSE)*(L197+K197)</f>
        <v>0</v>
      </c>
      <c r="AB197" s="60">
        <f t="shared" si="78"/>
        <v>0</v>
      </c>
      <c r="AD197" s="60" t="str">
        <f t="shared" si="79"/>
        <v>6200-200</v>
      </c>
    </row>
    <row r="198" spans="1:30">
      <c r="A198" s="92">
        <f t="shared" si="68"/>
        <v>1</v>
      </c>
      <c r="B198" s="605"/>
      <c r="C198" s="590"/>
      <c r="D198" s="688">
        <v>1</v>
      </c>
      <c r="E198" s="591" t="s">
        <v>583</v>
      </c>
      <c r="F198" s="592" t="s">
        <v>348</v>
      </c>
      <c r="G198" s="593" t="s">
        <v>355</v>
      </c>
      <c r="H198" s="594" t="s">
        <v>320</v>
      </c>
      <c r="I198" s="595" t="str">
        <f t="shared" si="69"/>
        <v>speellokaal (peuterspeelzaal incl speelhuisje)</v>
      </c>
      <c r="J198" s="594" t="s">
        <v>493</v>
      </c>
      <c r="K198" s="678">
        <v>62.650526315789463</v>
      </c>
      <c r="L198" s="678"/>
      <c r="M198" s="606">
        <v>6200</v>
      </c>
      <c r="N198" s="601"/>
      <c r="O198" s="601"/>
      <c r="P198" s="603">
        <f t="shared" si="70"/>
        <v>200</v>
      </c>
      <c r="Q198" s="689">
        <v>1</v>
      </c>
      <c r="R198" s="596">
        <f t="shared" si="71"/>
        <v>0</v>
      </c>
      <c r="S198" s="596">
        <f t="shared" si="72"/>
        <v>0</v>
      </c>
      <c r="T198" s="596">
        <f t="shared" si="73"/>
        <v>0</v>
      </c>
      <c r="U198" s="681">
        <f t="shared" si="74"/>
        <v>0</v>
      </c>
      <c r="V198" s="681">
        <f t="shared" si="75"/>
        <v>0</v>
      </c>
      <c r="W198" s="598">
        <f t="shared" si="76"/>
        <v>0</v>
      </c>
      <c r="X198" s="599" t="str">
        <f t="shared" si="77"/>
        <v>L</v>
      </c>
      <c r="Y198" s="600"/>
      <c r="Z198" s="686" t="e">
        <f>(R198+S198)*'1.0-Contractblad'!$L$98</f>
        <v>#DIV/0!</v>
      </c>
      <c r="AA198" s="687">
        <f ca="1">VLOOKUP(E198,'1.1a-Jaarprijzen'!$B$33:$O$51,14,FALSE)*(L198+K198)</f>
        <v>0</v>
      </c>
      <c r="AB198" s="60">
        <f t="shared" si="78"/>
        <v>0</v>
      </c>
      <c r="AD198" s="60" t="str">
        <f t="shared" si="79"/>
        <v>6200-200</v>
      </c>
    </row>
    <row r="199" spans="1:30">
      <c r="A199" s="92">
        <f t="shared" si="68"/>
        <v>1</v>
      </c>
      <c r="B199" s="605"/>
      <c r="C199" s="590"/>
      <c r="D199" s="688">
        <v>1</v>
      </c>
      <c r="E199" s="591" t="s">
        <v>583</v>
      </c>
      <c r="F199" s="592" t="s">
        <v>348</v>
      </c>
      <c r="G199" s="593" t="s">
        <v>356</v>
      </c>
      <c r="H199" s="594" t="s">
        <v>320</v>
      </c>
      <c r="I199" s="595" t="str">
        <f t="shared" si="69"/>
        <v>speellokaal (peuterspeelzaal incl speelhuisje)</v>
      </c>
      <c r="J199" s="594" t="s">
        <v>493</v>
      </c>
      <c r="K199" s="678">
        <v>62.650526315789463</v>
      </c>
      <c r="L199" s="678"/>
      <c r="M199" s="606">
        <v>6200</v>
      </c>
      <c r="N199" s="601"/>
      <c r="O199" s="601"/>
      <c r="P199" s="603">
        <f t="shared" si="70"/>
        <v>200</v>
      </c>
      <c r="Q199" s="689">
        <v>1</v>
      </c>
      <c r="R199" s="596">
        <f t="shared" si="71"/>
        <v>0</v>
      </c>
      <c r="S199" s="596">
        <f t="shared" si="72"/>
        <v>0</v>
      </c>
      <c r="T199" s="596">
        <f t="shared" si="73"/>
        <v>0</v>
      </c>
      <c r="U199" s="681">
        <f t="shared" si="74"/>
        <v>0</v>
      </c>
      <c r="V199" s="681">
        <f t="shared" si="75"/>
        <v>0</v>
      </c>
      <c r="W199" s="598">
        <f t="shared" si="76"/>
        <v>0</v>
      </c>
      <c r="X199" s="599" t="str">
        <f t="shared" si="77"/>
        <v>L</v>
      </c>
      <c r="Y199" s="600"/>
      <c r="Z199" s="686" t="e">
        <f>(R199+S199)*'1.0-Contractblad'!$L$98</f>
        <v>#DIV/0!</v>
      </c>
      <c r="AA199" s="687">
        <f ca="1">VLOOKUP(E199,'1.1a-Jaarprijzen'!$B$33:$O$51,14,FALSE)*(L199+K199)</f>
        <v>0</v>
      </c>
      <c r="AB199" s="60">
        <f t="shared" si="78"/>
        <v>0</v>
      </c>
      <c r="AD199" s="60" t="str">
        <f t="shared" si="79"/>
        <v>6200-200</v>
      </c>
    </row>
    <row r="200" spans="1:30">
      <c r="A200" s="92">
        <f t="shared" si="68"/>
        <v>1</v>
      </c>
      <c r="B200" s="605"/>
      <c r="C200" s="590"/>
      <c r="D200" s="688">
        <v>1</v>
      </c>
      <c r="E200" s="591" t="s">
        <v>583</v>
      </c>
      <c r="F200" s="592" t="s">
        <v>348</v>
      </c>
      <c r="G200" s="593" t="s">
        <v>369</v>
      </c>
      <c r="H200" s="594" t="s">
        <v>320</v>
      </c>
      <c r="I200" s="595" t="str">
        <f t="shared" si="69"/>
        <v>speellokaal (peuterspeelzaal incl speelhuisje)</v>
      </c>
      <c r="J200" s="594" t="s">
        <v>493</v>
      </c>
      <c r="K200" s="678">
        <v>71.528131259322379</v>
      </c>
      <c r="L200" s="678"/>
      <c r="M200" s="606">
        <v>6200</v>
      </c>
      <c r="N200" s="601"/>
      <c r="O200" s="601"/>
      <c r="P200" s="603">
        <f t="shared" si="70"/>
        <v>200</v>
      </c>
      <c r="Q200" s="689">
        <v>1</v>
      </c>
      <c r="R200" s="596">
        <f t="shared" si="71"/>
        <v>0</v>
      </c>
      <c r="S200" s="596">
        <f t="shared" si="72"/>
        <v>0</v>
      </c>
      <c r="T200" s="596">
        <f t="shared" si="73"/>
        <v>0</v>
      </c>
      <c r="U200" s="681">
        <f t="shared" si="74"/>
        <v>0</v>
      </c>
      <c r="V200" s="681">
        <f t="shared" si="75"/>
        <v>0</v>
      </c>
      <c r="W200" s="598">
        <f t="shared" si="76"/>
        <v>0</v>
      </c>
      <c r="X200" s="599" t="str">
        <f t="shared" si="77"/>
        <v>L</v>
      </c>
      <c r="Y200" s="600"/>
      <c r="Z200" s="686" t="e">
        <f>(R200+S200)*'1.0-Contractblad'!$L$98</f>
        <v>#DIV/0!</v>
      </c>
      <c r="AA200" s="687">
        <f ca="1">VLOOKUP(E200,'1.1a-Jaarprijzen'!$B$33:$O$51,14,FALSE)*(L200+K200)</f>
        <v>0</v>
      </c>
      <c r="AB200" s="60">
        <f t="shared" si="78"/>
        <v>0</v>
      </c>
      <c r="AD200" s="60" t="str">
        <f t="shared" si="79"/>
        <v>6200-200</v>
      </c>
    </row>
    <row r="201" spans="1:30">
      <c r="A201" s="92">
        <f t="shared" si="68"/>
        <v>1</v>
      </c>
      <c r="B201" s="605"/>
      <c r="C201" s="590"/>
      <c r="D201" s="688">
        <v>1</v>
      </c>
      <c r="E201" s="591" t="s">
        <v>583</v>
      </c>
      <c r="F201" s="592" t="s">
        <v>348</v>
      </c>
      <c r="G201" s="593" t="s">
        <v>370</v>
      </c>
      <c r="H201" s="594" t="s">
        <v>320</v>
      </c>
      <c r="I201" s="595" t="str">
        <f t="shared" si="69"/>
        <v>Vervallen (mutatie)</v>
      </c>
      <c r="J201" s="594" t="s">
        <v>639</v>
      </c>
      <c r="K201" s="678"/>
      <c r="L201" s="678">
        <v>59.236062875969111</v>
      </c>
      <c r="M201" s="606" t="s">
        <v>460</v>
      </c>
      <c r="N201" s="601"/>
      <c r="O201" s="601"/>
      <c r="P201" s="603">
        <f t="shared" si="70"/>
        <v>0</v>
      </c>
      <c r="Q201" s="689">
        <v>1</v>
      </c>
      <c r="R201" s="596">
        <f t="shared" si="71"/>
        <v>0</v>
      </c>
      <c r="S201" s="596">
        <f t="shared" si="72"/>
        <v>0</v>
      </c>
      <c r="T201" s="596">
        <f t="shared" si="73"/>
        <v>0</v>
      </c>
      <c r="U201" s="681">
        <f t="shared" si="74"/>
        <v>0</v>
      </c>
      <c r="V201" s="681">
        <f t="shared" si="75"/>
        <v>0</v>
      </c>
      <c r="W201" s="598">
        <f t="shared" si="76"/>
        <v>0</v>
      </c>
      <c r="X201" s="599">
        <f t="shared" si="77"/>
        <v>0</v>
      </c>
      <c r="Y201" s="600" t="s">
        <v>460</v>
      </c>
      <c r="Z201" s="686" t="e">
        <f>(R201+S201)*'1.0-Contractblad'!$L$98</f>
        <v>#DIV/0!</v>
      </c>
      <c r="AA201" s="687">
        <f ca="1">VLOOKUP(E201,'1.1a-Jaarprijzen'!$B$33:$O$51,14,FALSE)*(L201+K201)</f>
        <v>0</v>
      </c>
      <c r="AB201" s="60">
        <f t="shared" si="78"/>
        <v>0</v>
      </c>
      <c r="AD201" s="60" t="str">
        <f t="shared" si="79"/>
        <v>Vervallen-0</v>
      </c>
    </row>
    <row r="202" spans="1:30">
      <c r="A202" s="92">
        <f t="shared" si="68"/>
        <v>1</v>
      </c>
      <c r="B202" s="605"/>
      <c r="C202" s="590"/>
      <c r="D202" s="688">
        <v>1</v>
      </c>
      <c r="E202" s="591" t="s">
        <v>583</v>
      </c>
      <c r="F202" s="592" t="s">
        <v>348</v>
      </c>
      <c r="G202" s="593" t="s">
        <v>371</v>
      </c>
      <c r="H202" s="594" t="s">
        <v>320</v>
      </c>
      <c r="I202" s="595" t="str">
        <f t="shared" si="69"/>
        <v>leslokaal</v>
      </c>
      <c r="J202" s="594" t="s">
        <v>493</v>
      </c>
      <c r="K202" s="678">
        <v>58.436102870068339</v>
      </c>
      <c r="L202" s="678"/>
      <c r="M202" s="606">
        <v>7200</v>
      </c>
      <c r="N202" s="601"/>
      <c r="O202" s="601"/>
      <c r="P202" s="603">
        <f t="shared" si="70"/>
        <v>200</v>
      </c>
      <c r="Q202" s="689">
        <v>1</v>
      </c>
      <c r="R202" s="596">
        <f t="shared" si="71"/>
        <v>0</v>
      </c>
      <c r="S202" s="596">
        <f t="shared" si="72"/>
        <v>0</v>
      </c>
      <c r="T202" s="596">
        <f t="shared" si="73"/>
        <v>0</v>
      </c>
      <c r="U202" s="681">
        <f t="shared" si="74"/>
        <v>0</v>
      </c>
      <c r="V202" s="681">
        <f t="shared" si="75"/>
        <v>0</v>
      </c>
      <c r="W202" s="598">
        <f t="shared" si="76"/>
        <v>0</v>
      </c>
      <c r="X202" s="599" t="str">
        <f t="shared" si="77"/>
        <v>L</v>
      </c>
      <c r="Y202" s="600"/>
      <c r="Z202" s="686" t="e">
        <f>(R202+S202)*'1.0-Contractblad'!$L$98</f>
        <v>#DIV/0!</v>
      </c>
      <c r="AA202" s="687">
        <f ca="1">VLOOKUP(E202,'1.1a-Jaarprijzen'!$B$33:$O$51,14,FALSE)*(L202+K202)</f>
        <v>0</v>
      </c>
      <c r="AB202" s="60">
        <f t="shared" si="78"/>
        <v>0</v>
      </c>
      <c r="AD202" s="60" t="str">
        <f t="shared" si="79"/>
        <v>7200-200</v>
      </c>
    </row>
    <row r="203" spans="1:30">
      <c r="A203" s="92">
        <f t="shared" si="68"/>
        <v>1</v>
      </c>
      <c r="B203" s="605"/>
      <c r="C203" s="590"/>
      <c r="D203" s="688">
        <v>1</v>
      </c>
      <c r="E203" s="591" t="s">
        <v>583</v>
      </c>
      <c r="F203" s="592" t="s">
        <v>348</v>
      </c>
      <c r="G203" s="593" t="s">
        <v>372</v>
      </c>
      <c r="H203" s="594" t="s">
        <v>320</v>
      </c>
      <c r="I203" s="595" t="str">
        <f t="shared" si="69"/>
        <v>leslokaal</v>
      </c>
      <c r="J203" s="594" t="s">
        <v>493</v>
      </c>
      <c r="K203" s="678">
        <v>57.665409693651746</v>
      </c>
      <c r="L203" s="678"/>
      <c r="M203" s="606">
        <v>7200</v>
      </c>
      <c r="N203" s="601"/>
      <c r="O203" s="601"/>
      <c r="P203" s="603">
        <f t="shared" si="70"/>
        <v>200</v>
      </c>
      <c r="Q203" s="689">
        <v>1</v>
      </c>
      <c r="R203" s="596">
        <f t="shared" si="71"/>
        <v>0</v>
      </c>
      <c r="S203" s="596">
        <f t="shared" si="72"/>
        <v>0</v>
      </c>
      <c r="T203" s="596">
        <f t="shared" si="73"/>
        <v>0</v>
      </c>
      <c r="U203" s="681">
        <f t="shared" si="74"/>
        <v>0</v>
      </c>
      <c r="V203" s="681">
        <f t="shared" si="75"/>
        <v>0</v>
      </c>
      <c r="W203" s="598">
        <f t="shared" si="76"/>
        <v>0</v>
      </c>
      <c r="X203" s="599" t="str">
        <f t="shared" si="77"/>
        <v>L</v>
      </c>
      <c r="Y203" s="600"/>
      <c r="Z203" s="686" t="e">
        <f>(R203+S203)*'1.0-Contractblad'!$L$98</f>
        <v>#DIV/0!</v>
      </c>
      <c r="AA203" s="687">
        <f ca="1">VLOOKUP(E203,'1.1a-Jaarprijzen'!$B$33:$O$51,14,FALSE)*(L203+K203)</f>
        <v>0</v>
      </c>
      <c r="AB203" s="60">
        <f t="shared" si="78"/>
        <v>0</v>
      </c>
      <c r="AD203" s="60" t="str">
        <f t="shared" si="79"/>
        <v>7200-200</v>
      </c>
    </row>
    <row r="204" spans="1:30">
      <c r="A204" s="92">
        <f t="shared" si="68"/>
        <v>1</v>
      </c>
      <c r="B204" s="605"/>
      <c r="C204" s="590"/>
      <c r="D204" s="688">
        <v>1</v>
      </c>
      <c r="E204" s="591" t="s">
        <v>583</v>
      </c>
      <c r="F204" s="592" t="s">
        <v>348</v>
      </c>
      <c r="G204" s="593" t="s">
        <v>379</v>
      </c>
      <c r="H204" s="594" t="s">
        <v>320</v>
      </c>
      <c r="I204" s="595" t="str">
        <f t="shared" si="69"/>
        <v>leslokaal</v>
      </c>
      <c r="J204" s="594" t="s">
        <v>493</v>
      </c>
      <c r="K204" s="678">
        <v>58.03612286711796</v>
      </c>
      <c r="L204" s="678"/>
      <c r="M204" s="606">
        <v>7200</v>
      </c>
      <c r="N204" s="601"/>
      <c r="O204" s="601"/>
      <c r="P204" s="603">
        <f t="shared" si="70"/>
        <v>200</v>
      </c>
      <c r="Q204" s="689">
        <v>1</v>
      </c>
      <c r="R204" s="596">
        <f t="shared" si="71"/>
        <v>0</v>
      </c>
      <c r="S204" s="596">
        <f t="shared" si="72"/>
        <v>0</v>
      </c>
      <c r="T204" s="596">
        <f t="shared" si="73"/>
        <v>0</v>
      </c>
      <c r="U204" s="681">
        <f t="shared" si="74"/>
        <v>0</v>
      </c>
      <c r="V204" s="681">
        <f t="shared" si="75"/>
        <v>0</v>
      </c>
      <c r="W204" s="598">
        <f t="shared" si="76"/>
        <v>0</v>
      </c>
      <c r="X204" s="599" t="str">
        <f t="shared" si="77"/>
        <v>L</v>
      </c>
      <c r="Y204" s="600"/>
      <c r="Z204" s="686" t="e">
        <f>(R204+S204)*'1.0-Contractblad'!$L$98</f>
        <v>#DIV/0!</v>
      </c>
      <c r="AA204" s="687">
        <f ca="1">VLOOKUP(E204,'1.1a-Jaarprijzen'!$B$33:$O$51,14,FALSE)*(L204+K204)</f>
        <v>0</v>
      </c>
      <c r="AB204" s="60">
        <f t="shared" si="78"/>
        <v>0</v>
      </c>
      <c r="AD204" s="60" t="str">
        <f t="shared" si="79"/>
        <v>7200-200</v>
      </c>
    </row>
    <row r="205" spans="1:30">
      <c r="A205" s="92">
        <f t="shared" si="68"/>
        <v>1</v>
      </c>
      <c r="B205" s="605"/>
      <c r="C205" s="590"/>
      <c r="D205" s="688">
        <v>1</v>
      </c>
      <c r="E205" s="591" t="s">
        <v>583</v>
      </c>
      <c r="F205" s="592" t="s">
        <v>348</v>
      </c>
      <c r="G205" s="593" t="s">
        <v>380</v>
      </c>
      <c r="H205" s="594" t="s">
        <v>320</v>
      </c>
      <c r="I205" s="595" t="str">
        <f t="shared" si="69"/>
        <v>leslokaal</v>
      </c>
      <c r="J205" s="594" t="s">
        <v>493</v>
      </c>
      <c r="K205" s="678">
        <v>59.34337458407775</v>
      </c>
      <c r="L205" s="678"/>
      <c r="M205" s="606">
        <v>7200</v>
      </c>
      <c r="N205" s="601"/>
      <c r="O205" s="601"/>
      <c r="P205" s="603">
        <f t="shared" si="70"/>
        <v>200</v>
      </c>
      <c r="Q205" s="689">
        <v>1</v>
      </c>
      <c r="R205" s="596">
        <f t="shared" si="71"/>
        <v>0</v>
      </c>
      <c r="S205" s="596">
        <f t="shared" si="72"/>
        <v>0</v>
      </c>
      <c r="T205" s="596">
        <f t="shared" si="73"/>
        <v>0</v>
      </c>
      <c r="U205" s="681">
        <f t="shared" si="74"/>
        <v>0</v>
      </c>
      <c r="V205" s="681">
        <f t="shared" si="75"/>
        <v>0</v>
      </c>
      <c r="W205" s="598">
        <f t="shared" si="76"/>
        <v>0</v>
      </c>
      <c r="X205" s="599" t="str">
        <f t="shared" si="77"/>
        <v>L</v>
      </c>
      <c r="Y205" s="600"/>
      <c r="Z205" s="686" t="e">
        <f>(R205+S205)*'1.0-Contractblad'!$L$98</f>
        <v>#DIV/0!</v>
      </c>
      <c r="AA205" s="687">
        <f ca="1">VLOOKUP(E205,'1.1a-Jaarprijzen'!$B$33:$O$51,14,FALSE)*(L205+K205)</f>
        <v>0</v>
      </c>
      <c r="AB205" s="60">
        <f t="shared" si="78"/>
        <v>0</v>
      </c>
      <c r="AD205" s="60" t="str">
        <f t="shared" si="79"/>
        <v>7200-200</v>
      </c>
    </row>
    <row r="206" spans="1:30">
      <c r="A206" s="92">
        <f t="shared" si="68"/>
        <v>1</v>
      </c>
      <c r="B206" s="605"/>
      <c r="C206" s="590"/>
      <c r="D206" s="688">
        <v>1</v>
      </c>
      <c r="E206" s="591" t="s">
        <v>583</v>
      </c>
      <c r="F206" s="592" t="s">
        <v>348</v>
      </c>
      <c r="G206" s="593" t="s">
        <v>575</v>
      </c>
      <c r="H206" s="594" t="s">
        <v>320</v>
      </c>
      <c r="I206" s="595" t="str">
        <f t="shared" si="69"/>
        <v>leslokaal</v>
      </c>
      <c r="J206" s="594" t="s">
        <v>493</v>
      </c>
      <c r="K206" s="678">
        <v>57.821499450900681</v>
      </c>
      <c r="L206" s="678"/>
      <c r="M206" s="606">
        <v>7200</v>
      </c>
      <c r="N206" s="601"/>
      <c r="O206" s="601"/>
      <c r="P206" s="603">
        <f t="shared" si="70"/>
        <v>200</v>
      </c>
      <c r="Q206" s="689">
        <v>1</v>
      </c>
      <c r="R206" s="596">
        <f t="shared" si="71"/>
        <v>0</v>
      </c>
      <c r="S206" s="596">
        <f t="shared" si="72"/>
        <v>0</v>
      </c>
      <c r="T206" s="596">
        <f t="shared" si="73"/>
        <v>0</v>
      </c>
      <c r="U206" s="681">
        <f t="shared" si="74"/>
        <v>0</v>
      </c>
      <c r="V206" s="681">
        <f t="shared" si="75"/>
        <v>0</v>
      </c>
      <c r="W206" s="598">
        <f t="shared" si="76"/>
        <v>0</v>
      </c>
      <c r="X206" s="599" t="str">
        <f t="shared" si="77"/>
        <v>L</v>
      </c>
      <c r="Y206" s="600"/>
      <c r="Z206" s="686" t="e">
        <f>(R206+S206)*'1.0-Contractblad'!$L$98</f>
        <v>#DIV/0!</v>
      </c>
      <c r="AA206" s="687">
        <f ca="1">VLOOKUP(E206,'1.1a-Jaarprijzen'!$B$33:$O$51,14,FALSE)*(L206+K206)</f>
        <v>0</v>
      </c>
      <c r="AB206" s="60">
        <f t="shared" si="78"/>
        <v>0</v>
      </c>
      <c r="AD206" s="60" t="str">
        <f t="shared" si="79"/>
        <v>7200-200</v>
      </c>
    </row>
    <row r="207" spans="1:30">
      <c r="A207" s="92">
        <f t="shared" si="68"/>
        <v>1</v>
      </c>
      <c r="B207" s="529"/>
      <c r="C207" s="590"/>
      <c r="D207" s="688">
        <v>1</v>
      </c>
      <c r="E207" s="591" t="s">
        <v>583</v>
      </c>
      <c r="F207" s="592" t="s">
        <v>348</v>
      </c>
      <c r="G207" s="593" t="s">
        <v>576</v>
      </c>
      <c r="H207" s="594" t="s">
        <v>320</v>
      </c>
      <c r="I207" s="595" t="str">
        <f t="shared" si="69"/>
        <v>leslokaal</v>
      </c>
      <c r="J207" s="594" t="s">
        <v>493</v>
      </c>
      <c r="K207" s="678">
        <v>57.636142864167574</v>
      </c>
      <c r="L207" s="678"/>
      <c r="M207" s="606">
        <v>7200</v>
      </c>
      <c r="N207" s="601"/>
      <c r="O207" s="601"/>
      <c r="P207" s="603">
        <f t="shared" si="70"/>
        <v>200</v>
      </c>
      <c r="Q207" s="689">
        <v>1</v>
      </c>
      <c r="R207" s="341">
        <f t="shared" si="71"/>
        <v>0</v>
      </c>
      <c r="S207" s="341">
        <f t="shared" si="72"/>
        <v>0</v>
      </c>
      <c r="T207" s="341">
        <f t="shared" si="73"/>
        <v>0</v>
      </c>
      <c r="U207" s="681">
        <f t="shared" si="74"/>
        <v>0</v>
      </c>
      <c r="V207" s="681">
        <f t="shared" si="75"/>
        <v>0</v>
      </c>
      <c r="W207" s="459">
        <f t="shared" si="76"/>
        <v>0</v>
      </c>
      <c r="X207" s="460" t="str">
        <f t="shared" si="77"/>
        <v>L</v>
      </c>
      <c r="Y207" s="461"/>
      <c r="Z207" s="686" t="e">
        <f>(R207+S207)*'1.0-Contractblad'!$L$98</f>
        <v>#DIV/0!</v>
      </c>
      <c r="AA207" s="687">
        <f ca="1">VLOOKUP(E207,'1.1a-Jaarprijzen'!$B$33:$O$51,14,FALSE)*(L207+K207)</f>
        <v>0</v>
      </c>
      <c r="AB207" s="60">
        <f t="shared" si="78"/>
        <v>0</v>
      </c>
      <c r="AD207" s="60" t="str">
        <f t="shared" si="79"/>
        <v>7200-200</v>
      </c>
    </row>
    <row r="208" spans="1:30">
      <c r="A208" s="92">
        <f t="shared" si="68"/>
        <v>1</v>
      </c>
      <c r="B208" s="529"/>
      <c r="C208" s="590"/>
      <c r="D208" s="688">
        <v>1</v>
      </c>
      <c r="E208" s="591" t="s">
        <v>583</v>
      </c>
      <c r="F208" s="592" t="s">
        <v>348</v>
      </c>
      <c r="G208" s="593" t="s">
        <v>510</v>
      </c>
      <c r="H208" s="594" t="s">
        <v>320</v>
      </c>
      <c r="I208" s="595" t="str">
        <f t="shared" si="69"/>
        <v>leslokaal</v>
      </c>
      <c r="J208" s="594" t="s">
        <v>493</v>
      </c>
      <c r="K208" s="678">
        <v>59.079973118720183</v>
      </c>
      <c r="L208" s="678"/>
      <c r="M208" s="606">
        <v>7200</v>
      </c>
      <c r="N208" s="601"/>
      <c r="O208" s="601"/>
      <c r="P208" s="603">
        <f t="shared" si="70"/>
        <v>200</v>
      </c>
      <c r="Q208" s="689">
        <v>1</v>
      </c>
      <c r="R208" s="341">
        <f t="shared" si="71"/>
        <v>0</v>
      </c>
      <c r="S208" s="341">
        <f t="shared" si="72"/>
        <v>0</v>
      </c>
      <c r="T208" s="341">
        <f t="shared" si="73"/>
        <v>0</v>
      </c>
      <c r="U208" s="681">
        <f t="shared" si="74"/>
        <v>0</v>
      </c>
      <c r="V208" s="681">
        <f t="shared" si="75"/>
        <v>0</v>
      </c>
      <c r="W208" s="459">
        <f t="shared" si="76"/>
        <v>0</v>
      </c>
      <c r="X208" s="460" t="str">
        <f t="shared" si="77"/>
        <v>L</v>
      </c>
      <c r="Y208" s="461"/>
      <c r="Z208" s="686" t="e">
        <f>(R208+S208)*'1.0-Contractblad'!$L$98</f>
        <v>#DIV/0!</v>
      </c>
      <c r="AA208" s="687">
        <f ca="1">VLOOKUP(E208,'1.1a-Jaarprijzen'!$B$33:$O$51,14,FALSE)*(L208+K208)</f>
        <v>0</v>
      </c>
      <c r="AB208" s="60">
        <f t="shared" si="78"/>
        <v>0</v>
      </c>
      <c r="AD208" s="60" t="str">
        <f t="shared" si="79"/>
        <v>7200-200</v>
      </c>
    </row>
    <row r="209" spans="1:30">
      <c r="A209" s="92">
        <f t="shared" si="68"/>
        <v>1</v>
      </c>
      <c r="B209" s="529"/>
      <c r="C209" s="590"/>
      <c r="D209" s="688">
        <v>1</v>
      </c>
      <c r="E209" s="591" t="s">
        <v>583</v>
      </c>
      <c r="F209" s="592" t="s">
        <v>348</v>
      </c>
      <c r="G209" s="593" t="s">
        <v>511</v>
      </c>
      <c r="H209" s="594" t="s">
        <v>320</v>
      </c>
      <c r="I209" s="595" t="str">
        <f t="shared" si="69"/>
        <v>leslokaal</v>
      </c>
      <c r="J209" s="594" t="s">
        <v>493</v>
      </c>
      <c r="K209" s="678">
        <v>57.733698962448152</v>
      </c>
      <c r="L209" s="678"/>
      <c r="M209" s="606">
        <v>7200</v>
      </c>
      <c r="N209" s="601"/>
      <c r="O209" s="601"/>
      <c r="P209" s="603">
        <f t="shared" si="70"/>
        <v>200</v>
      </c>
      <c r="Q209" s="689">
        <v>1</v>
      </c>
      <c r="R209" s="341">
        <f t="shared" si="71"/>
        <v>0</v>
      </c>
      <c r="S209" s="341">
        <f t="shared" si="72"/>
        <v>0</v>
      </c>
      <c r="T209" s="341">
        <f t="shared" si="73"/>
        <v>0</v>
      </c>
      <c r="U209" s="681">
        <f t="shared" si="74"/>
        <v>0</v>
      </c>
      <c r="V209" s="681">
        <f t="shared" si="75"/>
        <v>0</v>
      </c>
      <c r="W209" s="459">
        <f t="shared" si="76"/>
        <v>0</v>
      </c>
      <c r="X209" s="460" t="str">
        <f t="shared" si="77"/>
        <v>L</v>
      </c>
      <c r="Y209" s="461"/>
      <c r="Z209" s="686" t="e">
        <f>(R209+S209)*'1.0-Contractblad'!$L$98</f>
        <v>#DIV/0!</v>
      </c>
      <c r="AA209" s="687">
        <f ca="1">VLOOKUP(E209,'1.1a-Jaarprijzen'!$B$33:$O$51,14,FALSE)*(L209+K209)</f>
        <v>0</v>
      </c>
      <c r="AB209" s="60">
        <f t="shared" si="78"/>
        <v>0</v>
      </c>
      <c r="AD209" s="60" t="str">
        <f t="shared" si="79"/>
        <v>7200-200</v>
      </c>
    </row>
    <row r="210" spans="1:30">
      <c r="A210" s="92">
        <f t="shared" si="68"/>
        <v>1</v>
      </c>
      <c r="B210" s="529"/>
      <c r="C210" s="590"/>
      <c r="D210" s="688">
        <v>1</v>
      </c>
      <c r="E210" s="591" t="s">
        <v>583</v>
      </c>
      <c r="F210" s="592" t="s">
        <v>348</v>
      </c>
      <c r="G210" s="593" t="s">
        <v>584</v>
      </c>
      <c r="H210" s="594" t="s">
        <v>320</v>
      </c>
      <c r="I210" s="595" t="str">
        <f t="shared" si="69"/>
        <v>leslokaal</v>
      </c>
      <c r="J210" s="594" t="s">
        <v>493</v>
      </c>
      <c r="K210" s="678">
        <v>58.806816043534553</v>
      </c>
      <c r="L210" s="678"/>
      <c r="M210" s="606">
        <v>7200</v>
      </c>
      <c r="N210" s="601"/>
      <c r="O210" s="601"/>
      <c r="P210" s="603">
        <f t="shared" si="70"/>
        <v>200</v>
      </c>
      <c r="Q210" s="689">
        <v>1</v>
      </c>
      <c r="R210" s="341">
        <f t="shared" si="71"/>
        <v>0</v>
      </c>
      <c r="S210" s="341">
        <f t="shared" si="72"/>
        <v>0</v>
      </c>
      <c r="T210" s="341">
        <f t="shared" si="73"/>
        <v>0</v>
      </c>
      <c r="U210" s="681">
        <f t="shared" si="74"/>
        <v>0</v>
      </c>
      <c r="V210" s="681">
        <f t="shared" si="75"/>
        <v>0</v>
      </c>
      <c r="W210" s="459">
        <f t="shared" si="76"/>
        <v>0</v>
      </c>
      <c r="X210" s="460" t="str">
        <f t="shared" si="77"/>
        <v>L</v>
      </c>
      <c r="Y210" s="461"/>
      <c r="Z210" s="686" t="e">
        <f>(R210+S210)*'1.0-Contractblad'!$L$98</f>
        <v>#DIV/0!</v>
      </c>
      <c r="AA210" s="687">
        <f ca="1">VLOOKUP(E210,'1.1a-Jaarprijzen'!$B$33:$O$51,14,FALSE)*(L210+K210)</f>
        <v>0</v>
      </c>
      <c r="AB210" s="60">
        <f t="shared" si="78"/>
        <v>0</v>
      </c>
      <c r="AD210" s="60" t="str">
        <f t="shared" si="79"/>
        <v>7200-200</v>
      </c>
    </row>
    <row r="211" spans="1:30">
      <c r="A211" s="92">
        <f t="shared" si="68"/>
        <v>1</v>
      </c>
      <c r="B211" s="529"/>
      <c r="C211" s="590"/>
      <c r="D211" s="688">
        <v>1</v>
      </c>
      <c r="E211" s="591" t="s">
        <v>583</v>
      </c>
      <c r="F211" s="592" t="s">
        <v>348</v>
      </c>
      <c r="G211" s="593" t="s">
        <v>585</v>
      </c>
      <c r="H211" s="594" t="s">
        <v>320</v>
      </c>
      <c r="I211" s="595" t="str">
        <f t="shared" si="69"/>
        <v>Vervallen (mutatie)</v>
      </c>
      <c r="J211" s="594" t="s">
        <v>639</v>
      </c>
      <c r="K211" s="678"/>
      <c r="L211" s="678">
        <v>59.401908243046101</v>
      </c>
      <c r="M211" s="606" t="s">
        <v>460</v>
      </c>
      <c r="N211" s="601"/>
      <c r="O211" s="601"/>
      <c r="P211" s="603">
        <f t="shared" si="70"/>
        <v>0</v>
      </c>
      <c r="Q211" s="689">
        <v>1</v>
      </c>
      <c r="R211" s="341">
        <f t="shared" si="71"/>
        <v>0</v>
      </c>
      <c r="S211" s="341">
        <f t="shared" si="72"/>
        <v>0</v>
      </c>
      <c r="T211" s="341">
        <f t="shared" si="73"/>
        <v>0</v>
      </c>
      <c r="U211" s="681">
        <f t="shared" si="74"/>
        <v>0</v>
      </c>
      <c r="V211" s="681">
        <f t="shared" si="75"/>
        <v>0</v>
      </c>
      <c r="W211" s="459">
        <f t="shared" si="76"/>
        <v>0</v>
      </c>
      <c r="X211" s="460">
        <f t="shared" si="77"/>
        <v>0</v>
      </c>
      <c r="Y211" s="461" t="s">
        <v>460</v>
      </c>
      <c r="Z211" s="686" t="e">
        <f>(R211+S211)*'1.0-Contractblad'!$L$98</f>
        <v>#DIV/0!</v>
      </c>
      <c r="AA211" s="687">
        <f ca="1">VLOOKUP(E211,'1.1a-Jaarprijzen'!$B$33:$O$51,14,FALSE)*(L211+K211)</f>
        <v>0</v>
      </c>
      <c r="AB211" s="60">
        <f t="shared" si="78"/>
        <v>0</v>
      </c>
      <c r="AD211" s="60" t="str">
        <f t="shared" si="79"/>
        <v>Vervallen-0</v>
      </c>
    </row>
    <row r="212" spans="1:30">
      <c r="A212" s="92">
        <f t="shared" si="68"/>
        <v>1</v>
      </c>
      <c r="B212" s="529"/>
      <c r="C212" s="590"/>
      <c r="D212" s="688">
        <v>1</v>
      </c>
      <c r="E212" s="591" t="s">
        <v>583</v>
      </c>
      <c r="F212" s="592" t="s">
        <v>348</v>
      </c>
      <c r="G212" s="593" t="s">
        <v>586</v>
      </c>
      <c r="H212" s="594" t="s">
        <v>320</v>
      </c>
      <c r="I212" s="595" t="str">
        <f t="shared" si="69"/>
        <v>leslokaal</v>
      </c>
      <c r="J212" s="594" t="s">
        <v>493</v>
      </c>
      <c r="K212" s="678">
        <v>57.3</v>
      </c>
      <c r="L212" s="678"/>
      <c r="M212" s="606">
        <v>7200</v>
      </c>
      <c r="N212" s="601"/>
      <c r="O212" s="601"/>
      <c r="P212" s="603">
        <f t="shared" si="70"/>
        <v>200</v>
      </c>
      <c r="Q212" s="689">
        <v>1</v>
      </c>
      <c r="R212" s="341">
        <f t="shared" si="71"/>
        <v>0</v>
      </c>
      <c r="S212" s="341">
        <f t="shared" si="72"/>
        <v>0</v>
      </c>
      <c r="T212" s="341">
        <f t="shared" si="73"/>
        <v>0</v>
      </c>
      <c r="U212" s="681">
        <f t="shared" si="74"/>
        <v>0</v>
      </c>
      <c r="V212" s="681">
        <f t="shared" si="75"/>
        <v>0</v>
      </c>
      <c r="W212" s="459">
        <f t="shared" si="76"/>
        <v>0</v>
      </c>
      <c r="X212" s="460" t="str">
        <f t="shared" si="77"/>
        <v>L</v>
      </c>
      <c r="Y212" s="461"/>
      <c r="Z212" s="686" t="e">
        <f>(R212+S212)*'1.0-Contractblad'!$L$98</f>
        <v>#DIV/0!</v>
      </c>
      <c r="AA212" s="687">
        <f ca="1">VLOOKUP(E212,'1.1a-Jaarprijzen'!$B$33:$O$51,14,FALSE)*(L212+K212)</f>
        <v>0</v>
      </c>
      <c r="AB212" s="60">
        <f t="shared" si="78"/>
        <v>0</v>
      </c>
      <c r="AD212" s="60" t="str">
        <f t="shared" si="79"/>
        <v>7200-200</v>
      </c>
    </row>
    <row r="213" spans="1:30">
      <c r="A213" s="92">
        <f t="shared" si="68"/>
        <v>1</v>
      </c>
      <c r="B213" s="529"/>
      <c r="C213" s="590"/>
      <c r="D213" s="688">
        <v>1</v>
      </c>
      <c r="E213" s="591" t="s">
        <v>583</v>
      </c>
      <c r="F213" s="592" t="s">
        <v>348</v>
      </c>
      <c r="G213" s="593" t="s">
        <v>587</v>
      </c>
      <c r="H213" s="594" t="s">
        <v>320</v>
      </c>
      <c r="I213" s="595" t="str">
        <f t="shared" si="69"/>
        <v>leslokaal</v>
      </c>
      <c r="J213" s="594" t="s">
        <v>493</v>
      </c>
      <c r="K213" s="678">
        <v>58.7</v>
      </c>
      <c r="L213" s="678"/>
      <c r="M213" s="606">
        <v>7200</v>
      </c>
      <c r="N213" s="601"/>
      <c r="O213" s="601"/>
      <c r="P213" s="603">
        <f t="shared" si="70"/>
        <v>200</v>
      </c>
      <c r="Q213" s="689">
        <v>1</v>
      </c>
      <c r="R213" s="341">
        <f t="shared" si="71"/>
        <v>0</v>
      </c>
      <c r="S213" s="341">
        <f t="shared" si="72"/>
        <v>0</v>
      </c>
      <c r="T213" s="341">
        <f t="shared" si="73"/>
        <v>0</v>
      </c>
      <c r="U213" s="681">
        <f t="shared" si="74"/>
        <v>0</v>
      </c>
      <c r="V213" s="681">
        <f t="shared" si="75"/>
        <v>0</v>
      </c>
      <c r="W213" s="459">
        <f t="shared" si="76"/>
        <v>0</v>
      </c>
      <c r="X213" s="460" t="str">
        <f t="shared" si="77"/>
        <v>L</v>
      </c>
      <c r="Y213" s="461"/>
      <c r="Z213" s="686" t="e">
        <f>(R213+S213)*'1.0-Contractblad'!$L$98</f>
        <v>#DIV/0!</v>
      </c>
      <c r="AA213" s="687">
        <f ca="1">VLOOKUP(E213,'1.1a-Jaarprijzen'!$B$33:$O$51,14,FALSE)*(L213+K213)</f>
        <v>0</v>
      </c>
      <c r="AB213" s="60">
        <f t="shared" si="78"/>
        <v>0</v>
      </c>
      <c r="AD213" s="60" t="str">
        <f t="shared" si="79"/>
        <v>7200-200</v>
      </c>
    </row>
    <row r="214" spans="1:30">
      <c r="A214" s="92">
        <f t="shared" si="68"/>
        <v>1</v>
      </c>
      <c r="B214" s="529"/>
      <c r="C214" s="590"/>
      <c r="D214" s="688">
        <v>1</v>
      </c>
      <c r="E214" s="591" t="s">
        <v>583</v>
      </c>
      <c r="F214" s="592" t="s">
        <v>348</v>
      </c>
      <c r="G214" s="593" t="s">
        <v>382</v>
      </c>
      <c r="H214" s="594" t="s">
        <v>313</v>
      </c>
      <c r="I214" s="595" t="str">
        <f t="shared" si="69"/>
        <v>speellokaal (peuterspeelzaal)</v>
      </c>
      <c r="J214" s="594" t="s">
        <v>641</v>
      </c>
      <c r="K214" s="678">
        <v>183.7</v>
      </c>
      <c r="L214" s="678"/>
      <c r="M214" s="606">
        <v>8200</v>
      </c>
      <c r="N214" s="601"/>
      <c r="O214" s="601"/>
      <c r="P214" s="603">
        <f t="shared" si="70"/>
        <v>200</v>
      </c>
      <c r="Q214" s="689">
        <v>1</v>
      </c>
      <c r="R214" s="341">
        <f t="shared" si="71"/>
        <v>0</v>
      </c>
      <c r="S214" s="341">
        <f t="shared" si="72"/>
        <v>0</v>
      </c>
      <c r="T214" s="341">
        <f t="shared" si="73"/>
        <v>0</v>
      </c>
      <c r="U214" s="681">
        <f t="shared" si="74"/>
        <v>0</v>
      </c>
      <c r="V214" s="681">
        <f t="shared" si="75"/>
        <v>0</v>
      </c>
      <c r="W214" s="459">
        <f t="shared" si="76"/>
        <v>0</v>
      </c>
      <c r="X214" s="460" t="str">
        <f t="shared" si="77"/>
        <v>L</v>
      </c>
      <c r="Y214" s="461"/>
      <c r="Z214" s="686" t="e">
        <f>(R214+S214)*'1.0-Contractblad'!$L$98</f>
        <v>#DIV/0!</v>
      </c>
      <c r="AA214" s="687">
        <f ca="1">VLOOKUP(E214,'1.1a-Jaarprijzen'!$B$33:$O$51,14,FALSE)*(L214+K214)</f>
        <v>0</v>
      </c>
      <c r="AB214" s="60">
        <f t="shared" si="78"/>
        <v>0</v>
      </c>
      <c r="AD214" s="60" t="str">
        <f t="shared" si="79"/>
        <v>8200-200</v>
      </c>
    </row>
    <row r="215" spans="1:30">
      <c r="A215" s="92">
        <f t="shared" si="68"/>
        <v>1</v>
      </c>
      <c r="B215" s="529"/>
      <c r="C215" s="590"/>
      <c r="D215" s="688">
        <v>1</v>
      </c>
      <c r="E215" s="591" t="s">
        <v>583</v>
      </c>
      <c r="F215" s="592" t="s">
        <v>348</v>
      </c>
      <c r="G215" s="593" t="s">
        <v>393</v>
      </c>
      <c r="H215" s="594" t="s">
        <v>313</v>
      </c>
      <c r="I215" s="595" t="str">
        <f t="shared" si="69"/>
        <v>speellokaal (peuterspeelzaal)</v>
      </c>
      <c r="J215" s="594" t="s">
        <v>641</v>
      </c>
      <c r="K215" s="678">
        <v>88.3</v>
      </c>
      <c r="L215" s="678"/>
      <c r="M215" s="606">
        <v>8200</v>
      </c>
      <c r="N215" s="601"/>
      <c r="O215" s="601"/>
      <c r="P215" s="603">
        <f t="shared" si="70"/>
        <v>200</v>
      </c>
      <c r="Q215" s="689">
        <v>1</v>
      </c>
      <c r="R215" s="341">
        <f t="shared" si="71"/>
        <v>0</v>
      </c>
      <c r="S215" s="341">
        <f t="shared" si="72"/>
        <v>0</v>
      </c>
      <c r="T215" s="341">
        <f t="shared" si="73"/>
        <v>0</v>
      </c>
      <c r="U215" s="681">
        <f t="shared" si="74"/>
        <v>0</v>
      </c>
      <c r="V215" s="681">
        <f t="shared" si="75"/>
        <v>0</v>
      </c>
      <c r="W215" s="459">
        <f t="shared" si="76"/>
        <v>0</v>
      </c>
      <c r="X215" s="460" t="str">
        <f t="shared" si="77"/>
        <v>L</v>
      </c>
      <c r="Y215" s="461"/>
      <c r="Z215" s="686" t="e">
        <f>(R215+S215)*'1.0-Contractblad'!$L$98</f>
        <v>#DIV/0!</v>
      </c>
      <c r="AA215" s="687">
        <f ca="1">VLOOKUP(E215,'1.1a-Jaarprijzen'!$B$33:$O$51,14,FALSE)*(L215+K215)</f>
        <v>0</v>
      </c>
      <c r="AB215" s="60">
        <f t="shared" si="78"/>
        <v>0</v>
      </c>
      <c r="AD215" s="60" t="str">
        <f t="shared" si="79"/>
        <v>8200-200</v>
      </c>
    </row>
    <row r="216" spans="1:30">
      <c r="A216" s="92">
        <f t="shared" si="68"/>
        <v>1</v>
      </c>
      <c r="B216" s="529"/>
      <c r="C216" s="590"/>
      <c r="D216" s="688">
        <v>1</v>
      </c>
      <c r="E216" s="591" t="s">
        <v>583</v>
      </c>
      <c r="F216" s="592" t="s">
        <v>348</v>
      </c>
      <c r="G216" s="593" t="s">
        <v>349</v>
      </c>
      <c r="H216" s="594" t="s">
        <v>350</v>
      </c>
      <c r="I216" s="595" t="str">
        <f t="shared" si="69"/>
        <v>entree, gang, hal, repro, kopieer</v>
      </c>
      <c r="J216" s="594" t="s">
        <v>493</v>
      </c>
      <c r="K216" s="678">
        <v>10.384040811988523</v>
      </c>
      <c r="L216" s="678"/>
      <c r="M216" s="606">
        <v>3200</v>
      </c>
      <c r="N216" s="601"/>
      <c r="O216" s="601"/>
      <c r="P216" s="603">
        <f t="shared" si="70"/>
        <v>200</v>
      </c>
      <c r="Q216" s="689">
        <v>1</v>
      </c>
      <c r="R216" s="341">
        <f t="shared" si="71"/>
        <v>0</v>
      </c>
      <c r="S216" s="341">
        <f t="shared" si="72"/>
        <v>0</v>
      </c>
      <c r="T216" s="341">
        <f t="shared" si="73"/>
        <v>0</v>
      </c>
      <c r="U216" s="681">
        <f t="shared" si="74"/>
        <v>0</v>
      </c>
      <c r="V216" s="681">
        <f t="shared" si="75"/>
        <v>0</v>
      </c>
      <c r="W216" s="459">
        <f t="shared" si="76"/>
        <v>0</v>
      </c>
      <c r="X216" s="460" t="str">
        <f t="shared" si="77"/>
        <v>V</v>
      </c>
      <c r="Y216" s="461"/>
      <c r="Z216" s="686" t="e">
        <f>(R216+S216)*'1.0-Contractblad'!$L$98</f>
        <v>#DIV/0!</v>
      </c>
      <c r="AA216" s="687">
        <f ca="1">VLOOKUP(E216,'1.1a-Jaarprijzen'!$B$33:$O$51,14,FALSE)*(L216+K216)</f>
        <v>0</v>
      </c>
      <c r="AB216" s="60">
        <f t="shared" si="78"/>
        <v>0</v>
      </c>
      <c r="AD216" s="60" t="str">
        <f t="shared" si="79"/>
        <v>3200-200</v>
      </c>
    </row>
    <row r="217" spans="1:30">
      <c r="A217" s="92">
        <f t="shared" si="68"/>
        <v>1</v>
      </c>
      <c r="B217" s="529"/>
      <c r="C217" s="590"/>
      <c r="D217" s="688">
        <v>1</v>
      </c>
      <c r="E217" s="591" t="s">
        <v>583</v>
      </c>
      <c r="F217" s="592" t="s">
        <v>348</v>
      </c>
      <c r="G217" s="593" t="s">
        <v>351</v>
      </c>
      <c r="H217" s="594" t="s">
        <v>350</v>
      </c>
      <c r="I217" s="595" t="str">
        <f t="shared" si="69"/>
        <v>entree, gang, hal, repro, kopieer</v>
      </c>
      <c r="J217" s="594" t="s">
        <v>493</v>
      </c>
      <c r="K217" s="678">
        <v>5.2347727738285652</v>
      </c>
      <c r="L217" s="678"/>
      <c r="M217" s="606">
        <v>3200</v>
      </c>
      <c r="N217" s="601"/>
      <c r="O217" s="601"/>
      <c r="P217" s="603">
        <f t="shared" si="70"/>
        <v>200</v>
      </c>
      <c r="Q217" s="689">
        <v>1</v>
      </c>
      <c r="R217" s="341">
        <f t="shared" si="71"/>
        <v>0</v>
      </c>
      <c r="S217" s="341">
        <f t="shared" si="72"/>
        <v>0</v>
      </c>
      <c r="T217" s="341">
        <f t="shared" si="73"/>
        <v>0</v>
      </c>
      <c r="U217" s="681">
        <f t="shared" si="74"/>
        <v>0</v>
      </c>
      <c r="V217" s="681">
        <f t="shared" si="75"/>
        <v>0</v>
      </c>
      <c r="W217" s="459">
        <f t="shared" si="76"/>
        <v>0</v>
      </c>
      <c r="X217" s="460" t="str">
        <f t="shared" si="77"/>
        <v>V</v>
      </c>
      <c r="Y217" s="461"/>
      <c r="Z217" s="686" t="e">
        <f>(R217+S217)*'1.0-Contractblad'!$L$98</f>
        <v>#DIV/0!</v>
      </c>
      <c r="AA217" s="687">
        <f ca="1">VLOOKUP(E217,'1.1a-Jaarprijzen'!$B$33:$O$51,14,FALSE)*(L217+K217)</f>
        <v>0</v>
      </c>
      <c r="AB217" s="60">
        <f t="shared" si="78"/>
        <v>0</v>
      </c>
      <c r="AD217" s="60" t="str">
        <f t="shared" si="79"/>
        <v>3200-200</v>
      </c>
    </row>
    <row r="218" spans="1:30">
      <c r="A218" s="92">
        <f t="shared" si="68"/>
        <v>1</v>
      </c>
      <c r="B218" s="529"/>
      <c r="C218" s="590"/>
      <c r="D218" s="688">
        <v>1</v>
      </c>
      <c r="E218" s="591" t="s">
        <v>583</v>
      </c>
      <c r="F218" s="592" t="s">
        <v>348</v>
      </c>
      <c r="G218" s="593" t="s">
        <v>571</v>
      </c>
      <c r="H218" s="594" t="s">
        <v>350</v>
      </c>
      <c r="I218" s="595" t="str">
        <f t="shared" si="69"/>
        <v>entree, gang, hal, repro, kopieer</v>
      </c>
      <c r="J218" s="594" t="s">
        <v>493</v>
      </c>
      <c r="K218" s="678">
        <v>25.3</v>
      </c>
      <c r="L218" s="678"/>
      <c r="M218" s="606">
        <v>3200</v>
      </c>
      <c r="N218" s="601"/>
      <c r="O218" s="601"/>
      <c r="P218" s="603">
        <f t="shared" si="70"/>
        <v>200</v>
      </c>
      <c r="Q218" s="689">
        <v>1</v>
      </c>
      <c r="R218" s="341">
        <f t="shared" si="71"/>
        <v>0</v>
      </c>
      <c r="S218" s="341">
        <f t="shared" si="72"/>
        <v>0</v>
      </c>
      <c r="T218" s="341">
        <f t="shared" si="73"/>
        <v>0</v>
      </c>
      <c r="U218" s="681">
        <f t="shared" si="74"/>
        <v>0</v>
      </c>
      <c r="V218" s="681">
        <f t="shared" si="75"/>
        <v>0</v>
      </c>
      <c r="W218" s="459">
        <f t="shared" si="76"/>
        <v>0</v>
      </c>
      <c r="X218" s="460" t="str">
        <f t="shared" si="77"/>
        <v>V</v>
      </c>
      <c r="Y218" s="461"/>
      <c r="Z218" s="686" t="e">
        <f>(R218+S218)*'1.0-Contractblad'!$L$98</f>
        <v>#DIV/0!</v>
      </c>
      <c r="AA218" s="687">
        <f ca="1">VLOOKUP(E218,'1.1a-Jaarprijzen'!$B$33:$O$51,14,FALSE)*(L218+K218)</f>
        <v>0</v>
      </c>
      <c r="AB218" s="60">
        <f t="shared" si="78"/>
        <v>0</v>
      </c>
      <c r="AD218" s="60" t="str">
        <f t="shared" si="79"/>
        <v>3200-200</v>
      </c>
    </row>
    <row r="219" spans="1:30">
      <c r="A219" s="92">
        <f t="shared" si="68"/>
        <v>1</v>
      </c>
      <c r="B219" s="529"/>
      <c r="C219" s="590"/>
      <c r="D219" s="688">
        <v>1</v>
      </c>
      <c r="E219" s="591" t="s">
        <v>583</v>
      </c>
      <c r="F219" s="592" t="s">
        <v>348</v>
      </c>
      <c r="G219" s="593" t="s">
        <v>512</v>
      </c>
      <c r="H219" s="594" t="s">
        <v>350</v>
      </c>
      <c r="I219" s="595" t="str">
        <f t="shared" si="69"/>
        <v>entree, gang, hal, repro, kopieer</v>
      </c>
      <c r="J219" s="594" t="s">
        <v>493</v>
      </c>
      <c r="K219" s="678">
        <v>10.214066662113243</v>
      </c>
      <c r="L219" s="678"/>
      <c r="M219" s="606">
        <v>3200</v>
      </c>
      <c r="N219" s="601"/>
      <c r="O219" s="601"/>
      <c r="P219" s="603">
        <f t="shared" si="70"/>
        <v>200</v>
      </c>
      <c r="Q219" s="689">
        <v>1</v>
      </c>
      <c r="R219" s="341">
        <f t="shared" si="71"/>
        <v>0</v>
      </c>
      <c r="S219" s="341">
        <f t="shared" si="72"/>
        <v>0</v>
      </c>
      <c r="T219" s="341">
        <f t="shared" si="73"/>
        <v>0</v>
      </c>
      <c r="U219" s="681">
        <f t="shared" si="74"/>
        <v>0</v>
      </c>
      <c r="V219" s="681">
        <f t="shared" si="75"/>
        <v>0</v>
      </c>
      <c r="W219" s="459">
        <f t="shared" si="76"/>
        <v>0</v>
      </c>
      <c r="X219" s="460" t="str">
        <f t="shared" si="77"/>
        <v>V</v>
      </c>
      <c r="Y219" s="461"/>
      <c r="Z219" s="686" t="e">
        <f>(R219+S219)*'1.0-Contractblad'!$L$98</f>
        <v>#DIV/0!</v>
      </c>
      <c r="AA219" s="687">
        <f ca="1">VLOOKUP(E219,'1.1a-Jaarprijzen'!$B$33:$O$51,14,FALSE)*(L219+K219)</f>
        <v>0</v>
      </c>
      <c r="AB219" s="60">
        <f t="shared" si="78"/>
        <v>0</v>
      </c>
      <c r="AD219" s="60" t="str">
        <f t="shared" si="79"/>
        <v>3200-200</v>
      </c>
    </row>
    <row r="220" spans="1:30">
      <c r="A220" s="92">
        <f t="shared" si="68"/>
        <v>1</v>
      </c>
      <c r="B220" s="529"/>
      <c r="C220" s="590"/>
      <c r="D220" s="688">
        <v>1</v>
      </c>
      <c r="E220" s="591" t="s">
        <v>583</v>
      </c>
      <c r="F220" s="592" t="s">
        <v>348</v>
      </c>
      <c r="G220" s="593" t="s">
        <v>352</v>
      </c>
      <c r="H220" s="594" t="s">
        <v>312</v>
      </c>
      <c r="I220" s="595" t="str">
        <f t="shared" si="69"/>
        <v>entree, gang, hal, repro, kopieer</v>
      </c>
      <c r="J220" s="594" t="s">
        <v>493</v>
      </c>
      <c r="K220" s="678">
        <v>75.527931288826224</v>
      </c>
      <c r="L220" s="678"/>
      <c r="M220" s="606">
        <v>3200</v>
      </c>
      <c r="N220" s="601"/>
      <c r="O220" s="601"/>
      <c r="P220" s="603">
        <f t="shared" si="70"/>
        <v>200</v>
      </c>
      <c r="Q220" s="689">
        <v>1</v>
      </c>
      <c r="R220" s="341">
        <f t="shared" si="71"/>
        <v>0</v>
      </c>
      <c r="S220" s="341">
        <f t="shared" si="72"/>
        <v>0</v>
      </c>
      <c r="T220" s="341">
        <f t="shared" si="73"/>
        <v>0</v>
      </c>
      <c r="U220" s="681">
        <f t="shared" si="74"/>
        <v>0</v>
      </c>
      <c r="V220" s="681">
        <f t="shared" si="75"/>
        <v>0</v>
      </c>
      <c r="W220" s="459">
        <f t="shared" si="76"/>
        <v>0</v>
      </c>
      <c r="X220" s="460" t="str">
        <f t="shared" si="77"/>
        <v>V</v>
      </c>
      <c r="Y220" s="461"/>
      <c r="Z220" s="686" t="e">
        <f>(R220+S220)*'1.0-Contractblad'!$L$98</f>
        <v>#DIV/0!</v>
      </c>
      <c r="AA220" s="687">
        <f ca="1">VLOOKUP(E220,'1.1a-Jaarprijzen'!$B$33:$O$51,14,FALSE)*(L220+K220)</f>
        <v>0</v>
      </c>
      <c r="AB220" s="60">
        <f t="shared" si="78"/>
        <v>0</v>
      </c>
      <c r="AD220" s="60" t="str">
        <f t="shared" si="79"/>
        <v>3200-200</v>
      </c>
    </row>
    <row r="221" spans="1:30">
      <c r="A221" s="92">
        <f t="shared" si="68"/>
        <v>1</v>
      </c>
      <c r="B221" s="529"/>
      <c r="C221" s="590"/>
      <c r="D221" s="688">
        <v>1</v>
      </c>
      <c r="E221" s="591" t="s">
        <v>583</v>
      </c>
      <c r="F221" s="592" t="s">
        <v>348</v>
      </c>
      <c r="G221" s="593" t="s">
        <v>368</v>
      </c>
      <c r="H221" s="594" t="s">
        <v>312</v>
      </c>
      <c r="I221" s="595" t="str">
        <f t="shared" si="69"/>
        <v>entree, gang, hal, repro, kopieer</v>
      </c>
      <c r="J221" s="594" t="s">
        <v>493</v>
      </c>
      <c r="K221" s="678">
        <v>22.98421675490501</v>
      </c>
      <c r="L221" s="678"/>
      <c r="M221" s="606">
        <v>3200</v>
      </c>
      <c r="N221" s="601"/>
      <c r="O221" s="601"/>
      <c r="P221" s="603">
        <f t="shared" si="70"/>
        <v>200</v>
      </c>
      <c r="Q221" s="689">
        <v>1</v>
      </c>
      <c r="R221" s="341">
        <f t="shared" si="71"/>
        <v>0</v>
      </c>
      <c r="S221" s="341">
        <f t="shared" si="72"/>
        <v>0</v>
      </c>
      <c r="T221" s="341">
        <f t="shared" si="73"/>
        <v>0</v>
      </c>
      <c r="U221" s="681">
        <f t="shared" si="74"/>
        <v>0</v>
      </c>
      <c r="V221" s="681">
        <f t="shared" si="75"/>
        <v>0</v>
      </c>
      <c r="W221" s="459">
        <f t="shared" si="76"/>
        <v>0</v>
      </c>
      <c r="X221" s="460" t="str">
        <f t="shared" si="77"/>
        <v>V</v>
      </c>
      <c r="Y221" s="461"/>
      <c r="Z221" s="686" t="e">
        <f>(R221+S221)*'1.0-Contractblad'!$L$98</f>
        <v>#DIV/0!</v>
      </c>
      <c r="AA221" s="687">
        <f ca="1">VLOOKUP(E221,'1.1a-Jaarprijzen'!$B$33:$O$51,14,FALSE)*(L221+K221)</f>
        <v>0</v>
      </c>
      <c r="AB221" s="60">
        <f t="shared" si="78"/>
        <v>0</v>
      </c>
      <c r="AD221" s="60" t="str">
        <f t="shared" si="79"/>
        <v>3200-200</v>
      </c>
    </row>
    <row r="222" spans="1:30">
      <c r="A222" s="92">
        <f t="shared" si="68"/>
        <v>1</v>
      </c>
      <c r="B222" s="529"/>
      <c r="C222" s="590"/>
      <c r="D222" s="688">
        <v>1</v>
      </c>
      <c r="E222" s="591" t="s">
        <v>583</v>
      </c>
      <c r="F222" s="592" t="s">
        <v>348</v>
      </c>
      <c r="G222" s="593" t="s">
        <v>588</v>
      </c>
      <c r="H222" s="594" t="s">
        <v>312</v>
      </c>
      <c r="I222" s="595" t="str">
        <f t="shared" si="69"/>
        <v>entree, gang, hal, repro, kopieer</v>
      </c>
      <c r="J222" s="594" t="s">
        <v>493</v>
      </c>
      <c r="K222" s="678">
        <v>15.63749271137026</v>
      </c>
      <c r="L222" s="678"/>
      <c r="M222" s="606">
        <v>3200</v>
      </c>
      <c r="N222" s="601"/>
      <c r="O222" s="601"/>
      <c r="P222" s="603">
        <f t="shared" si="70"/>
        <v>200</v>
      </c>
      <c r="Q222" s="689">
        <v>1</v>
      </c>
      <c r="R222" s="341">
        <f t="shared" si="71"/>
        <v>0</v>
      </c>
      <c r="S222" s="341">
        <f t="shared" si="72"/>
        <v>0</v>
      </c>
      <c r="T222" s="341">
        <f t="shared" si="73"/>
        <v>0</v>
      </c>
      <c r="U222" s="681">
        <f t="shared" si="74"/>
        <v>0</v>
      </c>
      <c r="V222" s="681">
        <f t="shared" si="75"/>
        <v>0</v>
      </c>
      <c r="W222" s="459">
        <f t="shared" si="76"/>
        <v>0</v>
      </c>
      <c r="X222" s="460" t="str">
        <f t="shared" si="77"/>
        <v>V</v>
      </c>
      <c r="Y222" s="461"/>
      <c r="Z222" s="686" t="e">
        <f>(R222+S222)*'1.0-Contractblad'!$L$98</f>
        <v>#DIV/0!</v>
      </c>
      <c r="AA222" s="687">
        <f ca="1">VLOOKUP(E222,'1.1a-Jaarprijzen'!$B$33:$O$51,14,FALSE)*(L222+K222)</f>
        <v>0</v>
      </c>
      <c r="AB222" s="60">
        <f t="shared" si="78"/>
        <v>0</v>
      </c>
      <c r="AD222" s="60" t="str">
        <f t="shared" si="79"/>
        <v>3200-200</v>
      </c>
    </row>
    <row r="223" spans="1:30">
      <c r="A223" s="92">
        <f t="shared" si="68"/>
        <v>1</v>
      </c>
      <c r="B223" s="529"/>
      <c r="C223" s="590"/>
      <c r="D223" s="688">
        <v>1</v>
      </c>
      <c r="E223" s="591" t="s">
        <v>583</v>
      </c>
      <c r="F223" s="592" t="s">
        <v>348</v>
      </c>
      <c r="G223" s="593" t="s">
        <v>589</v>
      </c>
      <c r="H223" s="594" t="s">
        <v>312</v>
      </c>
      <c r="I223" s="595" t="str">
        <f t="shared" si="69"/>
        <v>entree, gang, hal, repro, kopieer</v>
      </c>
      <c r="J223" s="594" t="s">
        <v>493</v>
      </c>
      <c r="K223" s="678">
        <v>48.514647674933194</v>
      </c>
      <c r="L223" s="678"/>
      <c r="M223" s="606">
        <v>3200</v>
      </c>
      <c r="N223" s="601"/>
      <c r="O223" s="601"/>
      <c r="P223" s="603">
        <f t="shared" si="70"/>
        <v>200</v>
      </c>
      <c r="Q223" s="689">
        <v>1</v>
      </c>
      <c r="R223" s="341">
        <f t="shared" si="71"/>
        <v>0</v>
      </c>
      <c r="S223" s="341">
        <f t="shared" si="72"/>
        <v>0</v>
      </c>
      <c r="T223" s="341">
        <f t="shared" si="73"/>
        <v>0</v>
      </c>
      <c r="U223" s="681">
        <f t="shared" si="74"/>
        <v>0</v>
      </c>
      <c r="V223" s="681">
        <f t="shared" si="75"/>
        <v>0</v>
      </c>
      <c r="W223" s="459">
        <f t="shared" si="76"/>
        <v>0</v>
      </c>
      <c r="X223" s="460" t="str">
        <f t="shared" si="77"/>
        <v>V</v>
      </c>
      <c r="Y223" s="461"/>
      <c r="Z223" s="686" t="e">
        <f>(R223+S223)*'1.0-Contractblad'!$L$98</f>
        <v>#DIV/0!</v>
      </c>
      <c r="AA223" s="687">
        <f ca="1">VLOOKUP(E223,'1.1a-Jaarprijzen'!$B$33:$O$51,14,FALSE)*(L223+K223)</f>
        <v>0</v>
      </c>
      <c r="AB223" s="60">
        <f t="shared" si="78"/>
        <v>0</v>
      </c>
      <c r="AD223" s="60" t="str">
        <f t="shared" si="79"/>
        <v>3200-200</v>
      </c>
    </row>
    <row r="224" spans="1:30">
      <c r="A224" s="92">
        <f t="shared" si="68"/>
        <v>1</v>
      </c>
      <c r="B224" s="529"/>
      <c r="C224" s="590"/>
      <c r="D224" s="688">
        <v>1</v>
      </c>
      <c r="E224" s="591" t="s">
        <v>583</v>
      </c>
      <c r="F224" s="592" t="s">
        <v>348</v>
      </c>
      <c r="G224" s="593" t="s">
        <v>590</v>
      </c>
      <c r="H224" s="594" t="s">
        <v>312</v>
      </c>
      <c r="I224" s="595" t="str">
        <f t="shared" si="69"/>
        <v>entree, gang, hal, repro, kopieer</v>
      </c>
      <c r="J224" s="594" t="s">
        <v>493</v>
      </c>
      <c r="K224" s="678">
        <v>66.699104394433604</v>
      </c>
      <c r="L224" s="678"/>
      <c r="M224" s="606">
        <v>3200</v>
      </c>
      <c r="N224" s="601"/>
      <c r="O224" s="601"/>
      <c r="P224" s="603">
        <f t="shared" si="70"/>
        <v>200</v>
      </c>
      <c r="Q224" s="689">
        <v>1</v>
      </c>
      <c r="R224" s="341">
        <f t="shared" si="71"/>
        <v>0</v>
      </c>
      <c r="S224" s="341">
        <f t="shared" si="72"/>
        <v>0</v>
      </c>
      <c r="T224" s="341">
        <f t="shared" si="73"/>
        <v>0</v>
      </c>
      <c r="U224" s="681">
        <f t="shared" si="74"/>
        <v>0</v>
      </c>
      <c r="V224" s="681">
        <f t="shared" si="75"/>
        <v>0</v>
      </c>
      <c r="W224" s="459">
        <f t="shared" si="76"/>
        <v>0</v>
      </c>
      <c r="X224" s="460" t="str">
        <f t="shared" si="77"/>
        <v>V</v>
      </c>
      <c r="Y224" s="461"/>
      <c r="Z224" s="686" t="e">
        <f>(R224+S224)*'1.0-Contractblad'!$L$98</f>
        <v>#DIV/0!</v>
      </c>
      <c r="AA224" s="687">
        <f ca="1">VLOOKUP(E224,'1.1a-Jaarprijzen'!$B$33:$O$51,14,FALSE)*(L224+K224)</f>
        <v>0</v>
      </c>
      <c r="AB224" s="60">
        <f t="shared" si="78"/>
        <v>0</v>
      </c>
      <c r="AD224" s="60" t="str">
        <f t="shared" si="79"/>
        <v>3200-200</v>
      </c>
    </row>
    <row r="225" spans="1:30">
      <c r="A225" s="92">
        <f t="shared" si="68"/>
        <v>1</v>
      </c>
      <c r="B225" s="529"/>
      <c r="C225" s="590"/>
      <c r="D225" s="688">
        <v>1</v>
      </c>
      <c r="E225" s="591" t="s">
        <v>583</v>
      </c>
      <c r="F225" s="592" t="s">
        <v>348</v>
      </c>
      <c r="G225" s="593" t="s">
        <v>591</v>
      </c>
      <c r="H225" s="594" t="s">
        <v>312</v>
      </c>
      <c r="I225" s="595" t="str">
        <f t="shared" si="69"/>
        <v>entree, gang, hal, repro, kopieer</v>
      </c>
      <c r="J225" s="594" t="s">
        <v>493</v>
      </c>
      <c r="K225" s="678">
        <v>31.7</v>
      </c>
      <c r="L225" s="678"/>
      <c r="M225" s="606">
        <v>3200</v>
      </c>
      <c r="N225" s="601"/>
      <c r="O225" s="601"/>
      <c r="P225" s="603">
        <f t="shared" si="70"/>
        <v>200</v>
      </c>
      <c r="Q225" s="689">
        <v>1</v>
      </c>
      <c r="R225" s="341">
        <f t="shared" si="71"/>
        <v>0</v>
      </c>
      <c r="S225" s="341">
        <f t="shared" si="72"/>
        <v>0</v>
      </c>
      <c r="T225" s="341">
        <f t="shared" si="73"/>
        <v>0</v>
      </c>
      <c r="U225" s="681">
        <f t="shared" si="74"/>
        <v>0</v>
      </c>
      <c r="V225" s="681">
        <f t="shared" si="75"/>
        <v>0</v>
      </c>
      <c r="W225" s="459">
        <f t="shared" si="76"/>
        <v>0</v>
      </c>
      <c r="X225" s="460" t="str">
        <f t="shared" si="77"/>
        <v>V</v>
      </c>
      <c r="Y225" s="461"/>
      <c r="Z225" s="686" t="e">
        <f>(R225+S225)*'1.0-Contractblad'!$L$98</f>
        <v>#DIV/0!</v>
      </c>
      <c r="AA225" s="687">
        <f ca="1">VLOOKUP(E225,'1.1a-Jaarprijzen'!$B$33:$O$51,14,FALSE)*(L225+K225)</f>
        <v>0</v>
      </c>
      <c r="AB225" s="60">
        <f t="shared" si="78"/>
        <v>0</v>
      </c>
      <c r="AD225" s="60" t="str">
        <f t="shared" si="79"/>
        <v>3200-200</v>
      </c>
    </row>
    <row r="226" spans="1:30">
      <c r="A226" s="92">
        <f t="shared" si="68"/>
        <v>1</v>
      </c>
      <c r="B226" s="529"/>
      <c r="C226" s="590"/>
      <c r="D226" s="688">
        <v>1</v>
      </c>
      <c r="E226" s="591" t="s">
        <v>583</v>
      </c>
      <c r="F226" s="592" t="s">
        <v>348</v>
      </c>
      <c r="G226" s="593" t="s">
        <v>390</v>
      </c>
      <c r="H226" s="594" t="s">
        <v>316</v>
      </c>
      <c r="I226" s="595" t="str">
        <f t="shared" si="69"/>
        <v>aula, gemeenschappelijke ruimte, bibliotheek</v>
      </c>
      <c r="J226" s="594" t="s">
        <v>493</v>
      </c>
      <c r="K226" s="678">
        <v>197</v>
      </c>
      <c r="L226" s="678"/>
      <c r="M226" s="606">
        <v>2200</v>
      </c>
      <c r="N226" s="601"/>
      <c r="O226" s="601"/>
      <c r="P226" s="603">
        <f t="shared" si="70"/>
        <v>200</v>
      </c>
      <c r="Q226" s="689">
        <v>1</v>
      </c>
      <c r="R226" s="341">
        <f t="shared" si="71"/>
        <v>0</v>
      </c>
      <c r="S226" s="341">
        <f t="shared" si="72"/>
        <v>0</v>
      </c>
      <c r="T226" s="341">
        <f t="shared" si="73"/>
        <v>0</v>
      </c>
      <c r="U226" s="681">
        <f t="shared" si="74"/>
        <v>0</v>
      </c>
      <c r="V226" s="681">
        <f t="shared" si="75"/>
        <v>0</v>
      </c>
      <c r="W226" s="459">
        <f t="shared" si="76"/>
        <v>0</v>
      </c>
      <c r="X226" s="460" t="str">
        <f t="shared" si="77"/>
        <v>V</v>
      </c>
      <c r="Y226" s="461"/>
      <c r="Z226" s="686" t="e">
        <f>(R226+S226)*'1.0-Contractblad'!$L$98</f>
        <v>#DIV/0!</v>
      </c>
      <c r="AA226" s="687">
        <f ca="1">VLOOKUP(E226,'1.1a-Jaarprijzen'!$B$33:$O$51,14,FALSE)*(L226+K226)</f>
        <v>0</v>
      </c>
      <c r="AB226" s="60">
        <f t="shared" si="78"/>
        <v>0</v>
      </c>
      <c r="AD226" s="60" t="str">
        <f t="shared" si="79"/>
        <v>2200-200</v>
      </c>
    </row>
    <row r="227" spans="1:30">
      <c r="A227" s="92">
        <f t="shared" si="68"/>
        <v>1</v>
      </c>
      <c r="B227" s="529"/>
      <c r="C227" s="590"/>
      <c r="D227" s="688">
        <v>1</v>
      </c>
      <c r="E227" s="591" t="s">
        <v>583</v>
      </c>
      <c r="F227" s="592" t="s">
        <v>348</v>
      </c>
      <c r="G227" s="593" t="s">
        <v>401</v>
      </c>
      <c r="H227" s="594" t="s">
        <v>315</v>
      </c>
      <c r="I227" s="595" t="str">
        <f t="shared" si="69"/>
        <v>aula, gemeenschappelijke ruimte, bibliotheek</v>
      </c>
      <c r="J227" s="594" t="s">
        <v>493</v>
      </c>
      <c r="K227" s="678">
        <v>10.749544053565737</v>
      </c>
      <c r="L227" s="678"/>
      <c r="M227" s="606">
        <v>2040</v>
      </c>
      <c r="N227" s="601"/>
      <c r="O227" s="601"/>
      <c r="P227" s="603">
        <f t="shared" si="70"/>
        <v>40</v>
      </c>
      <c r="Q227" s="689">
        <v>1</v>
      </c>
      <c r="R227" s="341">
        <f t="shared" si="71"/>
        <v>0</v>
      </c>
      <c r="S227" s="341">
        <f t="shared" si="72"/>
        <v>0</v>
      </c>
      <c r="T227" s="341">
        <f t="shared" si="73"/>
        <v>0</v>
      </c>
      <c r="U227" s="681">
        <f t="shared" si="74"/>
        <v>0</v>
      </c>
      <c r="V227" s="681">
        <f t="shared" si="75"/>
        <v>0</v>
      </c>
      <c r="W227" s="459">
        <f t="shared" si="76"/>
        <v>0</v>
      </c>
      <c r="X227" s="460" t="str">
        <f t="shared" si="77"/>
        <v>V</v>
      </c>
      <c r="Y227" s="461"/>
      <c r="Z227" s="686" t="e">
        <f>(R227+S227)*'1.0-Contractblad'!$L$98</f>
        <v>#DIV/0!</v>
      </c>
      <c r="AA227" s="687">
        <f ca="1">VLOOKUP(E227,'1.1a-Jaarprijzen'!$B$33:$O$51,14,FALSE)*(L227+K227)</f>
        <v>0</v>
      </c>
      <c r="AB227" s="60">
        <f t="shared" si="78"/>
        <v>0</v>
      </c>
      <c r="AD227" s="60" t="str">
        <f t="shared" si="79"/>
        <v>2040-40</v>
      </c>
    </row>
    <row r="228" spans="1:30">
      <c r="A228" s="92">
        <f t="shared" ref="A228:A259" si="80">D228</f>
        <v>1</v>
      </c>
      <c r="B228" s="529"/>
      <c r="C228" s="590"/>
      <c r="D228" s="688">
        <v>1</v>
      </c>
      <c r="E228" s="591" t="s">
        <v>583</v>
      </c>
      <c r="F228" s="592" t="s">
        <v>348</v>
      </c>
      <c r="G228" s="593" t="s">
        <v>367</v>
      </c>
      <c r="H228" s="594" t="s">
        <v>518</v>
      </c>
      <c r="I228" s="595" t="str">
        <f t="shared" si="69"/>
        <v>sanitaire ruimte (toilet-/doucheruimte)</v>
      </c>
      <c r="J228" s="594" t="s">
        <v>640</v>
      </c>
      <c r="K228" s="678">
        <v>5.1528371999773359</v>
      </c>
      <c r="L228" s="678"/>
      <c r="M228" s="606">
        <v>4200</v>
      </c>
      <c r="N228" s="601"/>
      <c r="O228" s="601"/>
      <c r="P228" s="603">
        <f t="shared" si="70"/>
        <v>200</v>
      </c>
      <c r="Q228" s="689">
        <v>1</v>
      </c>
      <c r="R228" s="341">
        <f t="shared" si="71"/>
        <v>0</v>
      </c>
      <c r="S228" s="341">
        <f t="shared" si="72"/>
        <v>0</v>
      </c>
      <c r="T228" s="341">
        <f t="shared" ref="T228:T259" si="81">W228*K228*Q228</f>
        <v>0</v>
      </c>
      <c r="U228" s="681">
        <f t="shared" si="74"/>
        <v>0</v>
      </c>
      <c r="V228" s="681">
        <f t="shared" si="75"/>
        <v>0</v>
      </c>
      <c r="W228" s="459">
        <f t="shared" ref="W228:W259" si="82">VLOOKUP($O228,Kengetal,7,FALSE)</f>
        <v>0</v>
      </c>
      <c r="X228" s="460" t="str">
        <f t="shared" si="77"/>
        <v>S</v>
      </c>
      <c r="Y228" s="461"/>
      <c r="Z228" s="686" t="e">
        <f>(R228+S228)*'1.0-Contractblad'!$L$98</f>
        <v>#DIV/0!</v>
      </c>
      <c r="AA228" s="687">
        <f ca="1">VLOOKUP(E228,'1.1a-Jaarprijzen'!$B$33:$O$51,14,FALSE)*(L228+K228)</f>
        <v>0</v>
      </c>
      <c r="AB228" s="60">
        <f t="shared" si="78"/>
        <v>0</v>
      </c>
      <c r="AD228" s="60" t="str">
        <f t="shared" si="79"/>
        <v>4200-200</v>
      </c>
    </row>
    <row r="229" spans="1:30">
      <c r="A229" s="92">
        <f t="shared" si="80"/>
        <v>1</v>
      </c>
      <c r="B229" s="529"/>
      <c r="C229" s="590"/>
      <c r="D229" s="688">
        <v>1</v>
      </c>
      <c r="E229" s="591" t="s">
        <v>583</v>
      </c>
      <c r="F229" s="592" t="s">
        <v>348</v>
      </c>
      <c r="G229" s="593" t="s">
        <v>375</v>
      </c>
      <c r="H229" s="594" t="s">
        <v>518</v>
      </c>
      <c r="I229" s="595" t="str">
        <f t="shared" si="69"/>
        <v>sanitaire ruimte (toilet-/doucheruimte)</v>
      </c>
      <c r="J229" s="594" t="s">
        <v>640</v>
      </c>
      <c r="K229" s="678">
        <v>5.2438767264787014</v>
      </c>
      <c r="L229" s="678"/>
      <c r="M229" s="606">
        <v>4200</v>
      </c>
      <c r="N229" s="601"/>
      <c r="O229" s="601"/>
      <c r="P229" s="603">
        <f t="shared" si="70"/>
        <v>200</v>
      </c>
      <c r="Q229" s="689">
        <v>1</v>
      </c>
      <c r="R229" s="341">
        <f t="shared" si="71"/>
        <v>0</v>
      </c>
      <c r="S229" s="341">
        <f t="shared" si="72"/>
        <v>0</v>
      </c>
      <c r="T229" s="341">
        <f t="shared" si="81"/>
        <v>0</v>
      </c>
      <c r="U229" s="681">
        <f t="shared" si="74"/>
        <v>0</v>
      </c>
      <c r="V229" s="681">
        <f t="shared" si="75"/>
        <v>0</v>
      </c>
      <c r="W229" s="459">
        <f t="shared" si="82"/>
        <v>0</v>
      </c>
      <c r="X229" s="460" t="str">
        <f t="shared" si="77"/>
        <v>S</v>
      </c>
      <c r="Y229" s="461"/>
      <c r="Z229" s="686" t="e">
        <f>(R229+S229)*'1.0-Contractblad'!$L$98</f>
        <v>#DIV/0!</v>
      </c>
      <c r="AA229" s="687">
        <f ca="1">VLOOKUP(E229,'1.1a-Jaarprijzen'!$B$33:$O$51,14,FALSE)*(L229+K229)</f>
        <v>0</v>
      </c>
      <c r="AB229" s="60">
        <f t="shared" si="78"/>
        <v>0</v>
      </c>
      <c r="AD229" s="60" t="str">
        <f t="shared" si="79"/>
        <v>4200-200</v>
      </c>
    </row>
    <row r="230" spans="1:30">
      <c r="A230" s="92">
        <f t="shared" si="80"/>
        <v>1</v>
      </c>
      <c r="B230" s="529"/>
      <c r="C230" s="590"/>
      <c r="D230" s="688">
        <v>1</v>
      </c>
      <c r="E230" s="591" t="s">
        <v>583</v>
      </c>
      <c r="F230" s="592" t="s">
        <v>348</v>
      </c>
      <c r="G230" s="593" t="s">
        <v>383</v>
      </c>
      <c r="H230" s="594" t="s">
        <v>518</v>
      </c>
      <c r="I230" s="595" t="str">
        <f t="shared" si="69"/>
        <v>Vervallen (mutatie)</v>
      </c>
      <c r="J230" s="594" t="s">
        <v>639</v>
      </c>
      <c r="K230" s="678"/>
      <c r="L230" s="678">
        <v>5.2438767264787014</v>
      </c>
      <c r="M230" s="606" t="s">
        <v>460</v>
      </c>
      <c r="N230" s="601"/>
      <c r="O230" s="601"/>
      <c r="P230" s="603">
        <f t="shared" si="70"/>
        <v>0</v>
      </c>
      <c r="Q230" s="689">
        <v>1</v>
      </c>
      <c r="R230" s="341">
        <f t="shared" si="71"/>
        <v>0</v>
      </c>
      <c r="S230" s="341">
        <f t="shared" si="72"/>
        <v>0</v>
      </c>
      <c r="T230" s="341">
        <f t="shared" si="81"/>
        <v>0</v>
      </c>
      <c r="U230" s="681">
        <f t="shared" si="74"/>
        <v>0</v>
      </c>
      <c r="V230" s="681">
        <f t="shared" si="75"/>
        <v>0</v>
      </c>
      <c r="W230" s="459">
        <f t="shared" si="82"/>
        <v>0</v>
      </c>
      <c r="X230" s="460">
        <f t="shared" si="77"/>
        <v>0</v>
      </c>
      <c r="Y230" s="461" t="s">
        <v>460</v>
      </c>
      <c r="Z230" s="686" t="e">
        <f>(R230+S230)*'1.0-Contractblad'!$L$98</f>
        <v>#DIV/0!</v>
      </c>
      <c r="AA230" s="687">
        <f ca="1">VLOOKUP(E230,'1.1a-Jaarprijzen'!$B$33:$O$51,14,FALSE)*(L230+K230)</f>
        <v>0</v>
      </c>
      <c r="AB230" s="60">
        <f t="shared" si="78"/>
        <v>0</v>
      </c>
      <c r="AD230" s="60" t="str">
        <f t="shared" si="79"/>
        <v>Vervallen-0</v>
      </c>
    </row>
    <row r="231" spans="1:30">
      <c r="A231" s="92">
        <f t="shared" si="80"/>
        <v>1</v>
      </c>
      <c r="B231" s="529"/>
      <c r="C231" s="590"/>
      <c r="D231" s="688">
        <v>1</v>
      </c>
      <c r="E231" s="591" t="s">
        <v>583</v>
      </c>
      <c r="F231" s="592" t="s">
        <v>348</v>
      </c>
      <c r="G231" s="593" t="s">
        <v>385</v>
      </c>
      <c r="H231" s="594" t="s">
        <v>518</v>
      </c>
      <c r="I231" s="595" t="str">
        <f t="shared" si="69"/>
        <v>sanitaire ruimte (toilet-/doucheruimte)</v>
      </c>
      <c r="J231" s="594" t="s">
        <v>640</v>
      </c>
      <c r="K231" s="678">
        <v>5.2438767264787014</v>
      </c>
      <c r="L231" s="678"/>
      <c r="M231" s="606">
        <v>4200</v>
      </c>
      <c r="N231" s="601"/>
      <c r="O231" s="601"/>
      <c r="P231" s="603">
        <f t="shared" si="70"/>
        <v>200</v>
      </c>
      <c r="Q231" s="689">
        <v>1</v>
      </c>
      <c r="R231" s="341">
        <f t="shared" si="71"/>
        <v>0</v>
      </c>
      <c r="S231" s="341">
        <f t="shared" si="72"/>
        <v>0</v>
      </c>
      <c r="T231" s="341">
        <f t="shared" si="81"/>
        <v>0</v>
      </c>
      <c r="U231" s="681">
        <f t="shared" si="74"/>
        <v>0</v>
      </c>
      <c r="V231" s="681">
        <f t="shared" si="75"/>
        <v>0</v>
      </c>
      <c r="W231" s="459">
        <f t="shared" si="82"/>
        <v>0</v>
      </c>
      <c r="X231" s="460" t="str">
        <f t="shared" si="77"/>
        <v>S</v>
      </c>
      <c r="Y231" s="461"/>
      <c r="Z231" s="686" t="e">
        <f>(R231+S231)*'1.0-Contractblad'!$L$98</f>
        <v>#DIV/0!</v>
      </c>
      <c r="AA231" s="687">
        <f ca="1">VLOOKUP(E231,'1.1a-Jaarprijzen'!$B$33:$O$51,14,FALSE)*(L231+K231)</f>
        <v>0</v>
      </c>
      <c r="AB231" s="60">
        <f t="shared" si="78"/>
        <v>0</v>
      </c>
      <c r="AD231" s="60" t="str">
        <f t="shared" si="79"/>
        <v>4200-200</v>
      </c>
    </row>
    <row r="232" spans="1:30">
      <c r="A232" s="92">
        <f t="shared" si="80"/>
        <v>1</v>
      </c>
      <c r="B232" s="529"/>
      <c r="C232" s="590"/>
      <c r="D232" s="688">
        <v>1</v>
      </c>
      <c r="E232" s="591" t="s">
        <v>583</v>
      </c>
      <c r="F232" s="592" t="s">
        <v>348</v>
      </c>
      <c r="G232" s="593" t="s">
        <v>396</v>
      </c>
      <c r="H232" s="594" t="s">
        <v>518</v>
      </c>
      <c r="I232" s="595" t="str">
        <f t="shared" si="69"/>
        <v>sanitaire ruimte (toilet-/doucheruimte)</v>
      </c>
      <c r="J232" s="594" t="s">
        <v>640</v>
      </c>
      <c r="K232" s="678">
        <v>4.6339118989195471</v>
      </c>
      <c r="L232" s="678"/>
      <c r="M232" s="606">
        <v>4200</v>
      </c>
      <c r="N232" s="601"/>
      <c r="O232" s="601"/>
      <c r="P232" s="603">
        <f t="shared" si="70"/>
        <v>200</v>
      </c>
      <c r="Q232" s="689">
        <v>1</v>
      </c>
      <c r="R232" s="341">
        <f t="shared" si="71"/>
        <v>0</v>
      </c>
      <c r="S232" s="341">
        <f t="shared" si="72"/>
        <v>0</v>
      </c>
      <c r="T232" s="341">
        <f t="shared" si="81"/>
        <v>0</v>
      </c>
      <c r="U232" s="681">
        <f t="shared" si="74"/>
        <v>0</v>
      </c>
      <c r="V232" s="681">
        <f t="shared" si="75"/>
        <v>0</v>
      </c>
      <c r="W232" s="459">
        <f t="shared" si="82"/>
        <v>0</v>
      </c>
      <c r="X232" s="460" t="str">
        <f t="shared" si="77"/>
        <v>S</v>
      </c>
      <c r="Y232" s="461"/>
      <c r="Z232" s="686" t="e">
        <f>(R232+S232)*'1.0-Contractblad'!$L$98</f>
        <v>#DIV/0!</v>
      </c>
      <c r="AA232" s="687">
        <f ca="1">VLOOKUP(E232,'1.1a-Jaarprijzen'!$B$33:$O$51,14,FALSE)*(L232+K232)</f>
        <v>0</v>
      </c>
      <c r="AB232" s="60">
        <f t="shared" si="78"/>
        <v>0</v>
      </c>
      <c r="AD232" s="60" t="str">
        <f t="shared" si="79"/>
        <v>4200-200</v>
      </c>
    </row>
    <row r="233" spans="1:30">
      <c r="A233" s="92">
        <f t="shared" si="80"/>
        <v>1</v>
      </c>
      <c r="B233" s="529"/>
      <c r="C233" s="590"/>
      <c r="D233" s="688">
        <v>1</v>
      </c>
      <c r="E233" s="591" t="s">
        <v>583</v>
      </c>
      <c r="F233" s="592" t="s">
        <v>348</v>
      </c>
      <c r="G233" s="593" t="s">
        <v>483</v>
      </c>
      <c r="H233" s="594" t="s">
        <v>395</v>
      </c>
      <c r="I233" s="595" t="str">
        <f t="shared" si="69"/>
        <v>sanitaire ruimte (toilet-/doucheruimte)</v>
      </c>
      <c r="J233" s="594" t="s">
        <v>640</v>
      </c>
      <c r="K233" s="678">
        <v>4.9070304784236463</v>
      </c>
      <c r="L233" s="678"/>
      <c r="M233" s="606">
        <v>4200</v>
      </c>
      <c r="N233" s="601"/>
      <c r="O233" s="601"/>
      <c r="P233" s="603">
        <f t="shared" si="70"/>
        <v>200</v>
      </c>
      <c r="Q233" s="689">
        <v>1</v>
      </c>
      <c r="R233" s="341">
        <f t="shared" si="71"/>
        <v>0</v>
      </c>
      <c r="S233" s="341">
        <f t="shared" si="72"/>
        <v>0</v>
      </c>
      <c r="T233" s="341">
        <f t="shared" si="81"/>
        <v>0</v>
      </c>
      <c r="U233" s="681">
        <f t="shared" si="74"/>
        <v>0</v>
      </c>
      <c r="V233" s="681">
        <f t="shared" si="75"/>
        <v>0</v>
      </c>
      <c r="W233" s="459">
        <f t="shared" si="82"/>
        <v>0</v>
      </c>
      <c r="X233" s="460" t="str">
        <f t="shared" si="77"/>
        <v>S</v>
      </c>
      <c r="Y233" s="461"/>
      <c r="Z233" s="686" t="e">
        <f>(R233+S233)*'1.0-Contractblad'!$L$98</f>
        <v>#DIV/0!</v>
      </c>
      <c r="AA233" s="687">
        <f ca="1">VLOOKUP(E233,'1.1a-Jaarprijzen'!$B$33:$O$51,14,FALSE)*(L233+K233)</f>
        <v>0</v>
      </c>
      <c r="AB233" s="60">
        <f t="shared" si="78"/>
        <v>0</v>
      </c>
      <c r="AD233" s="60" t="str">
        <f t="shared" si="79"/>
        <v>4200-200</v>
      </c>
    </row>
    <row r="234" spans="1:30">
      <c r="A234" s="92">
        <f t="shared" si="80"/>
        <v>1</v>
      </c>
      <c r="B234" s="529"/>
      <c r="C234" s="590"/>
      <c r="D234" s="688">
        <v>1</v>
      </c>
      <c r="E234" s="591" t="s">
        <v>583</v>
      </c>
      <c r="F234" s="592" t="s">
        <v>348</v>
      </c>
      <c r="G234" s="593" t="s">
        <v>484</v>
      </c>
      <c r="H234" s="594" t="s">
        <v>518</v>
      </c>
      <c r="I234" s="595" t="str">
        <f t="shared" si="69"/>
        <v>sanitaire ruimte (toilet-/doucheruimte)</v>
      </c>
      <c r="J234" s="594" t="s">
        <v>640</v>
      </c>
      <c r="K234" s="678">
        <v>4.8341988572225532</v>
      </c>
      <c r="L234" s="678"/>
      <c r="M234" s="606">
        <v>4200</v>
      </c>
      <c r="N234" s="601"/>
      <c r="O234" s="601"/>
      <c r="P234" s="603">
        <f t="shared" si="70"/>
        <v>200</v>
      </c>
      <c r="Q234" s="689">
        <v>1</v>
      </c>
      <c r="R234" s="341">
        <f t="shared" si="71"/>
        <v>0</v>
      </c>
      <c r="S234" s="341">
        <f t="shared" si="72"/>
        <v>0</v>
      </c>
      <c r="T234" s="341">
        <f t="shared" si="81"/>
        <v>0</v>
      </c>
      <c r="U234" s="681">
        <f t="shared" si="74"/>
        <v>0</v>
      </c>
      <c r="V234" s="681">
        <f t="shared" si="75"/>
        <v>0</v>
      </c>
      <c r="W234" s="459">
        <f t="shared" si="82"/>
        <v>0</v>
      </c>
      <c r="X234" s="460" t="str">
        <f t="shared" si="77"/>
        <v>S</v>
      </c>
      <c r="Y234" s="461"/>
      <c r="Z234" s="686" t="e">
        <f>(R234+S234)*'1.0-Contractblad'!$L$98</f>
        <v>#DIV/0!</v>
      </c>
      <c r="AA234" s="687">
        <f ca="1">VLOOKUP(E234,'1.1a-Jaarprijzen'!$B$33:$O$51,14,FALSE)*(L234+K234)</f>
        <v>0</v>
      </c>
      <c r="AB234" s="60">
        <f t="shared" si="78"/>
        <v>0</v>
      </c>
      <c r="AD234" s="60" t="str">
        <f t="shared" si="79"/>
        <v>4200-200</v>
      </c>
    </row>
    <row r="235" spans="1:30">
      <c r="A235" s="92">
        <f t="shared" si="80"/>
        <v>1</v>
      </c>
      <c r="B235" s="529"/>
      <c r="C235" s="590"/>
      <c r="D235" s="688">
        <v>1</v>
      </c>
      <c r="E235" s="591" t="s">
        <v>583</v>
      </c>
      <c r="F235" s="592" t="s">
        <v>348</v>
      </c>
      <c r="G235" s="593" t="s">
        <v>486</v>
      </c>
      <c r="H235" s="594" t="s">
        <v>518</v>
      </c>
      <c r="I235" s="595" t="str">
        <f t="shared" si="69"/>
        <v>sanitaire ruimte (toilet-/doucheruimte)</v>
      </c>
      <c r="J235" s="594" t="s">
        <v>640</v>
      </c>
      <c r="K235" s="678">
        <v>5.8830034722222218</v>
      </c>
      <c r="L235" s="678"/>
      <c r="M235" s="606">
        <v>4200</v>
      </c>
      <c r="N235" s="601"/>
      <c r="O235" s="601"/>
      <c r="P235" s="603">
        <f t="shared" si="70"/>
        <v>200</v>
      </c>
      <c r="Q235" s="689">
        <v>1</v>
      </c>
      <c r="R235" s="341">
        <f t="shared" si="71"/>
        <v>0</v>
      </c>
      <c r="S235" s="341">
        <f t="shared" si="72"/>
        <v>0</v>
      </c>
      <c r="T235" s="341">
        <f t="shared" si="81"/>
        <v>0</v>
      </c>
      <c r="U235" s="681">
        <f t="shared" si="74"/>
        <v>0</v>
      </c>
      <c r="V235" s="681">
        <f t="shared" si="75"/>
        <v>0</v>
      </c>
      <c r="W235" s="459">
        <f t="shared" si="82"/>
        <v>0</v>
      </c>
      <c r="X235" s="460" t="str">
        <f t="shared" si="77"/>
        <v>S</v>
      </c>
      <c r="Y235" s="461"/>
      <c r="Z235" s="686" t="e">
        <f>(R235+S235)*'1.0-Contractblad'!$L$98</f>
        <v>#DIV/0!</v>
      </c>
      <c r="AA235" s="687">
        <f ca="1">VLOOKUP(E235,'1.1a-Jaarprijzen'!$B$33:$O$51,14,FALSE)*(L235+K235)</f>
        <v>0</v>
      </c>
      <c r="AB235" s="60">
        <f t="shared" si="78"/>
        <v>0</v>
      </c>
      <c r="AD235" s="60" t="str">
        <f t="shared" si="79"/>
        <v>4200-200</v>
      </c>
    </row>
    <row r="236" spans="1:30">
      <c r="A236" s="92">
        <f t="shared" si="80"/>
        <v>1</v>
      </c>
      <c r="B236" s="529"/>
      <c r="C236" s="590"/>
      <c r="D236" s="688">
        <v>1</v>
      </c>
      <c r="E236" s="591" t="s">
        <v>583</v>
      </c>
      <c r="F236" s="592" t="s">
        <v>348</v>
      </c>
      <c r="G236" s="593" t="s">
        <v>490</v>
      </c>
      <c r="H236" s="594" t="s">
        <v>518</v>
      </c>
      <c r="I236" s="595" t="str">
        <f t="shared" si="69"/>
        <v>sanitaire ruimte (toilet-/doucheruimte)</v>
      </c>
      <c r="J236" s="594" t="s">
        <v>640</v>
      </c>
      <c r="K236" s="678">
        <v>6.4452574980225705</v>
      </c>
      <c r="L236" s="678"/>
      <c r="M236" s="606">
        <v>4200</v>
      </c>
      <c r="N236" s="601"/>
      <c r="O236" s="601"/>
      <c r="P236" s="603">
        <f t="shared" si="70"/>
        <v>200</v>
      </c>
      <c r="Q236" s="689">
        <v>1</v>
      </c>
      <c r="R236" s="341">
        <f t="shared" si="71"/>
        <v>0</v>
      </c>
      <c r="S236" s="341">
        <f t="shared" si="72"/>
        <v>0</v>
      </c>
      <c r="T236" s="341">
        <f t="shared" si="81"/>
        <v>0</v>
      </c>
      <c r="U236" s="681">
        <f t="shared" si="74"/>
        <v>0</v>
      </c>
      <c r="V236" s="681">
        <f t="shared" si="75"/>
        <v>0</v>
      </c>
      <c r="W236" s="459">
        <f t="shared" si="82"/>
        <v>0</v>
      </c>
      <c r="X236" s="460" t="str">
        <f t="shared" si="77"/>
        <v>S</v>
      </c>
      <c r="Y236" s="461"/>
      <c r="Z236" s="686" t="e">
        <f>(R236+S236)*'1.0-Contractblad'!$L$98</f>
        <v>#DIV/0!</v>
      </c>
      <c r="AA236" s="687">
        <f ca="1">VLOOKUP(E236,'1.1a-Jaarprijzen'!$B$33:$O$51,14,FALSE)*(L236+K236)</f>
        <v>0</v>
      </c>
      <c r="AB236" s="60">
        <f t="shared" si="78"/>
        <v>0</v>
      </c>
      <c r="AD236" s="60" t="str">
        <f t="shared" si="79"/>
        <v>4200-200</v>
      </c>
    </row>
    <row r="237" spans="1:30">
      <c r="A237" s="92">
        <f t="shared" si="80"/>
        <v>1</v>
      </c>
      <c r="B237" s="529"/>
      <c r="C237" s="590"/>
      <c r="D237" s="688">
        <v>1</v>
      </c>
      <c r="E237" s="591" t="s">
        <v>583</v>
      </c>
      <c r="F237" s="592" t="s">
        <v>348</v>
      </c>
      <c r="G237" s="593" t="s">
        <v>592</v>
      </c>
      <c r="H237" s="594" t="s">
        <v>518</v>
      </c>
      <c r="I237" s="595" t="str">
        <f t="shared" si="69"/>
        <v>sanitaire ruimte (toilet-/doucheruimte)</v>
      </c>
      <c r="J237" s="594" t="s">
        <v>640</v>
      </c>
      <c r="K237" s="678">
        <v>5.0800055787762428</v>
      </c>
      <c r="L237" s="678"/>
      <c r="M237" s="606">
        <v>4200</v>
      </c>
      <c r="N237" s="601"/>
      <c r="O237" s="601"/>
      <c r="P237" s="603">
        <f t="shared" si="70"/>
        <v>200</v>
      </c>
      <c r="Q237" s="689">
        <v>1</v>
      </c>
      <c r="R237" s="341">
        <f t="shared" si="71"/>
        <v>0</v>
      </c>
      <c r="S237" s="341">
        <f t="shared" si="72"/>
        <v>0</v>
      </c>
      <c r="T237" s="341">
        <f t="shared" si="81"/>
        <v>0</v>
      </c>
      <c r="U237" s="681">
        <f t="shared" si="74"/>
        <v>0</v>
      </c>
      <c r="V237" s="681">
        <f t="shared" si="75"/>
        <v>0</v>
      </c>
      <c r="W237" s="459">
        <f t="shared" si="82"/>
        <v>0</v>
      </c>
      <c r="X237" s="460" t="str">
        <f t="shared" si="77"/>
        <v>S</v>
      </c>
      <c r="Y237" s="461"/>
      <c r="Z237" s="686" t="e">
        <f>(R237+S237)*'1.0-Contractblad'!$L$98</f>
        <v>#DIV/0!</v>
      </c>
      <c r="AA237" s="687">
        <f ca="1">VLOOKUP(E237,'1.1a-Jaarprijzen'!$B$33:$O$51,14,FALSE)*(L237+K237)</f>
        <v>0</v>
      </c>
      <c r="AB237" s="60">
        <f t="shared" si="78"/>
        <v>0</v>
      </c>
      <c r="AD237" s="60" t="str">
        <f t="shared" si="79"/>
        <v>4200-200</v>
      </c>
    </row>
    <row r="238" spans="1:30">
      <c r="A238" s="92">
        <f t="shared" si="80"/>
        <v>1</v>
      </c>
      <c r="B238" s="529"/>
      <c r="C238" s="590"/>
      <c r="D238" s="688">
        <v>1</v>
      </c>
      <c r="E238" s="591" t="s">
        <v>583</v>
      </c>
      <c r="F238" s="592" t="s">
        <v>348</v>
      </c>
      <c r="G238" s="593" t="s">
        <v>593</v>
      </c>
      <c r="H238" s="594" t="s">
        <v>518</v>
      </c>
      <c r="I238" s="595" t="str">
        <f t="shared" si="69"/>
        <v>sanitaire ruimte (toilet-/doucheruimte)</v>
      </c>
      <c r="J238" s="594" t="s">
        <v>640</v>
      </c>
      <c r="K238" s="678">
        <v>6.2947222222222221</v>
      </c>
      <c r="L238" s="678"/>
      <c r="M238" s="606">
        <v>4200</v>
      </c>
      <c r="N238" s="601"/>
      <c r="O238" s="601"/>
      <c r="P238" s="603">
        <f t="shared" si="70"/>
        <v>200</v>
      </c>
      <c r="Q238" s="689">
        <v>1</v>
      </c>
      <c r="R238" s="341">
        <f t="shared" si="71"/>
        <v>0</v>
      </c>
      <c r="S238" s="341">
        <f t="shared" si="72"/>
        <v>0</v>
      </c>
      <c r="T238" s="341">
        <f t="shared" si="81"/>
        <v>0</v>
      </c>
      <c r="U238" s="681">
        <f t="shared" si="74"/>
        <v>0</v>
      </c>
      <c r="V238" s="681">
        <f t="shared" si="75"/>
        <v>0</v>
      </c>
      <c r="W238" s="459">
        <f t="shared" si="82"/>
        <v>0</v>
      </c>
      <c r="X238" s="460" t="str">
        <f t="shared" si="77"/>
        <v>S</v>
      </c>
      <c r="Y238" s="461"/>
      <c r="Z238" s="686" t="e">
        <f>(R238+S238)*'1.0-Contractblad'!$L$98</f>
        <v>#DIV/0!</v>
      </c>
      <c r="AA238" s="687">
        <f ca="1">VLOOKUP(E238,'1.1a-Jaarprijzen'!$B$33:$O$51,14,FALSE)*(L238+K238)</f>
        <v>0</v>
      </c>
      <c r="AB238" s="60">
        <f t="shared" si="78"/>
        <v>0</v>
      </c>
      <c r="AD238" s="60" t="str">
        <f t="shared" si="79"/>
        <v>4200-200</v>
      </c>
    </row>
    <row r="239" spans="1:30">
      <c r="A239" s="92">
        <f t="shared" si="80"/>
        <v>1</v>
      </c>
      <c r="B239" s="529"/>
      <c r="C239" s="590"/>
      <c r="D239" s="688">
        <v>1</v>
      </c>
      <c r="E239" s="591" t="s">
        <v>583</v>
      </c>
      <c r="F239" s="592" t="s">
        <v>348</v>
      </c>
      <c r="G239" s="593" t="s">
        <v>594</v>
      </c>
      <c r="H239" s="594" t="s">
        <v>518</v>
      </c>
      <c r="I239" s="595" t="str">
        <f t="shared" ref="I239:I266" si="83">IF($M239="",0,VLOOKUP($M239,Kengetal,4,FALSE))</f>
        <v>sanitaire ruimte (toilet-/doucheruimte)</v>
      </c>
      <c r="J239" s="594" t="s">
        <v>640</v>
      </c>
      <c r="K239" s="678">
        <v>6.1483333333333334</v>
      </c>
      <c r="L239" s="678"/>
      <c r="M239" s="606">
        <v>4200</v>
      </c>
      <c r="N239" s="601"/>
      <c r="O239" s="601"/>
      <c r="P239" s="603">
        <f t="shared" ref="P239:P266" si="84">VLOOKUP(M239,Kengetal,3,FALSE)+VLOOKUP(N239,Kengetal,3,FALSE)+VLOOKUP(O239,Kengetal,3,FALSE)</f>
        <v>200</v>
      </c>
      <c r="Q239" s="689">
        <v>1</v>
      </c>
      <c r="R239" s="341">
        <f t="shared" ref="R239:R266" si="85">U239*K239*Q239</f>
        <v>0</v>
      </c>
      <c r="S239" s="341">
        <f t="shared" ref="S239:S266" si="86">V239*K239*Q239</f>
        <v>0</v>
      </c>
      <c r="T239" s="341">
        <f t="shared" si="81"/>
        <v>0</v>
      </c>
      <c r="U239" s="681">
        <f t="shared" ref="U239:U266" si="87">VLOOKUP($M239,Kengetal,6,FALSE)</f>
        <v>0</v>
      </c>
      <c r="V239" s="681">
        <f t="shared" ref="V239:V266" si="88">VLOOKUP($M239,Kengetal,7,FALSE)</f>
        <v>0</v>
      </c>
      <c r="W239" s="459">
        <f t="shared" si="82"/>
        <v>0</v>
      </c>
      <c r="X239" s="460" t="str">
        <f t="shared" ref="X239:X266" si="89">IF(M239="","",VLOOKUP(M239,Kengetal,14,FALSE))</f>
        <v>S</v>
      </c>
      <c r="Y239" s="461"/>
      <c r="Z239" s="686" t="e">
        <f>(R239+S239)*'1.0-Contractblad'!$L$98</f>
        <v>#DIV/0!</v>
      </c>
      <c r="AA239" s="687">
        <f ca="1">VLOOKUP(E239,'1.1a-Jaarprijzen'!$B$33:$O$51,14,FALSE)*(L239+K239)</f>
        <v>0</v>
      </c>
      <c r="AB239" s="60">
        <f t="shared" si="78"/>
        <v>0</v>
      </c>
      <c r="AD239" s="60" t="str">
        <f t="shared" ref="AD239:AD266" si="90">CONCATENATE(M239,"-",P239)</f>
        <v>4200-200</v>
      </c>
    </row>
    <row r="240" spans="1:30">
      <c r="A240" s="92">
        <f t="shared" si="80"/>
        <v>1</v>
      </c>
      <c r="B240" s="529"/>
      <c r="C240" s="590"/>
      <c r="D240" s="688">
        <v>1</v>
      </c>
      <c r="E240" s="591" t="s">
        <v>583</v>
      </c>
      <c r="F240" s="592" t="s">
        <v>348</v>
      </c>
      <c r="G240" s="593" t="s">
        <v>595</v>
      </c>
      <c r="H240" s="594" t="s">
        <v>518</v>
      </c>
      <c r="I240" s="595" t="str">
        <f t="shared" si="83"/>
        <v>sanitaire ruimte (toilet-/doucheruimte)</v>
      </c>
      <c r="J240" s="594" t="s">
        <v>640</v>
      </c>
      <c r="K240" s="678">
        <v>5.2711885844291118</v>
      </c>
      <c r="L240" s="678"/>
      <c r="M240" s="606">
        <v>4200</v>
      </c>
      <c r="N240" s="601"/>
      <c r="O240" s="601"/>
      <c r="P240" s="603">
        <f t="shared" si="84"/>
        <v>200</v>
      </c>
      <c r="Q240" s="689">
        <v>1</v>
      </c>
      <c r="R240" s="341">
        <f t="shared" si="85"/>
        <v>0</v>
      </c>
      <c r="S240" s="341">
        <f t="shared" si="86"/>
        <v>0</v>
      </c>
      <c r="T240" s="341">
        <f t="shared" si="81"/>
        <v>0</v>
      </c>
      <c r="U240" s="681">
        <f t="shared" si="87"/>
        <v>0</v>
      </c>
      <c r="V240" s="681">
        <f t="shared" si="88"/>
        <v>0</v>
      </c>
      <c r="W240" s="459">
        <f t="shared" si="82"/>
        <v>0</v>
      </c>
      <c r="X240" s="460" t="str">
        <f t="shared" si="89"/>
        <v>S</v>
      </c>
      <c r="Y240" s="461"/>
      <c r="Z240" s="686" t="e">
        <f>(R240+S240)*'1.0-Contractblad'!$L$98</f>
        <v>#DIV/0!</v>
      </c>
      <c r="AA240" s="687">
        <f ca="1">VLOOKUP(E240,'1.1a-Jaarprijzen'!$B$33:$O$51,14,FALSE)*(L240+K240)</f>
        <v>0</v>
      </c>
      <c r="AB240" s="60">
        <f t="shared" ref="AB240:AB266" si="91">IF(M240=8255,R240+S240,0)</f>
        <v>0</v>
      </c>
      <c r="AD240" s="60" t="str">
        <f t="shared" si="90"/>
        <v>4200-200</v>
      </c>
    </row>
    <row r="241" spans="1:30">
      <c r="A241" s="92">
        <f t="shared" si="80"/>
        <v>1</v>
      </c>
      <c r="B241" s="529"/>
      <c r="C241" s="590"/>
      <c r="D241" s="688">
        <v>1</v>
      </c>
      <c r="E241" s="591" t="s">
        <v>583</v>
      </c>
      <c r="F241" s="592" t="s">
        <v>348</v>
      </c>
      <c r="G241" s="593" t="s">
        <v>596</v>
      </c>
      <c r="H241" s="594" t="s">
        <v>518</v>
      </c>
      <c r="I241" s="595" t="str">
        <f t="shared" si="83"/>
        <v>sanitaire ruimte (toilet-/doucheruimte)</v>
      </c>
      <c r="J241" s="594" t="s">
        <v>640</v>
      </c>
      <c r="K241" s="678">
        <v>3.8769587367167944</v>
      </c>
      <c r="L241" s="678"/>
      <c r="M241" s="606">
        <v>4200</v>
      </c>
      <c r="N241" s="601"/>
      <c r="O241" s="601"/>
      <c r="P241" s="603">
        <f t="shared" si="84"/>
        <v>200</v>
      </c>
      <c r="Q241" s="689">
        <v>1</v>
      </c>
      <c r="R241" s="341">
        <f t="shared" si="85"/>
        <v>0</v>
      </c>
      <c r="S241" s="341">
        <f t="shared" si="86"/>
        <v>0</v>
      </c>
      <c r="T241" s="341">
        <f t="shared" si="81"/>
        <v>0</v>
      </c>
      <c r="U241" s="681">
        <f t="shared" si="87"/>
        <v>0</v>
      </c>
      <c r="V241" s="681">
        <f t="shared" si="88"/>
        <v>0</v>
      </c>
      <c r="W241" s="459">
        <f t="shared" si="82"/>
        <v>0</v>
      </c>
      <c r="X241" s="460" t="str">
        <f t="shared" si="89"/>
        <v>S</v>
      </c>
      <c r="Y241" s="461"/>
      <c r="Z241" s="686" t="e">
        <f>(R241+S241)*'1.0-Contractblad'!$L$98</f>
        <v>#DIV/0!</v>
      </c>
      <c r="AA241" s="687">
        <f ca="1">VLOOKUP(E241,'1.1a-Jaarprijzen'!$B$33:$O$51,14,FALSE)*(L241+K241)</f>
        <v>0</v>
      </c>
      <c r="AB241" s="60">
        <f t="shared" si="91"/>
        <v>0</v>
      </c>
      <c r="AD241" s="60" t="str">
        <f t="shared" si="90"/>
        <v>4200-200</v>
      </c>
    </row>
    <row r="242" spans="1:30">
      <c r="A242" s="92">
        <f t="shared" si="80"/>
        <v>1</v>
      </c>
      <c r="B242" s="529"/>
      <c r="C242" s="590"/>
      <c r="D242" s="688">
        <v>1</v>
      </c>
      <c r="E242" s="591" t="s">
        <v>583</v>
      </c>
      <c r="F242" s="592" t="s">
        <v>348</v>
      </c>
      <c r="G242" s="593" t="s">
        <v>597</v>
      </c>
      <c r="H242" s="594" t="s">
        <v>598</v>
      </c>
      <c r="I242" s="595" t="str">
        <f t="shared" si="83"/>
        <v>sanitaire ruimte (toilet-/doucheruimte)</v>
      </c>
      <c r="J242" s="594" t="s">
        <v>640</v>
      </c>
      <c r="K242" s="678">
        <v>4.7</v>
      </c>
      <c r="L242" s="678"/>
      <c r="M242" s="606">
        <v>4200</v>
      </c>
      <c r="N242" s="601"/>
      <c r="O242" s="601"/>
      <c r="P242" s="603">
        <f t="shared" si="84"/>
        <v>200</v>
      </c>
      <c r="Q242" s="689">
        <v>1</v>
      </c>
      <c r="R242" s="341">
        <f t="shared" si="85"/>
        <v>0</v>
      </c>
      <c r="S242" s="341">
        <f t="shared" si="86"/>
        <v>0</v>
      </c>
      <c r="T242" s="341">
        <f t="shared" si="81"/>
        <v>0</v>
      </c>
      <c r="U242" s="681">
        <f t="shared" si="87"/>
        <v>0</v>
      </c>
      <c r="V242" s="681">
        <f t="shared" si="88"/>
        <v>0</v>
      </c>
      <c r="W242" s="459">
        <f t="shared" si="82"/>
        <v>0</v>
      </c>
      <c r="X242" s="460" t="str">
        <f t="shared" si="89"/>
        <v>S</v>
      </c>
      <c r="Y242" s="461"/>
      <c r="Z242" s="686" t="e">
        <f>(R242+S242)*'1.0-Contractblad'!$L$98</f>
        <v>#DIV/0!</v>
      </c>
      <c r="AA242" s="687">
        <f ca="1">VLOOKUP(E242,'1.1a-Jaarprijzen'!$B$33:$O$51,14,FALSE)*(L242+K242)</f>
        <v>0</v>
      </c>
      <c r="AB242" s="60">
        <f t="shared" si="91"/>
        <v>0</v>
      </c>
      <c r="AD242" s="60" t="str">
        <f t="shared" si="90"/>
        <v>4200-200</v>
      </c>
    </row>
    <row r="243" spans="1:30">
      <c r="A243" s="92">
        <f t="shared" si="80"/>
        <v>1</v>
      </c>
      <c r="B243" s="529"/>
      <c r="C243" s="590"/>
      <c r="D243" s="688">
        <v>1</v>
      </c>
      <c r="E243" s="591" t="s">
        <v>583</v>
      </c>
      <c r="F243" s="592" t="s">
        <v>348</v>
      </c>
      <c r="G243" s="593" t="s">
        <v>599</v>
      </c>
      <c r="H243" s="594" t="s">
        <v>598</v>
      </c>
      <c r="I243" s="595" t="str">
        <f t="shared" si="83"/>
        <v>sanitaire ruimte (toilet-/doucheruimte)</v>
      </c>
      <c r="J243" s="594" t="s">
        <v>640</v>
      </c>
      <c r="K243" s="678">
        <v>2.9</v>
      </c>
      <c r="L243" s="678"/>
      <c r="M243" s="606">
        <v>4200</v>
      </c>
      <c r="N243" s="601"/>
      <c r="O243" s="601"/>
      <c r="P243" s="603">
        <f t="shared" si="84"/>
        <v>200</v>
      </c>
      <c r="Q243" s="689">
        <v>1</v>
      </c>
      <c r="R243" s="341">
        <f t="shared" si="85"/>
        <v>0</v>
      </c>
      <c r="S243" s="341">
        <f t="shared" si="86"/>
        <v>0</v>
      </c>
      <c r="T243" s="341">
        <f t="shared" si="81"/>
        <v>0</v>
      </c>
      <c r="U243" s="681">
        <f t="shared" si="87"/>
        <v>0</v>
      </c>
      <c r="V243" s="681">
        <f t="shared" si="88"/>
        <v>0</v>
      </c>
      <c r="W243" s="459">
        <f t="shared" si="82"/>
        <v>0</v>
      </c>
      <c r="X243" s="460" t="str">
        <f t="shared" si="89"/>
        <v>S</v>
      </c>
      <c r="Y243" s="461"/>
      <c r="Z243" s="686" t="e">
        <f>(R243+S243)*'1.0-Contractblad'!$L$98</f>
        <v>#DIV/0!</v>
      </c>
      <c r="AA243" s="687">
        <f ca="1">VLOOKUP(E243,'1.1a-Jaarprijzen'!$B$33:$O$51,14,FALSE)*(L243+K243)</f>
        <v>0</v>
      </c>
      <c r="AB243" s="60">
        <f t="shared" si="91"/>
        <v>0</v>
      </c>
      <c r="AD243" s="60" t="str">
        <f t="shared" si="90"/>
        <v>4200-200</v>
      </c>
    </row>
    <row r="244" spans="1:30">
      <c r="A244" s="92">
        <f t="shared" si="80"/>
        <v>1</v>
      </c>
      <c r="B244" s="529"/>
      <c r="C244" s="590"/>
      <c r="D244" s="688">
        <v>1</v>
      </c>
      <c r="E244" s="591" t="s">
        <v>583</v>
      </c>
      <c r="F244" s="592" t="s">
        <v>348</v>
      </c>
      <c r="G244" s="593" t="s">
        <v>600</v>
      </c>
      <c r="H244" s="594" t="s">
        <v>598</v>
      </c>
      <c r="I244" s="595" t="str">
        <f t="shared" si="83"/>
        <v>sanitaire ruimte (toilet-/doucheruimte)</v>
      </c>
      <c r="J244" s="594" t="s">
        <v>640</v>
      </c>
      <c r="K244" s="678">
        <v>5.3</v>
      </c>
      <c r="L244" s="678"/>
      <c r="M244" s="606">
        <v>4200</v>
      </c>
      <c r="N244" s="601"/>
      <c r="O244" s="601"/>
      <c r="P244" s="603">
        <f t="shared" si="84"/>
        <v>200</v>
      </c>
      <c r="Q244" s="689">
        <v>1</v>
      </c>
      <c r="R244" s="341">
        <f t="shared" si="85"/>
        <v>0</v>
      </c>
      <c r="S244" s="341">
        <f t="shared" si="86"/>
        <v>0</v>
      </c>
      <c r="T244" s="341">
        <f t="shared" si="81"/>
        <v>0</v>
      </c>
      <c r="U244" s="681">
        <f t="shared" si="87"/>
        <v>0</v>
      </c>
      <c r="V244" s="681">
        <f t="shared" si="88"/>
        <v>0</v>
      </c>
      <c r="W244" s="459">
        <f t="shared" si="82"/>
        <v>0</v>
      </c>
      <c r="X244" s="460" t="str">
        <f t="shared" si="89"/>
        <v>S</v>
      </c>
      <c r="Y244" s="461"/>
      <c r="Z244" s="686" t="e">
        <f>(R244+S244)*'1.0-Contractblad'!$L$98</f>
        <v>#DIV/0!</v>
      </c>
      <c r="AA244" s="687">
        <f ca="1">VLOOKUP(E244,'1.1a-Jaarprijzen'!$B$33:$O$51,14,FALSE)*(L244+K244)</f>
        <v>0</v>
      </c>
      <c r="AB244" s="60">
        <f t="shared" si="91"/>
        <v>0</v>
      </c>
      <c r="AD244" s="60" t="str">
        <f t="shared" si="90"/>
        <v>4200-200</v>
      </c>
    </row>
    <row r="245" spans="1:30">
      <c r="A245" s="92">
        <f t="shared" si="80"/>
        <v>1</v>
      </c>
      <c r="B245" s="529"/>
      <c r="C245" s="590"/>
      <c r="D245" s="688">
        <v>1</v>
      </c>
      <c r="E245" s="591" t="s">
        <v>583</v>
      </c>
      <c r="F245" s="592" t="s">
        <v>348</v>
      </c>
      <c r="G245" s="593" t="s">
        <v>365</v>
      </c>
      <c r="H245" s="594" t="s">
        <v>378</v>
      </c>
      <c r="I245" s="595" t="str">
        <f t="shared" si="83"/>
        <v>administratieve -, personeels- en vergaderruimte</v>
      </c>
      <c r="J245" s="594" t="s">
        <v>403</v>
      </c>
      <c r="K245" s="678">
        <v>18.299713133716704</v>
      </c>
      <c r="L245" s="678"/>
      <c r="M245" s="606">
        <v>1040</v>
      </c>
      <c r="N245" s="601"/>
      <c r="O245" s="601"/>
      <c r="P245" s="603">
        <f t="shared" si="84"/>
        <v>40</v>
      </c>
      <c r="Q245" s="689">
        <v>1</v>
      </c>
      <c r="R245" s="341">
        <f t="shared" si="85"/>
        <v>0</v>
      </c>
      <c r="S245" s="341">
        <f t="shared" si="86"/>
        <v>0</v>
      </c>
      <c r="T245" s="341">
        <f t="shared" si="81"/>
        <v>0</v>
      </c>
      <c r="U245" s="681">
        <f t="shared" si="87"/>
        <v>0</v>
      </c>
      <c r="V245" s="681">
        <f t="shared" si="88"/>
        <v>0</v>
      </c>
      <c r="W245" s="459">
        <f t="shared" si="82"/>
        <v>0</v>
      </c>
      <c r="X245" s="460" t="str">
        <f t="shared" si="89"/>
        <v>V</v>
      </c>
      <c r="Y245" s="461"/>
      <c r="Z245" s="686" t="e">
        <f>(R245+S245)*'1.0-Contractblad'!$L$98</f>
        <v>#DIV/0!</v>
      </c>
      <c r="AA245" s="687">
        <f ca="1">VLOOKUP(E245,'1.1a-Jaarprijzen'!$B$33:$O$51,14,FALSE)*(L245+K245)</f>
        <v>0</v>
      </c>
      <c r="AB245" s="60">
        <f t="shared" si="91"/>
        <v>0</v>
      </c>
      <c r="AD245" s="60" t="str">
        <f t="shared" si="90"/>
        <v>1040-40</v>
      </c>
    </row>
    <row r="246" spans="1:30">
      <c r="A246" s="92">
        <f t="shared" si="80"/>
        <v>1</v>
      </c>
      <c r="B246" s="529"/>
      <c r="C246" s="590"/>
      <c r="D246" s="688">
        <v>1</v>
      </c>
      <c r="E246" s="591" t="s">
        <v>583</v>
      </c>
      <c r="F246" s="592" t="s">
        <v>348</v>
      </c>
      <c r="G246" s="593" t="s">
        <v>397</v>
      </c>
      <c r="H246" s="594" t="s">
        <v>636</v>
      </c>
      <c r="I246" s="595" t="str">
        <f t="shared" si="83"/>
        <v>administratieve -, personeels- en vergaderruimte</v>
      </c>
      <c r="J246" s="594" t="s">
        <v>403</v>
      </c>
      <c r="K246" s="678">
        <v>20.3</v>
      </c>
      <c r="L246" s="678"/>
      <c r="M246" s="606">
        <v>1040</v>
      </c>
      <c r="N246" s="601"/>
      <c r="O246" s="601"/>
      <c r="P246" s="603">
        <f t="shared" si="84"/>
        <v>40</v>
      </c>
      <c r="Q246" s="689">
        <v>1</v>
      </c>
      <c r="R246" s="341">
        <f t="shared" si="85"/>
        <v>0</v>
      </c>
      <c r="S246" s="341">
        <f t="shared" si="86"/>
        <v>0</v>
      </c>
      <c r="T246" s="341">
        <f t="shared" si="81"/>
        <v>0</v>
      </c>
      <c r="U246" s="681">
        <f t="shared" si="87"/>
        <v>0</v>
      </c>
      <c r="V246" s="681">
        <f t="shared" si="88"/>
        <v>0</v>
      </c>
      <c r="W246" s="459">
        <f t="shared" si="82"/>
        <v>0</v>
      </c>
      <c r="X246" s="460" t="str">
        <f t="shared" si="89"/>
        <v>V</v>
      </c>
      <c r="Y246" s="461"/>
      <c r="Z246" s="686" t="e">
        <f>(R246+S246)*'1.0-Contractblad'!$L$98</f>
        <v>#DIV/0!</v>
      </c>
      <c r="AA246" s="687">
        <f ca="1">VLOOKUP(E246,'1.1a-Jaarprijzen'!$B$33:$O$51,14,FALSE)*(L246+K246)</f>
        <v>0</v>
      </c>
      <c r="AB246" s="60">
        <f t="shared" si="91"/>
        <v>0</v>
      </c>
      <c r="AD246" s="60" t="str">
        <f t="shared" si="90"/>
        <v>1040-40</v>
      </c>
    </row>
    <row r="247" spans="1:30">
      <c r="A247" s="92">
        <f t="shared" si="80"/>
        <v>1</v>
      </c>
      <c r="B247" s="529"/>
      <c r="C247" s="590"/>
      <c r="D247" s="688">
        <v>1</v>
      </c>
      <c r="E247" s="591" t="s">
        <v>583</v>
      </c>
      <c r="F247" s="592" t="s">
        <v>348</v>
      </c>
      <c r="G247" s="593" t="s">
        <v>398</v>
      </c>
      <c r="H247" s="594" t="s">
        <v>310</v>
      </c>
      <c r="I247" s="595" t="str">
        <f t="shared" si="83"/>
        <v>pantry, keuken</v>
      </c>
      <c r="J247" s="594" t="s">
        <v>493</v>
      </c>
      <c r="K247" s="678">
        <v>9.4398497370398182</v>
      </c>
      <c r="L247" s="678"/>
      <c r="M247" s="606">
        <v>5200</v>
      </c>
      <c r="N247" s="601"/>
      <c r="O247" s="601"/>
      <c r="P247" s="603">
        <f t="shared" si="84"/>
        <v>200</v>
      </c>
      <c r="Q247" s="689">
        <v>1</v>
      </c>
      <c r="R247" s="341">
        <f t="shared" si="85"/>
        <v>0</v>
      </c>
      <c r="S247" s="341">
        <f t="shared" si="86"/>
        <v>0</v>
      </c>
      <c r="T247" s="341">
        <f t="shared" si="81"/>
        <v>0</v>
      </c>
      <c r="U247" s="681">
        <f t="shared" si="87"/>
        <v>0</v>
      </c>
      <c r="V247" s="681">
        <f t="shared" si="88"/>
        <v>0</v>
      </c>
      <c r="W247" s="459">
        <f t="shared" si="82"/>
        <v>0</v>
      </c>
      <c r="X247" s="460" t="str">
        <f t="shared" si="89"/>
        <v>V</v>
      </c>
      <c r="Y247" s="461"/>
      <c r="Z247" s="686" t="e">
        <f>(R247+S247)*'1.0-Contractblad'!$L$98</f>
        <v>#DIV/0!</v>
      </c>
      <c r="AA247" s="687">
        <f ca="1">VLOOKUP(E247,'1.1a-Jaarprijzen'!$B$33:$O$51,14,FALSE)*(L247+K247)</f>
        <v>0</v>
      </c>
      <c r="AB247" s="60">
        <f t="shared" si="91"/>
        <v>0</v>
      </c>
      <c r="AD247" s="60" t="str">
        <f t="shared" si="90"/>
        <v>5200-200</v>
      </c>
    </row>
    <row r="248" spans="1:30">
      <c r="A248" s="92">
        <f t="shared" si="80"/>
        <v>1</v>
      </c>
      <c r="B248" s="529"/>
      <c r="C248" s="590"/>
      <c r="D248" s="688">
        <v>1</v>
      </c>
      <c r="E248" s="591" t="s">
        <v>583</v>
      </c>
      <c r="F248" s="592" t="s">
        <v>348</v>
      </c>
      <c r="G248" s="593" t="s">
        <v>507</v>
      </c>
      <c r="H248" s="594" t="s">
        <v>636</v>
      </c>
      <c r="I248" s="595" t="str">
        <f t="shared" si="83"/>
        <v>administratieve -, personeels- en vergaderruimte</v>
      </c>
      <c r="J248" s="594" t="s">
        <v>403</v>
      </c>
      <c r="K248" s="678">
        <v>10.1</v>
      </c>
      <c r="L248" s="678"/>
      <c r="M248" s="606">
        <v>1040</v>
      </c>
      <c r="N248" s="601"/>
      <c r="O248" s="601"/>
      <c r="P248" s="603">
        <f t="shared" si="84"/>
        <v>40</v>
      </c>
      <c r="Q248" s="689">
        <v>1</v>
      </c>
      <c r="R248" s="341">
        <f t="shared" si="85"/>
        <v>0</v>
      </c>
      <c r="S248" s="341">
        <f t="shared" si="86"/>
        <v>0</v>
      </c>
      <c r="T248" s="341">
        <f t="shared" si="81"/>
        <v>0</v>
      </c>
      <c r="U248" s="681">
        <f t="shared" si="87"/>
        <v>0</v>
      </c>
      <c r="V248" s="681">
        <f t="shared" si="88"/>
        <v>0</v>
      </c>
      <c r="W248" s="459">
        <f t="shared" si="82"/>
        <v>0</v>
      </c>
      <c r="X248" s="460" t="str">
        <f t="shared" si="89"/>
        <v>V</v>
      </c>
      <c r="Y248" s="461"/>
      <c r="Z248" s="686" t="e">
        <f>(R248+S248)*'1.0-Contractblad'!$L$98</f>
        <v>#DIV/0!</v>
      </c>
      <c r="AA248" s="687">
        <f ca="1">VLOOKUP(E248,'1.1a-Jaarprijzen'!$B$33:$O$51,14,FALSE)*(L248+K248)</f>
        <v>0</v>
      </c>
      <c r="AB248" s="60">
        <f t="shared" si="91"/>
        <v>0</v>
      </c>
      <c r="AD248" s="60" t="str">
        <f t="shared" si="90"/>
        <v>1040-40</v>
      </c>
    </row>
    <row r="249" spans="1:30">
      <c r="A249" s="92">
        <f t="shared" si="80"/>
        <v>1</v>
      </c>
      <c r="B249" s="529"/>
      <c r="C249" s="590"/>
      <c r="D249" s="688">
        <v>1</v>
      </c>
      <c r="E249" s="591" t="s">
        <v>583</v>
      </c>
      <c r="F249" s="592" t="s">
        <v>348</v>
      </c>
      <c r="G249" s="593" t="s">
        <v>601</v>
      </c>
      <c r="H249" s="594" t="s">
        <v>636</v>
      </c>
      <c r="I249" s="595" t="str">
        <f t="shared" si="83"/>
        <v>administratieve -, personeels- en vergaderruimte</v>
      </c>
      <c r="J249" s="594" t="s">
        <v>403</v>
      </c>
      <c r="K249" s="678">
        <v>9.9</v>
      </c>
      <c r="L249" s="678"/>
      <c r="M249" s="606">
        <v>1040</v>
      </c>
      <c r="N249" s="601"/>
      <c r="O249" s="601"/>
      <c r="P249" s="603">
        <f t="shared" si="84"/>
        <v>40</v>
      </c>
      <c r="Q249" s="689">
        <v>1</v>
      </c>
      <c r="R249" s="341">
        <f t="shared" si="85"/>
        <v>0</v>
      </c>
      <c r="S249" s="341">
        <f t="shared" si="86"/>
        <v>0</v>
      </c>
      <c r="T249" s="341">
        <f t="shared" si="81"/>
        <v>0</v>
      </c>
      <c r="U249" s="681">
        <f t="shared" si="87"/>
        <v>0</v>
      </c>
      <c r="V249" s="681">
        <f t="shared" si="88"/>
        <v>0</v>
      </c>
      <c r="W249" s="459">
        <f t="shared" si="82"/>
        <v>0</v>
      </c>
      <c r="X249" s="460" t="str">
        <f t="shared" si="89"/>
        <v>V</v>
      </c>
      <c r="Y249" s="461"/>
      <c r="Z249" s="686" t="e">
        <f>(R249+S249)*'1.0-Contractblad'!$L$98</f>
        <v>#DIV/0!</v>
      </c>
      <c r="AA249" s="687">
        <f ca="1">VLOOKUP(E249,'1.1a-Jaarprijzen'!$B$33:$O$51,14,FALSE)*(L249+K249)</f>
        <v>0</v>
      </c>
      <c r="AB249" s="60">
        <f t="shared" si="91"/>
        <v>0</v>
      </c>
      <c r="AD249" s="60" t="str">
        <f t="shared" si="90"/>
        <v>1040-40</v>
      </c>
    </row>
    <row r="250" spans="1:30">
      <c r="A250" s="92">
        <f t="shared" si="80"/>
        <v>1</v>
      </c>
      <c r="B250" s="529"/>
      <c r="C250" s="590"/>
      <c r="D250" s="688">
        <v>1</v>
      </c>
      <c r="E250" s="591" t="s">
        <v>583</v>
      </c>
      <c r="F250" s="592" t="s">
        <v>348</v>
      </c>
      <c r="G250" s="593" t="s">
        <v>508</v>
      </c>
      <c r="H250" s="594" t="s">
        <v>366</v>
      </c>
      <c r="I250" s="595" t="str">
        <f t="shared" si="83"/>
        <v>administratieve -, personeels- en vergaderruimte</v>
      </c>
      <c r="J250" s="594" t="s">
        <v>403</v>
      </c>
      <c r="K250" s="678">
        <v>66.3</v>
      </c>
      <c r="L250" s="678"/>
      <c r="M250" s="606">
        <v>1040</v>
      </c>
      <c r="N250" s="601"/>
      <c r="O250" s="601"/>
      <c r="P250" s="603">
        <f t="shared" si="84"/>
        <v>40</v>
      </c>
      <c r="Q250" s="689">
        <v>1</v>
      </c>
      <c r="R250" s="341">
        <f t="shared" si="85"/>
        <v>0</v>
      </c>
      <c r="S250" s="341">
        <f t="shared" si="86"/>
        <v>0</v>
      </c>
      <c r="T250" s="341">
        <f t="shared" si="81"/>
        <v>0</v>
      </c>
      <c r="U250" s="681">
        <f t="shared" si="87"/>
        <v>0</v>
      </c>
      <c r="V250" s="681">
        <f t="shared" si="88"/>
        <v>0</v>
      </c>
      <c r="W250" s="459">
        <f t="shared" si="82"/>
        <v>0</v>
      </c>
      <c r="X250" s="460" t="str">
        <f t="shared" si="89"/>
        <v>V</v>
      </c>
      <c r="Y250" s="461"/>
      <c r="Z250" s="686" t="e">
        <f>(R250+S250)*'1.0-Contractblad'!$L$98</f>
        <v>#DIV/0!</v>
      </c>
      <c r="AA250" s="687">
        <f ca="1">VLOOKUP(E250,'1.1a-Jaarprijzen'!$B$33:$O$51,14,FALSE)*(L250+K250)</f>
        <v>0</v>
      </c>
      <c r="AB250" s="60">
        <f t="shared" si="91"/>
        <v>0</v>
      </c>
      <c r="AD250" s="60" t="str">
        <f t="shared" si="90"/>
        <v>1040-40</v>
      </c>
    </row>
    <row r="251" spans="1:30">
      <c r="A251" s="92">
        <f t="shared" si="80"/>
        <v>1</v>
      </c>
      <c r="B251" s="529"/>
      <c r="C251" s="590"/>
      <c r="D251" s="688">
        <v>1</v>
      </c>
      <c r="E251" s="591" t="s">
        <v>583</v>
      </c>
      <c r="F251" s="592" t="s">
        <v>348</v>
      </c>
      <c r="G251" s="593" t="s">
        <v>357</v>
      </c>
      <c r="H251" s="594" t="s">
        <v>389</v>
      </c>
      <c r="I251" s="595" t="str">
        <f t="shared" si="83"/>
        <v>niet van toepassing</v>
      </c>
      <c r="J251" s="594" t="s">
        <v>639</v>
      </c>
      <c r="K251" s="678"/>
      <c r="L251" s="678">
        <v>0.49</v>
      </c>
      <c r="M251" s="606" t="s">
        <v>27</v>
      </c>
      <c r="N251" s="601"/>
      <c r="O251" s="601"/>
      <c r="P251" s="603">
        <f t="shared" si="84"/>
        <v>0</v>
      </c>
      <c r="Q251" s="689">
        <v>1</v>
      </c>
      <c r="R251" s="341">
        <f t="shared" si="85"/>
        <v>0</v>
      </c>
      <c r="S251" s="341">
        <f t="shared" si="86"/>
        <v>0</v>
      </c>
      <c r="T251" s="341">
        <f t="shared" si="81"/>
        <v>0</v>
      </c>
      <c r="U251" s="681">
        <f t="shared" si="87"/>
        <v>0</v>
      </c>
      <c r="V251" s="681">
        <f t="shared" si="88"/>
        <v>0</v>
      </c>
      <c r="W251" s="459">
        <f t="shared" si="82"/>
        <v>0</v>
      </c>
      <c r="X251" s="460">
        <f t="shared" si="89"/>
        <v>0</v>
      </c>
      <c r="Y251" s="461"/>
      <c r="Z251" s="686" t="e">
        <f>(R251+S251)*'1.0-Contractblad'!$L$98</f>
        <v>#DIV/0!</v>
      </c>
      <c r="AA251" s="687">
        <f ca="1">VLOOKUP(E251,'1.1a-Jaarprijzen'!$B$33:$O$51,14,FALSE)*(L251+K251)</f>
        <v>0</v>
      </c>
      <c r="AB251" s="60">
        <f t="shared" si="91"/>
        <v>0</v>
      </c>
      <c r="AD251" s="60" t="str">
        <f t="shared" si="90"/>
        <v>nvt-0</v>
      </c>
    </row>
    <row r="252" spans="1:30">
      <c r="A252" s="92">
        <f t="shared" si="80"/>
        <v>1</v>
      </c>
      <c r="B252" s="529"/>
      <c r="C252" s="590"/>
      <c r="D252" s="688">
        <v>1</v>
      </c>
      <c r="E252" s="591" t="s">
        <v>583</v>
      </c>
      <c r="F252" s="592" t="s">
        <v>348</v>
      </c>
      <c r="G252" s="593" t="s">
        <v>358</v>
      </c>
      <c r="H252" s="594" t="s">
        <v>389</v>
      </c>
      <c r="I252" s="595" t="str">
        <f t="shared" si="83"/>
        <v>niet van toepassing</v>
      </c>
      <c r="J252" s="594" t="s">
        <v>639</v>
      </c>
      <c r="K252" s="678"/>
      <c r="L252" s="678">
        <v>0.42</v>
      </c>
      <c r="M252" s="606" t="s">
        <v>27</v>
      </c>
      <c r="N252" s="601"/>
      <c r="O252" s="601"/>
      <c r="P252" s="603">
        <f t="shared" si="84"/>
        <v>0</v>
      </c>
      <c r="Q252" s="689">
        <v>1</v>
      </c>
      <c r="R252" s="341">
        <f t="shared" si="85"/>
        <v>0</v>
      </c>
      <c r="S252" s="341">
        <f t="shared" si="86"/>
        <v>0</v>
      </c>
      <c r="T252" s="341">
        <f t="shared" si="81"/>
        <v>0</v>
      </c>
      <c r="U252" s="681">
        <f t="shared" si="87"/>
        <v>0</v>
      </c>
      <c r="V252" s="681">
        <f t="shared" si="88"/>
        <v>0</v>
      </c>
      <c r="W252" s="459">
        <f t="shared" si="82"/>
        <v>0</v>
      </c>
      <c r="X252" s="460">
        <f t="shared" si="89"/>
        <v>0</v>
      </c>
      <c r="Y252" s="461"/>
      <c r="Z252" s="686" t="e">
        <f>(R252+S252)*'1.0-Contractblad'!$L$98</f>
        <v>#DIV/0!</v>
      </c>
      <c r="AA252" s="687">
        <f ca="1">VLOOKUP(E252,'1.1a-Jaarprijzen'!$B$33:$O$51,14,FALSE)*(L252+K252)</f>
        <v>0</v>
      </c>
      <c r="AB252" s="60">
        <f t="shared" si="91"/>
        <v>0</v>
      </c>
      <c r="AD252" s="60" t="str">
        <f t="shared" si="90"/>
        <v>nvt-0</v>
      </c>
    </row>
    <row r="253" spans="1:30">
      <c r="A253" s="92">
        <f t="shared" si="80"/>
        <v>1</v>
      </c>
      <c r="B253" s="529"/>
      <c r="C253" s="590"/>
      <c r="D253" s="688">
        <v>1</v>
      </c>
      <c r="E253" s="591" t="s">
        <v>583</v>
      </c>
      <c r="F253" s="592" t="s">
        <v>348</v>
      </c>
      <c r="G253" s="593" t="s">
        <v>359</v>
      </c>
      <c r="H253" s="594" t="s">
        <v>389</v>
      </c>
      <c r="I253" s="595" t="str">
        <f t="shared" si="83"/>
        <v>niet van toepassing</v>
      </c>
      <c r="J253" s="594" t="s">
        <v>639</v>
      </c>
      <c r="K253" s="678"/>
      <c r="L253" s="678">
        <v>0.61</v>
      </c>
      <c r="M253" s="606" t="s">
        <v>27</v>
      </c>
      <c r="N253" s="601"/>
      <c r="O253" s="601"/>
      <c r="P253" s="603">
        <f t="shared" si="84"/>
        <v>0</v>
      </c>
      <c r="Q253" s="689">
        <v>1</v>
      </c>
      <c r="R253" s="341">
        <f t="shared" si="85"/>
        <v>0</v>
      </c>
      <c r="S253" s="341">
        <f t="shared" si="86"/>
        <v>0</v>
      </c>
      <c r="T253" s="341">
        <f t="shared" si="81"/>
        <v>0</v>
      </c>
      <c r="U253" s="681">
        <f t="shared" si="87"/>
        <v>0</v>
      </c>
      <c r="V253" s="681">
        <f t="shared" si="88"/>
        <v>0</v>
      </c>
      <c r="W253" s="459">
        <f t="shared" si="82"/>
        <v>0</v>
      </c>
      <c r="X253" s="460">
        <f t="shared" si="89"/>
        <v>0</v>
      </c>
      <c r="Y253" s="461"/>
      <c r="Z253" s="686" t="e">
        <f>(R253+S253)*'1.0-Contractblad'!$L$98</f>
        <v>#DIV/0!</v>
      </c>
      <c r="AA253" s="687">
        <f ca="1">VLOOKUP(E253,'1.1a-Jaarprijzen'!$B$33:$O$51,14,FALSE)*(L253+K253)</f>
        <v>0</v>
      </c>
      <c r="AB253" s="60">
        <f t="shared" si="91"/>
        <v>0</v>
      </c>
      <c r="AD253" s="60" t="str">
        <f t="shared" si="90"/>
        <v>nvt-0</v>
      </c>
    </row>
    <row r="254" spans="1:30">
      <c r="A254" s="92">
        <f t="shared" si="80"/>
        <v>1</v>
      </c>
      <c r="B254" s="529"/>
      <c r="C254" s="590"/>
      <c r="D254" s="688">
        <v>1</v>
      </c>
      <c r="E254" s="591" t="s">
        <v>583</v>
      </c>
      <c r="F254" s="592" t="s">
        <v>348</v>
      </c>
      <c r="G254" s="593" t="s">
        <v>362</v>
      </c>
      <c r="H254" s="594" t="s">
        <v>517</v>
      </c>
      <c r="I254" s="595" t="str">
        <f t="shared" si="83"/>
        <v>niet van toepassing</v>
      </c>
      <c r="J254" s="594" t="s">
        <v>639</v>
      </c>
      <c r="K254" s="678"/>
      <c r="L254" s="678">
        <v>2.9740885777197628</v>
      </c>
      <c r="M254" s="606" t="s">
        <v>27</v>
      </c>
      <c r="N254" s="601"/>
      <c r="O254" s="601"/>
      <c r="P254" s="603">
        <f t="shared" si="84"/>
        <v>0</v>
      </c>
      <c r="Q254" s="689">
        <v>1</v>
      </c>
      <c r="R254" s="341">
        <f t="shared" si="85"/>
        <v>0</v>
      </c>
      <c r="S254" s="341">
        <f t="shared" si="86"/>
        <v>0</v>
      </c>
      <c r="T254" s="341">
        <f t="shared" si="81"/>
        <v>0</v>
      </c>
      <c r="U254" s="681">
        <f t="shared" si="87"/>
        <v>0</v>
      </c>
      <c r="V254" s="681">
        <f t="shared" si="88"/>
        <v>0</v>
      </c>
      <c r="W254" s="459">
        <f t="shared" si="82"/>
        <v>0</v>
      </c>
      <c r="X254" s="460">
        <f t="shared" si="89"/>
        <v>0</v>
      </c>
      <c r="Y254" s="461"/>
      <c r="Z254" s="686" t="e">
        <f>(R254+S254)*'1.0-Contractblad'!$L$98</f>
        <v>#DIV/0!</v>
      </c>
      <c r="AA254" s="687">
        <f ca="1">VLOOKUP(E254,'1.1a-Jaarprijzen'!$B$33:$O$51,14,FALSE)*(L254+K254)</f>
        <v>0</v>
      </c>
      <c r="AB254" s="60">
        <f t="shared" si="91"/>
        <v>0</v>
      </c>
      <c r="AD254" s="60" t="str">
        <f t="shared" si="90"/>
        <v>nvt-0</v>
      </c>
    </row>
    <row r="255" spans="1:30">
      <c r="A255" s="92">
        <f t="shared" si="80"/>
        <v>1</v>
      </c>
      <c r="B255" s="529"/>
      <c r="C255" s="590"/>
      <c r="D255" s="688">
        <v>1</v>
      </c>
      <c r="E255" s="591" t="s">
        <v>583</v>
      </c>
      <c r="F255" s="592" t="s">
        <v>348</v>
      </c>
      <c r="G255" s="593" t="s">
        <v>481</v>
      </c>
      <c r="H255" s="594" t="s">
        <v>389</v>
      </c>
      <c r="I255" s="595" t="str">
        <f t="shared" si="83"/>
        <v>niet van toepassing</v>
      </c>
      <c r="J255" s="594" t="s">
        <v>639</v>
      </c>
      <c r="K255" s="678"/>
      <c r="L255" s="678">
        <v>0.51</v>
      </c>
      <c r="M255" s="606" t="s">
        <v>27</v>
      </c>
      <c r="N255" s="601"/>
      <c r="O255" s="601"/>
      <c r="P255" s="603">
        <f t="shared" si="84"/>
        <v>0</v>
      </c>
      <c r="Q255" s="689">
        <v>1</v>
      </c>
      <c r="R255" s="341">
        <f t="shared" si="85"/>
        <v>0</v>
      </c>
      <c r="S255" s="341">
        <f t="shared" si="86"/>
        <v>0</v>
      </c>
      <c r="T255" s="341">
        <f t="shared" si="81"/>
        <v>0</v>
      </c>
      <c r="U255" s="681">
        <f t="shared" si="87"/>
        <v>0</v>
      </c>
      <c r="V255" s="681">
        <f t="shared" si="88"/>
        <v>0</v>
      </c>
      <c r="W255" s="459">
        <f t="shared" si="82"/>
        <v>0</v>
      </c>
      <c r="X255" s="460">
        <f t="shared" si="89"/>
        <v>0</v>
      </c>
      <c r="Y255" s="461"/>
      <c r="Z255" s="686" t="e">
        <f>(R255+S255)*'1.0-Contractblad'!$L$98</f>
        <v>#DIV/0!</v>
      </c>
      <c r="AA255" s="687">
        <f ca="1">VLOOKUP(E255,'1.1a-Jaarprijzen'!$B$33:$O$51,14,FALSE)*(L255+K255)</f>
        <v>0</v>
      </c>
      <c r="AB255" s="60">
        <f t="shared" si="91"/>
        <v>0</v>
      </c>
      <c r="AD255" s="60" t="str">
        <f t="shared" si="90"/>
        <v>nvt-0</v>
      </c>
    </row>
    <row r="256" spans="1:30">
      <c r="A256" s="92">
        <f t="shared" si="80"/>
        <v>1</v>
      </c>
      <c r="B256" s="529"/>
      <c r="C256" s="590"/>
      <c r="D256" s="688">
        <v>1</v>
      </c>
      <c r="E256" s="591" t="s">
        <v>583</v>
      </c>
      <c r="F256" s="592" t="s">
        <v>348</v>
      </c>
      <c r="G256" s="593" t="s">
        <v>482</v>
      </c>
      <c r="H256" s="594" t="s">
        <v>389</v>
      </c>
      <c r="I256" s="595" t="str">
        <f t="shared" si="83"/>
        <v>niet van toepassing</v>
      </c>
      <c r="J256" s="594" t="s">
        <v>639</v>
      </c>
      <c r="K256" s="678"/>
      <c r="L256" s="678">
        <v>0.43</v>
      </c>
      <c r="M256" s="606" t="s">
        <v>27</v>
      </c>
      <c r="N256" s="601"/>
      <c r="O256" s="601"/>
      <c r="P256" s="603">
        <f t="shared" si="84"/>
        <v>0</v>
      </c>
      <c r="Q256" s="689">
        <v>1</v>
      </c>
      <c r="R256" s="341">
        <f t="shared" si="85"/>
        <v>0</v>
      </c>
      <c r="S256" s="341">
        <f t="shared" si="86"/>
        <v>0</v>
      </c>
      <c r="T256" s="341">
        <f t="shared" si="81"/>
        <v>0</v>
      </c>
      <c r="U256" s="681">
        <f t="shared" si="87"/>
        <v>0</v>
      </c>
      <c r="V256" s="681">
        <f t="shared" si="88"/>
        <v>0</v>
      </c>
      <c r="W256" s="459">
        <f t="shared" si="82"/>
        <v>0</v>
      </c>
      <c r="X256" s="460">
        <f t="shared" si="89"/>
        <v>0</v>
      </c>
      <c r="Y256" s="461"/>
      <c r="Z256" s="686" t="e">
        <f>(R256+S256)*'1.0-Contractblad'!$L$98</f>
        <v>#DIV/0!</v>
      </c>
      <c r="AA256" s="687">
        <f ca="1">VLOOKUP(E256,'1.1a-Jaarprijzen'!$B$33:$O$51,14,FALSE)*(L256+K256)</f>
        <v>0</v>
      </c>
      <c r="AB256" s="60">
        <f t="shared" si="91"/>
        <v>0</v>
      </c>
      <c r="AD256" s="60" t="str">
        <f t="shared" si="90"/>
        <v>nvt-0</v>
      </c>
    </row>
    <row r="257" spans="1:30">
      <c r="A257" s="92">
        <f t="shared" si="80"/>
        <v>1</v>
      </c>
      <c r="B257" s="529"/>
      <c r="C257" s="590"/>
      <c r="D257" s="688">
        <v>1</v>
      </c>
      <c r="E257" s="591" t="s">
        <v>583</v>
      </c>
      <c r="F257" s="592" t="s">
        <v>348</v>
      </c>
      <c r="G257" s="593" t="s">
        <v>363</v>
      </c>
      <c r="H257" s="594" t="s">
        <v>389</v>
      </c>
      <c r="I257" s="595" t="str">
        <f t="shared" si="83"/>
        <v>niet van toepassing</v>
      </c>
      <c r="J257" s="594" t="s">
        <v>639</v>
      </c>
      <c r="K257" s="678"/>
      <c r="L257" s="678">
        <v>0.63</v>
      </c>
      <c r="M257" s="606" t="s">
        <v>27</v>
      </c>
      <c r="N257" s="601"/>
      <c r="O257" s="601"/>
      <c r="P257" s="603">
        <f t="shared" si="84"/>
        <v>0</v>
      </c>
      <c r="Q257" s="689">
        <v>1</v>
      </c>
      <c r="R257" s="341">
        <f t="shared" si="85"/>
        <v>0</v>
      </c>
      <c r="S257" s="341">
        <f t="shared" si="86"/>
        <v>0</v>
      </c>
      <c r="T257" s="341">
        <f t="shared" si="81"/>
        <v>0</v>
      </c>
      <c r="U257" s="681">
        <f t="shared" si="87"/>
        <v>0</v>
      </c>
      <c r="V257" s="681">
        <f t="shared" si="88"/>
        <v>0</v>
      </c>
      <c r="W257" s="459">
        <f t="shared" si="82"/>
        <v>0</v>
      </c>
      <c r="X257" s="460">
        <f t="shared" si="89"/>
        <v>0</v>
      </c>
      <c r="Y257" s="461"/>
      <c r="Z257" s="686" t="e">
        <f>(R257+S257)*'1.0-Contractblad'!$L$98</f>
        <v>#DIV/0!</v>
      </c>
      <c r="AA257" s="687">
        <f ca="1">VLOOKUP(E257,'1.1a-Jaarprijzen'!$B$33:$O$51,14,FALSE)*(L257+K257)</f>
        <v>0</v>
      </c>
      <c r="AB257" s="60">
        <f t="shared" si="91"/>
        <v>0</v>
      </c>
      <c r="AD257" s="60" t="str">
        <f t="shared" si="90"/>
        <v>nvt-0</v>
      </c>
    </row>
    <row r="258" spans="1:30">
      <c r="A258" s="92">
        <f t="shared" si="80"/>
        <v>1</v>
      </c>
      <c r="B258" s="529"/>
      <c r="C258" s="590"/>
      <c r="D258" s="688">
        <v>1</v>
      </c>
      <c r="E258" s="591" t="s">
        <v>583</v>
      </c>
      <c r="F258" s="592" t="s">
        <v>348</v>
      </c>
      <c r="G258" s="593" t="s">
        <v>361</v>
      </c>
      <c r="H258" s="594" t="s">
        <v>309</v>
      </c>
      <c r="I258" s="595" t="str">
        <f t="shared" si="83"/>
        <v>niet van toepassing</v>
      </c>
      <c r="J258" s="594" t="s">
        <v>639</v>
      </c>
      <c r="K258" s="678"/>
      <c r="L258" s="678">
        <v>2.7848283955012327</v>
      </c>
      <c r="M258" s="606" t="s">
        <v>27</v>
      </c>
      <c r="N258" s="601"/>
      <c r="O258" s="601"/>
      <c r="P258" s="603">
        <f t="shared" si="84"/>
        <v>0</v>
      </c>
      <c r="Q258" s="689">
        <v>1</v>
      </c>
      <c r="R258" s="341">
        <f t="shared" si="85"/>
        <v>0</v>
      </c>
      <c r="S258" s="341">
        <f t="shared" si="86"/>
        <v>0</v>
      </c>
      <c r="T258" s="341">
        <f t="shared" si="81"/>
        <v>0</v>
      </c>
      <c r="U258" s="681">
        <f t="shared" si="87"/>
        <v>0</v>
      </c>
      <c r="V258" s="681">
        <f t="shared" si="88"/>
        <v>0</v>
      </c>
      <c r="W258" s="459">
        <f t="shared" si="82"/>
        <v>0</v>
      </c>
      <c r="X258" s="460">
        <f t="shared" si="89"/>
        <v>0</v>
      </c>
      <c r="Y258" s="461"/>
      <c r="Z258" s="686" t="e">
        <f>(R258+S258)*'1.0-Contractblad'!$L$98</f>
        <v>#DIV/0!</v>
      </c>
      <c r="AA258" s="687">
        <f ca="1">VLOOKUP(E258,'1.1a-Jaarprijzen'!$B$33:$O$51,14,FALSE)*(L258+K258)</f>
        <v>0</v>
      </c>
      <c r="AB258" s="60">
        <f t="shared" si="91"/>
        <v>0</v>
      </c>
      <c r="AD258" s="60" t="str">
        <f t="shared" si="90"/>
        <v>nvt-0</v>
      </c>
    </row>
    <row r="259" spans="1:30">
      <c r="A259" s="92">
        <f t="shared" si="80"/>
        <v>1</v>
      </c>
      <c r="B259" s="529"/>
      <c r="C259" s="590"/>
      <c r="D259" s="688">
        <v>1</v>
      </c>
      <c r="E259" s="591" t="s">
        <v>583</v>
      </c>
      <c r="F259" s="592" t="s">
        <v>348</v>
      </c>
      <c r="G259" s="593" t="s">
        <v>391</v>
      </c>
      <c r="H259" s="594" t="s">
        <v>309</v>
      </c>
      <c r="I259" s="595" t="str">
        <f t="shared" si="83"/>
        <v>niet van toepassing</v>
      </c>
      <c r="J259" s="594" t="s">
        <v>639</v>
      </c>
      <c r="K259" s="678"/>
      <c r="L259" s="678">
        <v>8.5</v>
      </c>
      <c r="M259" s="606" t="s">
        <v>27</v>
      </c>
      <c r="N259" s="601"/>
      <c r="O259" s="601"/>
      <c r="P259" s="603">
        <f t="shared" si="84"/>
        <v>0</v>
      </c>
      <c r="Q259" s="689">
        <v>1</v>
      </c>
      <c r="R259" s="341">
        <f t="shared" si="85"/>
        <v>0</v>
      </c>
      <c r="S259" s="341">
        <f t="shared" si="86"/>
        <v>0</v>
      </c>
      <c r="T259" s="341">
        <f t="shared" si="81"/>
        <v>0</v>
      </c>
      <c r="U259" s="681">
        <f t="shared" si="87"/>
        <v>0</v>
      </c>
      <c r="V259" s="681">
        <f t="shared" si="88"/>
        <v>0</v>
      </c>
      <c r="W259" s="459">
        <f t="shared" si="82"/>
        <v>0</v>
      </c>
      <c r="X259" s="460">
        <f t="shared" si="89"/>
        <v>0</v>
      </c>
      <c r="Y259" s="461"/>
      <c r="Z259" s="686" t="e">
        <f>(R259+S259)*'1.0-Contractblad'!$L$98</f>
        <v>#DIV/0!</v>
      </c>
      <c r="AA259" s="687">
        <f ca="1">VLOOKUP(E259,'1.1a-Jaarprijzen'!$B$33:$O$51,14,FALSE)*(L259+K259)</f>
        <v>0</v>
      </c>
      <c r="AB259" s="60">
        <f t="shared" si="91"/>
        <v>0</v>
      </c>
      <c r="AD259" s="60" t="str">
        <f t="shared" si="90"/>
        <v>nvt-0</v>
      </c>
    </row>
    <row r="260" spans="1:30">
      <c r="A260" s="92">
        <f t="shared" ref="A260:A266" si="92">D260</f>
        <v>1</v>
      </c>
      <c r="B260" s="529"/>
      <c r="C260" s="590"/>
      <c r="D260" s="688">
        <v>1</v>
      </c>
      <c r="E260" s="591" t="s">
        <v>583</v>
      </c>
      <c r="F260" s="592" t="s">
        <v>348</v>
      </c>
      <c r="G260" s="593" t="s">
        <v>388</v>
      </c>
      <c r="H260" s="594" t="s">
        <v>309</v>
      </c>
      <c r="I260" s="595" t="str">
        <f t="shared" si="83"/>
        <v>niet van toepassing</v>
      </c>
      <c r="J260" s="594" t="s">
        <v>639</v>
      </c>
      <c r="K260" s="678"/>
      <c r="L260" s="678">
        <v>9.2094087590927955</v>
      </c>
      <c r="M260" s="606" t="s">
        <v>27</v>
      </c>
      <c r="N260" s="601"/>
      <c r="O260" s="601"/>
      <c r="P260" s="603">
        <f t="shared" si="84"/>
        <v>0</v>
      </c>
      <c r="Q260" s="689">
        <v>1</v>
      </c>
      <c r="R260" s="341">
        <f t="shared" si="85"/>
        <v>0</v>
      </c>
      <c r="S260" s="341">
        <f t="shared" si="86"/>
        <v>0</v>
      </c>
      <c r="T260" s="341">
        <f t="shared" ref="T260:T266" si="93">W260*K260*Q260</f>
        <v>0</v>
      </c>
      <c r="U260" s="681">
        <f t="shared" si="87"/>
        <v>0</v>
      </c>
      <c r="V260" s="681">
        <f t="shared" si="88"/>
        <v>0</v>
      </c>
      <c r="W260" s="459">
        <f t="shared" ref="W260:W266" si="94">VLOOKUP($O260,Kengetal,7,FALSE)</f>
        <v>0</v>
      </c>
      <c r="X260" s="460">
        <f t="shared" si="89"/>
        <v>0</v>
      </c>
      <c r="Y260" s="461"/>
      <c r="Z260" s="686" t="e">
        <f>(R260+S260)*'1.0-Contractblad'!$L$98</f>
        <v>#DIV/0!</v>
      </c>
      <c r="AA260" s="687">
        <f ca="1">VLOOKUP(E260,'1.1a-Jaarprijzen'!$B$33:$O$51,14,FALSE)*(L260+K260)</f>
        <v>0</v>
      </c>
      <c r="AB260" s="60">
        <f t="shared" si="91"/>
        <v>0</v>
      </c>
      <c r="AD260" s="60" t="str">
        <f t="shared" si="90"/>
        <v>nvt-0</v>
      </c>
    </row>
    <row r="261" spans="1:30">
      <c r="A261" s="92">
        <f t="shared" si="92"/>
        <v>1</v>
      </c>
      <c r="B261" s="529"/>
      <c r="C261" s="590"/>
      <c r="D261" s="688">
        <v>1</v>
      </c>
      <c r="E261" s="591" t="s">
        <v>583</v>
      </c>
      <c r="F261" s="592" t="s">
        <v>348</v>
      </c>
      <c r="G261" s="593" t="s">
        <v>491</v>
      </c>
      <c r="H261" s="594" t="s">
        <v>309</v>
      </c>
      <c r="I261" s="595" t="str">
        <f t="shared" si="83"/>
        <v>niet van toepassing</v>
      </c>
      <c r="J261" s="594" t="s">
        <v>639</v>
      </c>
      <c r="K261" s="678"/>
      <c r="L261" s="678">
        <v>1.0079224376731299</v>
      </c>
      <c r="M261" s="606" t="s">
        <v>27</v>
      </c>
      <c r="N261" s="601"/>
      <c r="O261" s="601"/>
      <c r="P261" s="603">
        <f t="shared" si="84"/>
        <v>0</v>
      </c>
      <c r="Q261" s="689">
        <v>1</v>
      </c>
      <c r="R261" s="341">
        <f t="shared" si="85"/>
        <v>0</v>
      </c>
      <c r="S261" s="341">
        <f t="shared" si="86"/>
        <v>0</v>
      </c>
      <c r="T261" s="341">
        <f t="shared" si="93"/>
        <v>0</v>
      </c>
      <c r="U261" s="681">
        <f t="shared" si="87"/>
        <v>0</v>
      </c>
      <c r="V261" s="681">
        <f t="shared" si="88"/>
        <v>0</v>
      </c>
      <c r="W261" s="459">
        <f t="shared" si="94"/>
        <v>0</v>
      </c>
      <c r="X261" s="460">
        <f t="shared" si="89"/>
        <v>0</v>
      </c>
      <c r="Y261" s="461"/>
      <c r="Z261" s="686" t="e">
        <f>(R261+S261)*'1.0-Contractblad'!$L$98</f>
        <v>#DIV/0!</v>
      </c>
      <c r="AA261" s="687">
        <f ca="1">VLOOKUP(E261,'1.1a-Jaarprijzen'!$B$33:$O$51,14,FALSE)*(L261+K261)</f>
        <v>0</v>
      </c>
      <c r="AB261" s="60">
        <f t="shared" si="91"/>
        <v>0</v>
      </c>
      <c r="AD261" s="60" t="str">
        <f t="shared" si="90"/>
        <v>nvt-0</v>
      </c>
    </row>
    <row r="262" spans="1:30">
      <c r="A262" s="92">
        <f t="shared" si="92"/>
        <v>1</v>
      </c>
      <c r="B262" s="529"/>
      <c r="C262" s="590"/>
      <c r="D262" s="688">
        <v>1</v>
      </c>
      <c r="E262" s="591" t="s">
        <v>583</v>
      </c>
      <c r="F262" s="592" t="s">
        <v>348</v>
      </c>
      <c r="G262" s="593" t="s">
        <v>513</v>
      </c>
      <c r="H262" s="594" t="s">
        <v>399</v>
      </c>
      <c r="I262" s="595" t="str">
        <f t="shared" si="83"/>
        <v>speellokaal (berging)</v>
      </c>
      <c r="J262" s="594" t="s">
        <v>641</v>
      </c>
      <c r="K262" s="678">
        <v>13.7</v>
      </c>
      <c r="L262" s="678"/>
      <c r="M262" s="606">
        <v>8005</v>
      </c>
      <c r="N262" s="601"/>
      <c r="O262" s="601"/>
      <c r="P262" s="603">
        <f t="shared" si="84"/>
        <v>5</v>
      </c>
      <c r="Q262" s="689">
        <v>1</v>
      </c>
      <c r="R262" s="341">
        <f t="shared" si="85"/>
        <v>0</v>
      </c>
      <c r="S262" s="341">
        <f t="shared" si="86"/>
        <v>0</v>
      </c>
      <c r="T262" s="341">
        <f t="shared" si="93"/>
        <v>0</v>
      </c>
      <c r="U262" s="681">
        <f t="shared" si="87"/>
        <v>0</v>
      </c>
      <c r="V262" s="681">
        <f t="shared" si="88"/>
        <v>0</v>
      </c>
      <c r="W262" s="459">
        <f t="shared" si="94"/>
        <v>0</v>
      </c>
      <c r="X262" s="460" t="str">
        <f t="shared" si="89"/>
        <v>L</v>
      </c>
      <c r="Y262" s="461"/>
      <c r="Z262" s="686" t="e">
        <f>(R262+S262)*'1.0-Contractblad'!$L$98</f>
        <v>#DIV/0!</v>
      </c>
      <c r="AA262" s="687">
        <f ca="1">VLOOKUP(E262,'1.1a-Jaarprijzen'!$B$33:$O$51,14,FALSE)*(L262+K262)</f>
        <v>0</v>
      </c>
      <c r="AB262" s="60">
        <f t="shared" si="91"/>
        <v>0</v>
      </c>
      <c r="AD262" s="60" t="str">
        <f t="shared" si="90"/>
        <v>8005-5</v>
      </c>
    </row>
    <row r="263" spans="1:30">
      <c r="A263" s="92">
        <f t="shared" si="92"/>
        <v>1</v>
      </c>
      <c r="B263" s="529"/>
      <c r="C263" s="590"/>
      <c r="D263" s="688">
        <v>1</v>
      </c>
      <c r="E263" s="591" t="s">
        <v>583</v>
      </c>
      <c r="F263" s="592" t="s">
        <v>348</v>
      </c>
      <c r="G263" s="593" t="s">
        <v>515</v>
      </c>
      <c r="H263" s="594" t="s">
        <v>309</v>
      </c>
      <c r="I263" s="595" t="str">
        <f t="shared" si="83"/>
        <v>niet van toepassing</v>
      </c>
      <c r="J263" s="594" t="s">
        <v>639</v>
      </c>
      <c r="K263" s="678"/>
      <c r="L263" s="678">
        <v>23.1</v>
      </c>
      <c r="M263" s="606" t="s">
        <v>27</v>
      </c>
      <c r="N263" s="601"/>
      <c r="O263" s="601"/>
      <c r="P263" s="603">
        <f t="shared" si="84"/>
        <v>0</v>
      </c>
      <c r="Q263" s="689">
        <v>1</v>
      </c>
      <c r="R263" s="341">
        <f t="shared" si="85"/>
        <v>0</v>
      </c>
      <c r="S263" s="341">
        <f t="shared" si="86"/>
        <v>0</v>
      </c>
      <c r="T263" s="341">
        <f t="shared" si="93"/>
        <v>0</v>
      </c>
      <c r="U263" s="681">
        <f t="shared" si="87"/>
        <v>0</v>
      </c>
      <c r="V263" s="681">
        <f t="shared" si="88"/>
        <v>0</v>
      </c>
      <c r="W263" s="459">
        <f t="shared" si="94"/>
        <v>0</v>
      </c>
      <c r="X263" s="460">
        <f t="shared" si="89"/>
        <v>0</v>
      </c>
      <c r="Y263" s="461"/>
      <c r="Z263" s="686" t="e">
        <f>(R263+S263)*'1.0-Contractblad'!$L$98</f>
        <v>#DIV/0!</v>
      </c>
      <c r="AA263" s="687">
        <f ca="1">VLOOKUP(E263,'1.1a-Jaarprijzen'!$B$33:$O$51,14,FALSE)*(L263+K263)</f>
        <v>0</v>
      </c>
      <c r="AB263" s="60">
        <f t="shared" si="91"/>
        <v>0</v>
      </c>
      <c r="AD263" s="60" t="str">
        <f t="shared" si="90"/>
        <v>nvt-0</v>
      </c>
    </row>
    <row r="264" spans="1:30">
      <c r="A264" s="92">
        <f t="shared" si="92"/>
        <v>1</v>
      </c>
      <c r="B264" s="529"/>
      <c r="C264" s="590"/>
      <c r="D264" s="688">
        <v>1</v>
      </c>
      <c r="E264" s="591" t="s">
        <v>583</v>
      </c>
      <c r="F264" s="592" t="s">
        <v>348</v>
      </c>
      <c r="G264" s="593" t="s">
        <v>516</v>
      </c>
      <c r="H264" s="594" t="s">
        <v>602</v>
      </c>
      <c r="I264" s="595" t="str">
        <f t="shared" si="83"/>
        <v>niet van toepassing</v>
      </c>
      <c r="J264" s="594" t="s">
        <v>639</v>
      </c>
      <c r="K264" s="678"/>
      <c r="L264" s="678">
        <v>39.1</v>
      </c>
      <c r="M264" s="606" t="s">
        <v>27</v>
      </c>
      <c r="N264" s="601"/>
      <c r="O264" s="601"/>
      <c r="P264" s="603">
        <f t="shared" si="84"/>
        <v>0</v>
      </c>
      <c r="Q264" s="689">
        <v>1</v>
      </c>
      <c r="R264" s="341">
        <f t="shared" si="85"/>
        <v>0</v>
      </c>
      <c r="S264" s="341">
        <f t="shared" si="86"/>
        <v>0</v>
      </c>
      <c r="T264" s="341">
        <f t="shared" si="93"/>
        <v>0</v>
      </c>
      <c r="U264" s="681">
        <f t="shared" si="87"/>
        <v>0</v>
      </c>
      <c r="V264" s="681">
        <f t="shared" si="88"/>
        <v>0</v>
      </c>
      <c r="W264" s="459">
        <f t="shared" si="94"/>
        <v>0</v>
      </c>
      <c r="X264" s="460">
        <f t="shared" si="89"/>
        <v>0</v>
      </c>
      <c r="Y264" s="461"/>
      <c r="Z264" s="686" t="e">
        <f>(R264+S264)*'1.0-Contractblad'!$L$98</f>
        <v>#DIV/0!</v>
      </c>
      <c r="AA264" s="687">
        <f ca="1">VLOOKUP(E264,'1.1a-Jaarprijzen'!$B$33:$O$51,14,FALSE)*(L264+K264)</f>
        <v>0</v>
      </c>
      <c r="AB264" s="60">
        <f t="shared" si="91"/>
        <v>0</v>
      </c>
      <c r="AD264" s="60" t="str">
        <f t="shared" si="90"/>
        <v>nvt-0</v>
      </c>
    </row>
    <row r="265" spans="1:30">
      <c r="A265" s="92">
        <f t="shared" si="92"/>
        <v>1</v>
      </c>
      <c r="B265" s="529"/>
      <c r="C265" s="590"/>
      <c r="D265" s="688">
        <v>1</v>
      </c>
      <c r="E265" s="591" t="s">
        <v>583</v>
      </c>
      <c r="F265" s="592" t="s">
        <v>348</v>
      </c>
      <c r="G265" s="593" t="s">
        <v>509</v>
      </c>
      <c r="H265" s="594" t="s">
        <v>309</v>
      </c>
      <c r="I265" s="595" t="str">
        <f t="shared" si="83"/>
        <v>niet van toepassing</v>
      </c>
      <c r="J265" s="594" t="s">
        <v>639</v>
      </c>
      <c r="K265" s="678"/>
      <c r="L265" s="678">
        <v>12.2</v>
      </c>
      <c r="M265" s="606" t="s">
        <v>27</v>
      </c>
      <c r="N265" s="601"/>
      <c r="O265" s="601"/>
      <c r="P265" s="603">
        <f t="shared" si="84"/>
        <v>0</v>
      </c>
      <c r="Q265" s="689">
        <v>1</v>
      </c>
      <c r="R265" s="341">
        <f t="shared" si="85"/>
        <v>0</v>
      </c>
      <c r="S265" s="341">
        <f t="shared" si="86"/>
        <v>0</v>
      </c>
      <c r="T265" s="341">
        <f t="shared" si="93"/>
        <v>0</v>
      </c>
      <c r="U265" s="681">
        <f t="shared" si="87"/>
        <v>0</v>
      </c>
      <c r="V265" s="681">
        <f t="shared" si="88"/>
        <v>0</v>
      </c>
      <c r="W265" s="459">
        <f t="shared" si="94"/>
        <v>0</v>
      </c>
      <c r="X265" s="460">
        <f t="shared" si="89"/>
        <v>0</v>
      </c>
      <c r="Y265" s="461"/>
      <c r="Z265" s="686" t="e">
        <f>(R265+S265)*'1.0-Contractblad'!$L$98</f>
        <v>#DIV/0!</v>
      </c>
      <c r="AA265" s="687">
        <f ca="1">VLOOKUP(E265,'1.1a-Jaarprijzen'!$B$33:$O$51,14,FALSE)*(L265+K265)</f>
        <v>0</v>
      </c>
      <c r="AB265" s="60">
        <f t="shared" si="91"/>
        <v>0</v>
      </c>
      <c r="AD265" s="60" t="str">
        <f t="shared" si="90"/>
        <v>nvt-0</v>
      </c>
    </row>
    <row r="266" spans="1:30">
      <c r="A266" s="92">
        <f t="shared" si="92"/>
        <v>1</v>
      </c>
      <c r="B266" s="529"/>
      <c r="C266" s="590"/>
      <c r="D266" s="688">
        <v>1</v>
      </c>
      <c r="E266" s="591" t="s">
        <v>583</v>
      </c>
      <c r="F266" s="592" t="s">
        <v>348</v>
      </c>
      <c r="G266" s="593" t="s">
        <v>514</v>
      </c>
      <c r="H266" s="594" t="s">
        <v>603</v>
      </c>
      <c r="I266" s="595" t="str">
        <f t="shared" si="83"/>
        <v>niet van toepassing</v>
      </c>
      <c r="J266" s="594" t="s">
        <v>639</v>
      </c>
      <c r="K266" s="678"/>
      <c r="L266" s="678">
        <v>10.1</v>
      </c>
      <c r="M266" s="606" t="s">
        <v>27</v>
      </c>
      <c r="N266" s="601"/>
      <c r="O266" s="601"/>
      <c r="P266" s="603">
        <f t="shared" si="84"/>
        <v>0</v>
      </c>
      <c r="Q266" s="689">
        <v>1</v>
      </c>
      <c r="R266" s="341">
        <f t="shared" si="85"/>
        <v>0</v>
      </c>
      <c r="S266" s="341">
        <f t="shared" si="86"/>
        <v>0</v>
      </c>
      <c r="T266" s="341">
        <f t="shared" si="93"/>
        <v>0</v>
      </c>
      <c r="U266" s="681">
        <f t="shared" si="87"/>
        <v>0</v>
      </c>
      <c r="V266" s="681">
        <f t="shared" si="88"/>
        <v>0</v>
      </c>
      <c r="W266" s="459">
        <f t="shared" si="94"/>
        <v>0</v>
      </c>
      <c r="X266" s="460">
        <f t="shared" si="89"/>
        <v>0</v>
      </c>
      <c r="Y266" s="461"/>
      <c r="Z266" s="686" t="e">
        <f>(R266+S266)*'1.0-Contractblad'!$L$98</f>
        <v>#DIV/0!</v>
      </c>
      <c r="AA266" s="687">
        <f ca="1">VLOOKUP(E266,'1.1a-Jaarprijzen'!$B$33:$O$51,14,FALSE)*(L266+K266)</f>
        <v>0</v>
      </c>
      <c r="AB266" s="60">
        <f t="shared" si="91"/>
        <v>0</v>
      </c>
      <c r="AD266" s="60" t="str">
        <f t="shared" si="90"/>
        <v>nvt-0</v>
      </c>
    </row>
  </sheetData>
  <autoFilter ref="B10:AA266"/>
  <sortState ref="A11:AF742">
    <sortCondition ref="D11:D742"/>
  </sortState>
  <phoneticPr fontId="9" type="noConversion"/>
  <printOptions gridLinesSet="0"/>
  <pageMargins left="0" right="0" top="0.59055118110236227" bottom="0.78740157480314965" header="0.39370078740157483" footer="0.19685039370078741"/>
  <pageSetup paperSize="9" scale="50" pageOrder="overThenDown" orientation="landscape"/>
  <headerFooter>
    <oddHeader>&amp;L&amp;C&amp;R</oddHeader>
    <oddFooter>&amp;L&amp;"Verdana,Regular"&amp;F-&amp;A_x000D_ICCA b.v. ©&amp;R&amp;"Verdana,Regular"printversie &amp;D</oddFooter>
  </headerFooter>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 enableFormatConditionsCalculation="0"/>
  <dimension ref="A2:AD20"/>
  <sheetViews>
    <sheetView showGridLines="0" showZeros="0" showOutlineSymbols="0" zoomScaleSheetLayoutView="65" workbookViewId="0">
      <selection activeCell="P27" sqref="P27"/>
    </sheetView>
  </sheetViews>
  <sheetFormatPr baseColWidth="10" defaultColWidth="0" defaultRowHeight="13" x14ac:dyDescent="0"/>
  <cols>
    <col min="1" max="1" width="0.140625" style="60" customWidth="1"/>
    <col min="2" max="2" width="13" style="60" customWidth="1"/>
    <col min="3" max="3" width="10.5703125" style="60" customWidth="1"/>
    <col min="4" max="4" width="6.28515625" style="60" customWidth="1"/>
    <col min="5" max="5" width="40.85546875" style="1" customWidth="1"/>
    <col min="6" max="6" width="9.140625" style="94" customWidth="1"/>
    <col min="7" max="7" width="10.7109375" style="95" customWidth="1"/>
    <col min="8" max="8" width="23" style="60" bestFit="1" customWidth="1"/>
    <col min="9" max="9" width="44.140625" style="96" bestFit="1" customWidth="1"/>
    <col min="10" max="10" width="9.5703125" style="60" bestFit="1" customWidth="1"/>
    <col min="11" max="11" width="8" style="97" customWidth="1"/>
    <col min="12" max="12" width="6.42578125" style="97" customWidth="1"/>
    <col min="13" max="13" width="11.5703125" style="98" customWidth="1"/>
    <col min="14" max="14" width="5.5703125" style="117" hidden="1" customWidth="1"/>
    <col min="15" max="15" width="0.140625" style="117" hidden="1" customWidth="1"/>
    <col min="16" max="16" width="12" style="463" customWidth="1"/>
    <col min="17" max="17" width="8" style="117" customWidth="1"/>
    <col min="18" max="18" width="11.42578125" style="60" customWidth="1"/>
    <col min="19" max="19" width="8.7109375" style="60" customWidth="1"/>
    <col min="20" max="20" width="7" style="60" hidden="1" customWidth="1"/>
    <col min="21" max="21" width="11" style="60" customWidth="1"/>
    <col min="22" max="22" width="10.7109375" style="60" customWidth="1"/>
    <col min="23" max="23" width="7.28515625" style="60" hidden="1" customWidth="1"/>
    <col min="24" max="24" width="7.85546875" style="89" bestFit="1" customWidth="1"/>
    <col min="25" max="25" width="18.140625" style="60" customWidth="1"/>
    <col min="26" max="26" width="13" style="60" bestFit="1" customWidth="1"/>
    <col min="27" max="30" width="0" style="60" hidden="1" customWidth="1"/>
    <col min="31" max="16384" width="8.7109375" style="60" hidden="1"/>
  </cols>
  <sheetData>
    <row r="2" spans="1:27">
      <c r="A2" s="92">
        <v>1</v>
      </c>
      <c r="B2" s="340"/>
      <c r="C2" s="340"/>
      <c r="D2" s="340"/>
      <c r="E2" s="205" t="s">
        <v>214</v>
      </c>
      <c r="N2" s="98"/>
      <c r="O2" s="98"/>
      <c r="Q2" s="98"/>
      <c r="R2" s="99"/>
      <c r="S2" s="99"/>
      <c r="T2" s="99"/>
      <c r="U2" s="99"/>
      <c r="V2" s="99"/>
      <c r="W2" s="99"/>
      <c r="X2" s="100"/>
      <c r="Y2" s="101"/>
      <c r="Z2" s="101"/>
    </row>
    <row r="3" spans="1:27" ht="18" customHeight="1">
      <c r="A3" s="92">
        <v>2</v>
      </c>
      <c r="B3" s="340"/>
      <c r="C3" s="340"/>
      <c r="D3" s="340"/>
      <c r="E3" s="207"/>
      <c r="F3" s="103"/>
      <c r="G3" s="104"/>
      <c r="H3" s="102"/>
      <c r="I3" s="105"/>
      <c r="J3" s="93"/>
      <c r="K3" s="106"/>
      <c r="L3" s="106"/>
      <c r="M3" s="107"/>
      <c r="N3" s="107"/>
      <c r="O3" s="107"/>
      <c r="P3" s="464"/>
      <c r="Q3" s="107"/>
      <c r="R3" s="108"/>
      <c r="S3" s="108"/>
      <c r="T3" s="108"/>
      <c r="U3" s="108"/>
      <c r="V3" s="108"/>
      <c r="W3" s="108"/>
      <c r="X3" s="109"/>
      <c r="Y3" s="110"/>
      <c r="Z3" s="110"/>
    </row>
    <row r="4" spans="1:27" ht="18" customHeight="1">
      <c r="A4" s="92">
        <v>3</v>
      </c>
      <c r="B4" s="340"/>
      <c r="C4" s="340"/>
      <c r="D4" s="340"/>
      <c r="E4" s="208" t="str">
        <f>'1.2-Kengetal'!C3</f>
        <v>Naam opdrachtgever</v>
      </c>
      <c r="F4" s="111"/>
      <c r="G4" s="209" t="str">
        <f>'1.2-Kengetal'!F3</f>
        <v>Stichting CPOW</v>
      </c>
      <c r="I4" s="105"/>
      <c r="J4" s="93"/>
      <c r="K4" s="106"/>
      <c r="L4" s="106"/>
      <c r="M4" s="107"/>
      <c r="N4" s="107"/>
      <c r="O4" s="107"/>
      <c r="P4" s="464"/>
      <c r="Q4" s="107"/>
      <c r="R4" s="108"/>
      <c r="S4" s="108"/>
      <c r="T4" s="108"/>
      <c r="U4" s="108"/>
      <c r="V4" s="108"/>
      <c r="W4" s="108"/>
      <c r="X4" s="109"/>
      <c r="Y4" s="93"/>
      <c r="Z4" s="93"/>
    </row>
    <row r="5" spans="1:27" ht="18" customHeight="1">
      <c r="A5" s="92">
        <v>4</v>
      </c>
      <c r="B5" s="340"/>
      <c r="C5" s="340"/>
      <c r="D5" s="340"/>
      <c r="E5" s="208" t="str">
        <f>'1.2-Kengetal'!C4</f>
        <v>Omschrijving blad</v>
      </c>
      <c r="F5" s="113"/>
      <c r="G5" s="531" t="s">
        <v>462</v>
      </c>
      <c r="I5" s="114"/>
      <c r="J5" s="93"/>
      <c r="K5" s="106"/>
      <c r="L5" s="106"/>
      <c r="M5" s="107"/>
      <c r="N5" s="107"/>
      <c r="O5" s="107"/>
      <c r="P5" s="464"/>
      <c r="Q5" s="107"/>
      <c r="R5" s="108"/>
      <c r="S5" s="108"/>
      <c r="T5" s="108"/>
      <c r="U5" s="108"/>
      <c r="V5" s="108"/>
      <c r="W5" s="108"/>
      <c r="X5" s="109"/>
      <c r="Y5" s="93"/>
      <c r="Z5" s="93"/>
    </row>
    <row r="6" spans="1:27" ht="18" customHeight="1">
      <c r="A6" s="92">
        <v>5</v>
      </c>
      <c r="B6" s="340"/>
      <c r="C6" s="340"/>
      <c r="D6" s="340"/>
      <c r="E6" s="208" t="str">
        <f>'1.2-Kengetal'!C5</f>
        <v>Adres/plaats</v>
      </c>
      <c r="F6" s="111"/>
      <c r="G6" s="209" t="str">
        <f>'1.2-Kengetal'!F5</f>
        <v>Primair onderwijs Purmerend e.o.</v>
      </c>
      <c r="H6" s="115"/>
      <c r="I6" s="115"/>
      <c r="J6" s="115"/>
      <c r="K6" s="116"/>
      <c r="L6" s="116"/>
      <c r="M6" s="107"/>
      <c r="N6" s="107"/>
      <c r="O6" s="107"/>
      <c r="P6" s="464"/>
      <c r="Q6" s="107"/>
      <c r="R6" s="108"/>
      <c r="S6" s="108"/>
      <c r="T6" s="108"/>
      <c r="U6" s="108"/>
      <c r="V6" s="108"/>
      <c r="W6" s="108"/>
      <c r="X6" s="109"/>
      <c r="Y6" s="93"/>
      <c r="Z6" s="93"/>
    </row>
    <row r="7" spans="1:27" ht="18" customHeight="1">
      <c r="A7" s="92">
        <v>6</v>
      </c>
      <c r="B7" s="340"/>
      <c r="C7" s="340"/>
      <c r="D7" s="340"/>
      <c r="E7" s="208" t="str">
        <f>'1.2-Kengetal'!C6</f>
        <v>Besteknummer</v>
      </c>
      <c r="F7" s="111"/>
      <c r="G7" s="209" t="str">
        <f>'1.2-Kengetal'!F6</f>
        <v>0302-52-2015 V1</v>
      </c>
      <c r="J7" s="93"/>
      <c r="K7" s="106"/>
      <c r="L7" s="106"/>
      <c r="M7" s="107"/>
      <c r="N7" s="107"/>
      <c r="O7" s="107"/>
      <c r="P7" s="464"/>
      <c r="Q7" s="107"/>
      <c r="R7" s="108"/>
      <c r="S7" s="108"/>
      <c r="T7" s="108"/>
      <c r="U7" s="108"/>
      <c r="V7" s="108"/>
      <c r="W7" s="108"/>
      <c r="X7" s="109"/>
      <c r="Y7" s="93"/>
      <c r="Z7" s="93"/>
    </row>
    <row r="8" spans="1:27" ht="18" customHeight="1">
      <c r="A8" s="92">
        <v>7</v>
      </c>
      <c r="B8" s="340"/>
      <c r="C8" s="340"/>
      <c r="D8" s="340"/>
      <c r="E8" s="208" t="str">
        <f>'1.2-Kengetal'!C7</f>
        <v>Naam leverancier</v>
      </c>
      <c r="F8" s="111"/>
      <c r="G8" s="209" t="str">
        <f>'1.2-Kengetal'!F7</f>
        <v>[NAAM LEVERANCIER]</v>
      </c>
      <c r="I8" s="585">
        <f>Voorblad!$E$15</f>
        <v>42370</v>
      </c>
      <c r="J8" s="93"/>
      <c r="K8" s="106"/>
      <c r="L8" s="106"/>
      <c r="M8" s="107"/>
      <c r="N8" s="107"/>
      <c r="O8" s="107"/>
      <c r="P8" s="464"/>
      <c r="Q8" s="107"/>
      <c r="R8" s="108"/>
      <c r="S8" s="108"/>
      <c r="T8" s="108"/>
      <c r="U8" s="108"/>
      <c r="V8" s="108"/>
      <c r="W8" s="108"/>
      <c r="X8" s="109"/>
      <c r="Y8" s="93"/>
      <c r="Z8" s="93"/>
    </row>
    <row r="9" spans="1:27">
      <c r="A9" s="92">
        <v>8</v>
      </c>
      <c r="B9" s="340"/>
      <c r="C9" s="340"/>
      <c r="D9" s="340"/>
      <c r="E9" s="207"/>
      <c r="F9" s="103"/>
      <c r="G9" s="104"/>
      <c r="H9" s="102"/>
      <c r="I9" s="105"/>
      <c r="J9" s="93"/>
      <c r="K9" s="106"/>
      <c r="L9" s="106"/>
      <c r="M9" s="107"/>
      <c r="N9" s="107"/>
      <c r="O9" s="107"/>
      <c r="P9" s="464"/>
      <c r="Q9" s="107"/>
      <c r="R9" s="108"/>
      <c r="S9" s="108"/>
      <c r="T9" s="108"/>
      <c r="U9" s="108"/>
      <c r="V9" s="108"/>
      <c r="W9" s="108"/>
      <c r="X9" s="109"/>
      <c r="Y9" s="110"/>
      <c r="Z9" s="110"/>
    </row>
    <row r="10" spans="1:27" s="350" customFormat="1" ht="42" customHeight="1">
      <c r="A10" s="343">
        <v>9</v>
      </c>
      <c r="B10" s="269" t="s">
        <v>457</v>
      </c>
      <c r="C10" s="269" t="s">
        <v>458</v>
      </c>
      <c r="D10" s="269" t="s">
        <v>271</v>
      </c>
      <c r="E10" s="269" t="s">
        <v>206</v>
      </c>
      <c r="F10" s="273" t="s">
        <v>39</v>
      </c>
      <c r="G10" s="344" t="s">
        <v>50</v>
      </c>
      <c r="H10" s="269" t="s">
        <v>227</v>
      </c>
      <c r="I10" s="345" t="s">
        <v>91</v>
      </c>
      <c r="J10" s="346" t="s">
        <v>180</v>
      </c>
      <c r="K10" s="315" t="s">
        <v>142</v>
      </c>
      <c r="L10" s="315" t="s">
        <v>80</v>
      </c>
      <c r="M10" s="470" t="s">
        <v>323</v>
      </c>
      <c r="N10" s="347" t="s">
        <v>337</v>
      </c>
      <c r="O10" s="347" t="s">
        <v>338</v>
      </c>
      <c r="P10" s="348" t="s">
        <v>38</v>
      </c>
      <c r="Q10" s="347" t="s">
        <v>243</v>
      </c>
      <c r="R10" s="348" t="s">
        <v>81</v>
      </c>
      <c r="S10" s="348" t="s">
        <v>326</v>
      </c>
      <c r="T10" s="348" t="s">
        <v>339</v>
      </c>
      <c r="U10" s="349" t="s">
        <v>325</v>
      </c>
      <c r="V10" s="348" t="s">
        <v>324</v>
      </c>
      <c r="W10" s="348" t="s">
        <v>340</v>
      </c>
      <c r="X10" s="269" t="s">
        <v>122</v>
      </c>
      <c r="Y10" s="346" t="s">
        <v>0</v>
      </c>
      <c r="Z10" s="346" t="s">
        <v>87</v>
      </c>
    </row>
    <row r="11" spans="1:27">
      <c r="A11" s="92"/>
      <c r="B11" s="529"/>
      <c r="C11" s="587"/>
      <c r="D11" s="527"/>
      <c r="E11" s="450"/>
      <c r="F11" s="451"/>
      <c r="G11" s="452"/>
      <c r="H11" s="453"/>
      <c r="I11" s="454"/>
      <c r="J11" s="453"/>
      <c r="K11" s="455"/>
      <c r="L11" s="455"/>
      <c r="M11" s="471"/>
      <c r="N11" s="456"/>
      <c r="O11" s="456"/>
      <c r="P11" s="457"/>
      <c r="Q11" s="458"/>
      <c r="R11" s="341"/>
      <c r="S11" s="341"/>
      <c r="T11" s="342"/>
      <c r="U11" s="342"/>
      <c r="V11" s="460"/>
      <c r="W11" s="461"/>
      <c r="X11" s="460"/>
      <c r="Y11" s="561"/>
      <c r="Z11" s="561"/>
      <c r="AA11" s="560"/>
    </row>
    <row r="12" spans="1:27">
      <c r="A12" s="92"/>
      <c r="B12" s="529"/>
      <c r="C12" s="587"/>
      <c r="D12" s="527"/>
      <c r="E12" s="450"/>
      <c r="F12" s="451"/>
      <c r="G12" s="452"/>
      <c r="H12" s="453"/>
      <c r="I12" s="454"/>
      <c r="J12" s="453"/>
      <c r="K12" s="455"/>
      <c r="L12" s="455"/>
      <c r="M12" s="471"/>
      <c r="N12" s="456"/>
      <c r="O12" s="456"/>
      <c r="P12" s="457"/>
      <c r="Q12" s="458"/>
      <c r="R12" s="341"/>
      <c r="S12" s="341"/>
      <c r="T12" s="342"/>
      <c r="U12" s="342"/>
      <c r="V12" s="460"/>
      <c r="W12" s="461"/>
      <c r="X12" s="460"/>
      <c r="Y12" s="561"/>
      <c r="Z12" s="561"/>
      <c r="AA12" s="560"/>
    </row>
    <row r="13" spans="1:27">
      <c r="A13" s="92"/>
      <c r="B13" s="529"/>
      <c r="C13" s="587"/>
      <c r="D13" s="527"/>
      <c r="E13" s="450"/>
      <c r="F13" s="451"/>
      <c r="G13" s="452"/>
      <c r="H13" s="453"/>
      <c r="I13" s="454"/>
      <c r="J13" s="453"/>
      <c r="K13" s="455"/>
      <c r="L13" s="455"/>
      <c r="M13" s="471"/>
      <c r="N13" s="456"/>
      <c r="O13" s="456"/>
      <c r="P13" s="457"/>
      <c r="Q13" s="458"/>
      <c r="R13" s="341"/>
      <c r="S13" s="341"/>
      <c r="T13" s="342"/>
      <c r="U13" s="342"/>
      <c r="V13" s="460"/>
      <c r="W13" s="461"/>
      <c r="X13" s="460"/>
      <c r="Y13" s="561"/>
      <c r="Z13" s="561"/>
      <c r="AA13" s="560"/>
    </row>
    <row r="14" spans="1:27">
      <c r="A14" s="92"/>
      <c r="B14" s="529"/>
      <c r="C14" s="587"/>
      <c r="D14" s="527"/>
      <c r="E14" s="450"/>
      <c r="F14" s="451"/>
      <c r="G14" s="452"/>
      <c r="H14" s="453"/>
      <c r="I14" s="454"/>
      <c r="J14" s="453"/>
      <c r="K14" s="455"/>
      <c r="L14" s="455"/>
      <c r="M14" s="471"/>
      <c r="N14" s="456"/>
      <c r="O14" s="456"/>
      <c r="P14" s="457"/>
      <c r="Q14" s="458"/>
      <c r="R14" s="341"/>
      <c r="S14" s="341"/>
      <c r="T14" s="342"/>
      <c r="U14" s="342"/>
      <c r="V14" s="460"/>
      <c r="W14" s="461"/>
      <c r="X14" s="460"/>
      <c r="Y14" s="561"/>
      <c r="Z14" s="561"/>
      <c r="AA14" s="560"/>
    </row>
    <row r="15" spans="1:27">
      <c r="A15" s="92"/>
      <c r="B15" s="529"/>
      <c r="C15" s="587"/>
      <c r="D15" s="527"/>
      <c r="E15" s="450"/>
      <c r="F15" s="451"/>
      <c r="G15" s="452"/>
      <c r="H15" s="453"/>
      <c r="I15" s="454"/>
      <c r="J15" s="453"/>
      <c r="K15" s="455"/>
      <c r="L15" s="455"/>
      <c r="M15" s="472"/>
      <c r="N15" s="456"/>
      <c r="O15" s="456"/>
      <c r="P15" s="457"/>
      <c r="Q15" s="458"/>
      <c r="R15" s="341"/>
      <c r="S15" s="341"/>
      <c r="T15" s="342"/>
      <c r="U15" s="342"/>
      <c r="V15" s="460"/>
      <c r="W15" s="461"/>
      <c r="X15" s="460"/>
      <c r="Y15" s="561"/>
      <c r="Z15" s="561"/>
      <c r="AA15" s="560"/>
    </row>
    <row r="16" spans="1:27">
      <c r="A16" s="92"/>
      <c r="B16" s="529"/>
      <c r="C16" s="587"/>
      <c r="D16" s="527"/>
      <c r="E16" s="450"/>
      <c r="F16" s="451"/>
      <c r="G16" s="452"/>
      <c r="H16" s="453"/>
      <c r="I16" s="454"/>
      <c r="J16" s="453"/>
      <c r="K16" s="455"/>
      <c r="L16" s="455"/>
      <c r="M16" s="471"/>
      <c r="N16" s="456"/>
      <c r="O16" s="456"/>
      <c r="P16" s="457"/>
      <c r="Q16" s="458"/>
      <c r="R16" s="341"/>
      <c r="S16" s="341"/>
      <c r="T16" s="342"/>
      <c r="U16" s="342"/>
      <c r="V16" s="460"/>
      <c r="W16" s="461"/>
      <c r="X16" s="460"/>
      <c r="Y16" s="561"/>
      <c r="Z16" s="561"/>
      <c r="AA16" s="560"/>
    </row>
    <row r="17" spans="1:27">
      <c r="A17" s="92"/>
      <c r="B17" s="529"/>
      <c r="C17" s="587"/>
      <c r="D17" s="527"/>
      <c r="E17" s="450"/>
      <c r="F17" s="451"/>
      <c r="G17" s="452"/>
      <c r="H17" s="453"/>
      <c r="I17" s="454"/>
      <c r="J17" s="453"/>
      <c r="K17" s="455"/>
      <c r="L17" s="455"/>
      <c r="M17" s="471"/>
      <c r="N17" s="456"/>
      <c r="O17" s="456"/>
      <c r="P17" s="457"/>
      <c r="Q17" s="458"/>
      <c r="R17" s="341"/>
      <c r="S17" s="341"/>
      <c r="T17" s="342"/>
      <c r="U17" s="342"/>
      <c r="V17" s="460"/>
      <c r="W17" s="461"/>
      <c r="X17" s="460"/>
      <c r="Y17" s="561"/>
      <c r="Z17" s="561"/>
      <c r="AA17" s="560"/>
    </row>
    <row r="18" spans="1:27">
      <c r="A18" s="92"/>
      <c r="B18" s="529"/>
      <c r="C18" s="587"/>
      <c r="D18" s="527"/>
      <c r="E18" s="450"/>
      <c r="F18" s="451"/>
      <c r="G18" s="452"/>
      <c r="H18" s="453"/>
      <c r="I18" s="454"/>
      <c r="J18" s="453"/>
      <c r="K18" s="455"/>
      <c r="L18" s="455"/>
      <c r="M18" s="471"/>
      <c r="N18" s="456"/>
      <c r="O18" s="456"/>
      <c r="P18" s="457"/>
      <c r="Q18" s="458"/>
      <c r="R18" s="341"/>
      <c r="S18" s="341"/>
      <c r="T18" s="342"/>
      <c r="U18" s="342"/>
      <c r="V18" s="460"/>
      <c r="W18" s="461"/>
      <c r="X18" s="460"/>
      <c r="Y18" s="561"/>
      <c r="Z18" s="561"/>
      <c r="AA18" s="560"/>
    </row>
    <row r="19" spans="1:27">
      <c r="A19" s="92"/>
      <c r="B19" s="528"/>
      <c r="C19" s="530"/>
      <c r="D19" s="527"/>
      <c r="E19" s="450"/>
      <c r="F19" s="451"/>
      <c r="G19" s="452"/>
      <c r="H19" s="453"/>
      <c r="I19" s="454"/>
      <c r="J19" s="453"/>
      <c r="K19" s="455"/>
      <c r="L19" s="455"/>
      <c r="M19" s="471"/>
      <c r="N19" s="456"/>
      <c r="O19" s="456"/>
      <c r="P19" s="457"/>
      <c r="Q19" s="458"/>
      <c r="R19" s="341"/>
      <c r="S19" s="341"/>
      <c r="T19" s="341"/>
      <c r="U19" s="342"/>
      <c r="V19" s="342"/>
      <c r="W19" s="459"/>
      <c r="X19" s="342"/>
      <c r="Y19" s="461"/>
      <c r="Z19" s="462"/>
    </row>
    <row r="20" spans="1:27">
      <c r="A20" s="92"/>
      <c r="B20" s="528"/>
      <c r="C20" s="530"/>
      <c r="D20" s="527"/>
      <c r="E20" s="450"/>
      <c r="F20" s="451"/>
      <c r="G20" s="452"/>
      <c r="H20" s="453"/>
      <c r="I20" s="454"/>
      <c r="J20" s="453"/>
      <c r="K20" s="455"/>
      <c r="L20" s="455"/>
      <c r="M20" s="471"/>
      <c r="N20" s="456"/>
      <c r="O20" s="456"/>
      <c r="P20" s="457"/>
      <c r="Q20" s="458"/>
      <c r="R20" s="341"/>
      <c r="S20" s="341"/>
      <c r="T20" s="341"/>
      <c r="U20" s="342"/>
      <c r="V20" s="342"/>
      <c r="W20" s="459"/>
      <c r="X20" s="342"/>
      <c r="Y20" s="461"/>
      <c r="Z20" s="462"/>
    </row>
  </sheetData>
  <autoFilter ref="D10:Z20"/>
  <phoneticPr fontId="9" type="noConversion"/>
  <printOptions headings="1" gridLinesSet="0"/>
  <pageMargins left="0" right="0" top="0.59055118110236227" bottom="0.78740157480314965" header="0.39370078740157483" footer="0.19685039370078741"/>
  <pageSetup paperSize="9" scale="50" pageOrder="overThenDown" orientation="landscape"/>
  <headerFooter>
    <oddHeader>&amp;L&amp;C&amp;R</oddHeader>
    <oddFooter>&amp;L&amp;"Verdana,Regular"&amp;F-&amp;A_x000D_ICCA b.v. ©&amp;R&amp;"Verdana,Regular"printversie &amp;D</oddFooter>
  </headerFooter>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Werkbladen</vt:lpstr>
      </vt:variant>
      <vt:variant>
        <vt:i4>14</vt:i4>
      </vt:variant>
    </vt:vector>
  </HeadingPairs>
  <TitlesOfParts>
    <vt:vector size="14" baseType="lpstr">
      <vt:lpstr>Info blad</vt:lpstr>
      <vt:lpstr>Toelichting Calculatiemodel</vt:lpstr>
      <vt:lpstr>Voorblad</vt:lpstr>
      <vt:lpstr>Uitleg calculatiemodule</vt:lpstr>
      <vt:lpstr>1.0-Contractblad</vt:lpstr>
      <vt:lpstr>1.1a-Jaarprijzen</vt:lpstr>
      <vt:lpstr>1.2-Kengetal</vt:lpstr>
      <vt:lpstr>1.3-Basis ruimtestaat</vt:lpstr>
      <vt:lpstr>1.3a-Mutaties</vt:lpstr>
      <vt:lpstr>1.4-Premies en opslagen</vt:lpstr>
      <vt:lpstr>1.5 Opbouw uurtarieven</vt:lpstr>
      <vt:lpstr>1.6-Machine-investeringskosten</vt:lpstr>
      <vt:lpstr>1.8-Afroepprijs</vt:lpstr>
      <vt:lpstr>1.9-Glasbewassing</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 van leijen</dc:creator>
  <cp:lastModifiedBy>ICCA bv</cp:lastModifiedBy>
  <cp:lastPrinted>2015-11-23T11:39:41Z</cp:lastPrinted>
  <dcterms:created xsi:type="dcterms:W3CDTF">1999-10-05T12:28:40Z</dcterms:created>
  <dcterms:modified xsi:type="dcterms:W3CDTF">2015-11-23T12:35:01Z</dcterms:modified>
</cp:coreProperties>
</file>