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15" windowWidth="15600" windowHeight="5115" tabRatio="860" firstSheet="1" activeTab="5"/>
  </bookViews>
  <sheets>
    <sheet name="Toelichting calculatiemodel" sheetId="21" r:id="rId1"/>
    <sheet name="Info blad" sheetId="11" r:id="rId2"/>
    <sheet name="1-Contractblad perceel 1 SMO" sheetId="4" r:id="rId3"/>
    <sheet name="1-Recap per locatie SMO" sheetId="23" r:id="rId4"/>
    <sheet name="1-Contractblad perceel 2 glas" sheetId="22" r:id="rId5"/>
    <sheet name="2-Kengetal" sheetId="1" r:id="rId6"/>
    <sheet name="3-Basis ruimtestaat" sheetId="2" r:id="rId7"/>
    <sheet name="4-Premies en opslagen" sheetId="17" r:id="rId8"/>
    <sheet name="5-Opbouw uurtarieven" sheetId="18" r:id="rId9"/>
    <sheet name="6- toeslagenmatrix" sheetId="19" r:id="rId10"/>
    <sheet name="7-Machine-investeringskosten" sheetId="10" r:id="rId11"/>
    <sheet name="8-Afroepprijs" sheetId="5" r:id="rId12"/>
  </sheets>
  <externalReferences>
    <externalReference r:id="rId13"/>
  </externalReferences>
  <definedNames>
    <definedName name="_Fill" localSheetId="4" hidden="1">'[1]#REF'!#REF!</definedName>
    <definedName name="_Fill" localSheetId="3" hidden="1">'[1]#REF'!#REF!</definedName>
    <definedName name="_Fill" localSheetId="1" hidden="1">'[1]#REF'!#REF!</definedName>
    <definedName name="_Fill" hidden="1">'[1]#REF'!#REF!</definedName>
    <definedName name="_xlnm._FilterDatabase" localSheetId="2" hidden="1">'1-Contractblad perceel 1 SMO'!#REF!</definedName>
    <definedName name="_xlnm._FilterDatabase" localSheetId="5" hidden="1">'2-Kengetal'!$A$9:$L$40</definedName>
    <definedName name="_xlnm._FilterDatabase" localSheetId="6" hidden="1">'3-Basis ruimtestaat'!$A$9:$W$458</definedName>
    <definedName name="_Key1" localSheetId="4" hidden="1">'[1]#REF'!#REF!</definedName>
    <definedName name="_Key1" localSheetId="3" hidden="1">'[1]#REF'!#REF!</definedName>
    <definedName name="_Key1" localSheetId="1" hidden="1">'[1]#REF'!#REF!</definedName>
    <definedName name="_Key1" hidden="1">'[1]#REF'!#REF!</definedName>
    <definedName name="_Order1" hidden="1">255</definedName>
    <definedName name="_xlnm.Print_Area" localSheetId="2">'1-Contractblad perceel 1 SMO'!$A$3:$G$47</definedName>
    <definedName name="_xlnm.Print_Area" localSheetId="4">'1-Contractblad perceel 2 glas'!$A$3:$F$28</definedName>
    <definedName name="_xlnm.Print_Area" localSheetId="3">'1-Recap per locatie SMO'!$A$3:$G$19</definedName>
    <definedName name="_xlnm.Print_Area" localSheetId="5">'2-Kengetal'!$A$1:$L$51</definedName>
    <definedName name="_xlnm.Print_Area" localSheetId="6">'3-Basis ruimtestaat'!$B$3:$T$458</definedName>
    <definedName name="_xlnm.Print_Area" localSheetId="7">'4-Premies en opslagen'!$A$3:$E$59</definedName>
    <definedName name="_xlnm.Print_Area" localSheetId="8">'5-Opbouw uurtarieven'!$J$3:$AK$48</definedName>
    <definedName name="_xlnm.Print_Area" localSheetId="10">'7-Machine-investeringskosten'!$A$3:$D$75</definedName>
    <definedName name="_xlnm.Print_Area" localSheetId="11">'8-Afroepprijs'!$A$3:$F$47</definedName>
    <definedName name="_xlnm.Print_Area" localSheetId="1">'Info blad'!$A$1:$F$5</definedName>
    <definedName name="_xlnm.Print_Area" localSheetId="0">'Toelichting calculatiemodel'!$A$1:$F$47</definedName>
    <definedName name="_xlnm.Print_Titles" localSheetId="2">'1-Contractblad perceel 1 SMO'!$3:$10</definedName>
    <definedName name="_xlnm.Print_Titles" localSheetId="4">'1-Contractblad perceel 2 glas'!$6:$12</definedName>
    <definedName name="_xlnm.Print_Titles" localSheetId="3">'1-Recap per locatie SMO'!$6:$10</definedName>
    <definedName name="_xlnm.Print_Titles" localSheetId="5">'2-Kengetal'!$9:$9</definedName>
    <definedName name="_xlnm.Print_Titles" localSheetId="6">'3-Basis ruimtestaat'!$9:$9</definedName>
    <definedName name="_xlnm.Print_Titles" localSheetId="8">'5-Opbouw uurtarieven'!$A:$C</definedName>
    <definedName name="_xlnm.Print_Titles" localSheetId="11">'8-Afroepprijs'!$6:$11</definedName>
    <definedName name="gebouw">'3-Basis ruimtestaat'!$B:$B</definedName>
    <definedName name="han" localSheetId="4" hidden="1">'[1]#REF'!#REF!</definedName>
    <definedName name="han" localSheetId="3" hidden="1">'[1]#REF'!#REF!</definedName>
    <definedName name="han" hidden="1">'[1]#REF'!#REF!</definedName>
    <definedName name="Kengetal">'2-Kengetal'!$A$10:$L$40</definedName>
    <definedName name="uren_mavr">'3-Basis ruimtestaat'!$K:$K</definedName>
    <definedName name="uren_naloop">'3-Basis ruimtestaat'!$L:$L</definedName>
    <definedName name="uren_zazofe">'3-Basis ruimtestaat'!$M:$M</definedName>
  </definedNames>
  <calcPr calcId="145621"/>
</workbook>
</file>

<file path=xl/calcChain.xml><?xml version="1.0" encoding="utf-8"?>
<calcChain xmlns="http://schemas.openxmlformats.org/spreadsheetml/2006/main">
  <c r="H35" i="1" l="1"/>
  <c r="I35" i="1"/>
  <c r="E14" i="22"/>
  <c r="H14" i="22"/>
  <c r="B11" i="22" s="1"/>
  <c r="E15" i="22"/>
  <c r="H15" i="22"/>
  <c r="E17" i="22"/>
  <c r="H17" i="22"/>
  <c r="E18" i="22"/>
  <c r="H18" i="22"/>
  <c r="E20" i="22"/>
  <c r="H20" i="22"/>
  <c r="E21" i="22"/>
  <c r="H21" i="22"/>
  <c r="H22" i="22"/>
  <c r="E23" i="22"/>
  <c r="H23" i="22"/>
  <c r="E24" i="22"/>
  <c r="H24" i="22"/>
  <c r="E26" i="22"/>
  <c r="H26" i="22"/>
  <c r="C19" i="22"/>
  <c r="E19" i="22" s="1"/>
  <c r="H19" i="22" s="1"/>
  <c r="H12" i="1"/>
  <c r="H13" i="1"/>
  <c r="H14" i="1"/>
  <c r="H15" i="1"/>
  <c r="H16" i="1"/>
  <c r="H17" i="1"/>
  <c r="H19" i="1"/>
  <c r="H21" i="1"/>
  <c r="H22" i="1"/>
  <c r="H23" i="1"/>
  <c r="H24" i="1"/>
  <c r="H25" i="1"/>
  <c r="H26" i="1"/>
  <c r="H27" i="1"/>
  <c r="H28" i="1"/>
  <c r="H29" i="1"/>
  <c r="H30" i="1"/>
  <c r="H31" i="1"/>
  <c r="H32" i="1"/>
  <c r="H33" i="1"/>
  <c r="H34" i="1"/>
  <c r="H36" i="1"/>
  <c r="H11" i="1"/>
  <c r="H18" i="1"/>
  <c r="A9" i="23"/>
  <c r="B8" i="23"/>
  <c r="A8" i="23"/>
  <c r="B7" i="23"/>
  <c r="A7" i="23"/>
  <c r="B6" i="23"/>
  <c r="A6" i="23"/>
  <c r="B5" i="23"/>
  <c r="A5" i="23"/>
  <c r="A4" i="23"/>
  <c r="B3" i="23"/>
  <c r="A3" i="23"/>
  <c r="I20" i="1"/>
  <c r="I32" i="1"/>
  <c r="H20" i="1"/>
  <c r="I39" i="1"/>
  <c r="J39" i="1" s="1"/>
  <c r="I38" i="1"/>
  <c r="I37" i="1"/>
  <c r="I36" i="1"/>
  <c r="J36" i="1" s="1"/>
  <c r="I34" i="1"/>
  <c r="I33" i="1"/>
  <c r="I31" i="1"/>
  <c r="I30" i="1"/>
  <c r="I29" i="1"/>
  <c r="I28" i="1"/>
  <c r="I27" i="1"/>
  <c r="I26" i="1"/>
  <c r="I25" i="1"/>
  <c r="I24" i="1"/>
  <c r="I23" i="1"/>
  <c r="I22" i="1"/>
  <c r="I21" i="1"/>
  <c r="I19" i="1"/>
  <c r="I18" i="1"/>
  <c r="I17" i="1"/>
  <c r="I16" i="1"/>
  <c r="I15" i="1"/>
  <c r="I14" i="1"/>
  <c r="I13" i="1"/>
  <c r="I12" i="1"/>
  <c r="F458" i="2"/>
  <c r="F457" i="2"/>
  <c r="I11" i="1"/>
  <c r="C25" i="22"/>
  <c r="E25" i="22" s="1"/>
  <c r="H25" i="22" s="1"/>
  <c r="C22" i="22"/>
  <c r="E22" i="22" s="1"/>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10" i="2"/>
  <c r="C16" i="22"/>
  <c r="E16" i="22" s="1"/>
  <c r="H16" i="22" s="1"/>
  <c r="A9" i="22"/>
  <c r="B8" i="22"/>
  <c r="A8" i="22"/>
  <c r="B7" i="22"/>
  <c r="A7" i="22"/>
  <c r="B6" i="22"/>
  <c r="A6" i="22"/>
  <c r="B5" i="22"/>
  <c r="A5" i="22"/>
  <c r="A4" i="22"/>
  <c r="B3" i="22"/>
  <c r="A3" i="22"/>
  <c r="AI12" i="18"/>
  <c r="AF12" i="18"/>
  <c r="AF16" i="18" s="1"/>
  <c r="AC12" i="18"/>
  <c r="Z12" i="18"/>
  <c r="W12" i="18"/>
  <c r="T12" i="18"/>
  <c r="T16" i="18" s="1"/>
  <c r="Q12" i="18"/>
  <c r="N12" i="18"/>
  <c r="K12" i="18"/>
  <c r="AL12" i="18"/>
  <c r="AL16" i="18" s="1"/>
  <c r="H12" i="18"/>
  <c r="E12" i="18"/>
  <c r="AI15" i="18"/>
  <c r="AC16" i="18"/>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10" i="2"/>
  <c r="C17" i="17"/>
  <c r="C26" i="17"/>
  <c r="E23" i="18" s="1"/>
  <c r="C47" i="17"/>
  <c r="C53" i="17"/>
  <c r="B58" i="17"/>
  <c r="Z16" i="18"/>
  <c r="N10" i="2"/>
  <c r="K10" i="2" s="1"/>
  <c r="N11" i="2"/>
  <c r="K11" i="2" s="1"/>
  <c r="N12" i="2"/>
  <c r="K12" i="2" s="1"/>
  <c r="N13" i="2"/>
  <c r="K13" i="2" s="1"/>
  <c r="N14" i="2"/>
  <c r="K14" i="2" s="1"/>
  <c r="N15" i="2"/>
  <c r="K15" i="2" s="1"/>
  <c r="N16" i="2"/>
  <c r="K16" i="2" s="1"/>
  <c r="N17" i="2"/>
  <c r="K17" i="2" s="1"/>
  <c r="N18" i="2"/>
  <c r="K18" i="2" s="1"/>
  <c r="N19" i="2"/>
  <c r="K19" i="2" s="1"/>
  <c r="N20" i="2"/>
  <c r="K20" i="2" s="1"/>
  <c r="N21" i="2"/>
  <c r="K21" i="2" s="1"/>
  <c r="N22" i="2"/>
  <c r="K22" i="2" s="1"/>
  <c r="N23" i="2"/>
  <c r="K23" i="2" s="1"/>
  <c r="N24" i="2"/>
  <c r="K24" i="2" s="1"/>
  <c r="N25" i="2"/>
  <c r="K25" i="2" s="1"/>
  <c r="N26" i="2"/>
  <c r="K26" i="2" s="1"/>
  <c r="N27" i="2"/>
  <c r="K27" i="2" s="1"/>
  <c r="N28" i="2"/>
  <c r="K28" i="2" s="1"/>
  <c r="N29" i="2"/>
  <c r="K29" i="2" s="1"/>
  <c r="N30" i="2"/>
  <c r="K30" i="2" s="1"/>
  <c r="N31" i="2"/>
  <c r="K31" i="2" s="1"/>
  <c r="N32" i="2"/>
  <c r="K32" i="2" s="1"/>
  <c r="N33" i="2"/>
  <c r="K33" i="2" s="1"/>
  <c r="N34" i="2"/>
  <c r="K34" i="2" s="1"/>
  <c r="N35" i="2"/>
  <c r="K35" i="2" s="1"/>
  <c r="N36" i="2"/>
  <c r="K36" i="2" s="1"/>
  <c r="N37" i="2"/>
  <c r="K37" i="2" s="1"/>
  <c r="N38" i="2"/>
  <c r="K38" i="2" s="1"/>
  <c r="N39" i="2"/>
  <c r="K39" i="2" s="1"/>
  <c r="N40" i="2"/>
  <c r="K40" i="2" s="1"/>
  <c r="N41" i="2"/>
  <c r="K41" i="2" s="1"/>
  <c r="N42" i="2"/>
  <c r="K42" i="2" s="1"/>
  <c r="N43" i="2"/>
  <c r="K43" i="2" s="1"/>
  <c r="N44" i="2"/>
  <c r="K44" i="2" s="1"/>
  <c r="N45" i="2"/>
  <c r="K45" i="2" s="1"/>
  <c r="N46" i="2"/>
  <c r="K46" i="2" s="1"/>
  <c r="N47" i="2"/>
  <c r="K47" i="2" s="1"/>
  <c r="N48" i="2"/>
  <c r="K48" i="2" s="1"/>
  <c r="N49" i="2"/>
  <c r="K49" i="2" s="1"/>
  <c r="N50" i="2"/>
  <c r="K50" i="2" s="1"/>
  <c r="N51" i="2"/>
  <c r="K51" i="2" s="1"/>
  <c r="N52" i="2"/>
  <c r="K52" i="2" s="1"/>
  <c r="N53" i="2"/>
  <c r="K53" i="2" s="1"/>
  <c r="N54" i="2"/>
  <c r="K54" i="2" s="1"/>
  <c r="N55" i="2"/>
  <c r="K55" i="2" s="1"/>
  <c r="N56" i="2"/>
  <c r="K56" i="2" s="1"/>
  <c r="N57" i="2"/>
  <c r="K57" i="2" s="1"/>
  <c r="N58" i="2"/>
  <c r="K58" i="2" s="1"/>
  <c r="N59" i="2"/>
  <c r="K59" i="2" s="1"/>
  <c r="N60" i="2"/>
  <c r="K60" i="2" s="1"/>
  <c r="N61" i="2"/>
  <c r="K61" i="2" s="1"/>
  <c r="N62" i="2"/>
  <c r="K62" i="2" s="1"/>
  <c r="N63" i="2"/>
  <c r="K63" i="2" s="1"/>
  <c r="N64" i="2"/>
  <c r="K64" i="2" s="1"/>
  <c r="N65" i="2"/>
  <c r="K65" i="2" s="1"/>
  <c r="N66" i="2"/>
  <c r="K66" i="2" s="1"/>
  <c r="N67" i="2"/>
  <c r="K67" i="2" s="1"/>
  <c r="N68" i="2"/>
  <c r="K68" i="2" s="1"/>
  <c r="N69" i="2"/>
  <c r="K69" i="2" s="1"/>
  <c r="N70" i="2"/>
  <c r="K70" i="2" s="1"/>
  <c r="N71" i="2"/>
  <c r="K71" i="2" s="1"/>
  <c r="N72" i="2"/>
  <c r="K72" i="2" s="1"/>
  <c r="N73" i="2"/>
  <c r="K73" i="2" s="1"/>
  <c r="N74" i="2"/>
  <c r="K74" i="2" s="1"/>
  <c r="N75" i="2"/>
  <c r="K75" i="2" s="1"/>
  <c r="N76" i="2"/>
  <c r="K76" i="2" s="1"/>
  <c r="N77" i="2"/>
  <c r="K77" i="2" s="1"/>
  <c r="N78" i="2"/>
  <c r="K78" i="2" s="1"/>
  <c r="N79" i="2"/>
  <c r="K79" i="2" s="1"/>
  <c r="N80" i="2"/>
  <c r="K80" i="2" s="1"/>
  <c r="N81" i="2"/>
  <c r="K81" i="2" s="1"/>
  <c r="N82" i="2"/>
  <c r="K82" i="2" s="1"/>
  <c r="N83" i="2"/>
  <c r="K83" i="2" s="1"/>
  <c r="N84" i="2"/>
  <c r="K84" i="2" s="1"/>
  <c r="N85" i="2"/>
  <c r="K85" i="2" s="1"/>
  <c r="N86" i="2"/>
  <c r="K86" i="2" s="1"/>
  <c r="N87" i="2"/>
  <c r="K87" i="2" s="1"/>
  <c r="N88" i="2"/>
  <c r="K88" i="2" s="1"/>
  <c r="N89" i="2"/>
  <c r="K89" i="2" s="1"/>
  <c r="N90" i="2"/>
  <c r="K90" i="2" s="1"/>
  <c r="N91" i="2"/>
  <c r="K91" i="2" s="1"/>
  <c r="N92" i="2"/>
  <c r="K92" i="2" s="1"/>
  <c r="N93" i="2"/>
  <c r="K93" i="2" s="1"/>
  <c r="N94" i="2"/>
  <c r="K94" i="2" s="1"/>
  <c r="N95" i="2"/>
  <c r="K95" i="2" s="1"/>
  <c r="N96" i="2"/>
  <c r="K96" i="2" s="1"/>
  <c r="N97" i="2"/>
  <c r="K97" i="2" s="1"/>
  <c r="N98" i="2"/>
  <c r="K98" i="2" s="1"/>
  <c r="N99" i="2"/>
  <c r="K99" i="2" s="1"/>
  <c r="N100" i="2"/>
  <c r="K100" i="2" s="1"/>
  <c r="N101" i="2"/>
  <c r="K101" i="2" s="1"/>
  <c r="N102" i="2"/>
  <c r="K102" i="2" s="1"/>
  <c r="N103" i="2"/>
  <c r="K103" i="2" s="1"/>
  <c r="N104" i="2"/>
  <c r="K104" i="2" s="1"/>
  <c r="N105" i="2"/>
  <c r="K105" i="2" s="1"/>
  <c r="N106" i="2"/>
  <c r="K106" i="2" s="1"/>
  <c r="N107" i="2"/>
  <c r="K107" i="2" s="1"/>
  <c r="N108" i="2"/>
  <c r="K108" i="2" s="1"/>
  <c r="N109" i="2"/>
  <c r="K109" i="2" s="1"/>
  <c r="N110" i="2"/>
  <c r="K110" i="2" s="1"/>
  <c r="N111" i="2"/>
  <c r="K111" i="2" s="1"/>
  <c r="N112" i="2"/>
  <c r="K112" i="2" s="1"/>
  <c r="N113" i="2"/>
  <c r="K113" i="2" s="1"/>
  <c r="N114" i="2"/>
  <c r="K114" i="2" s="1"/>
  <c r="N115" i="2"/>
  <c r="K115" i="2" s="1"/>
  <c r="N116" i="2"/>
  <c r="K116" i="2" s="1"/>
  <c r="N117" i="2"/>
  <c r="K117" i="2" s="1"/>
  <c r="N118" i="2"/>
  <c r="K118" i="2" s="1"/>
  <c r="N119" i="2"/>
  <c r="K119" i="2" s="1"/>
  <c r="N120" i="2"/>
  <c r="K120" i="2" s="1"/>
  <c r="N121" i="2"/>
  <c r="K121" i="2" s="1"/>
  <c r="N122" i="2"/>
  <c r="K122" i="2" s="1"/>
  <c r="N123" i="2"/>
  <c r="K123" i="2" s="1"/>
  <c r="N124" i="2"/>
  <c r="K124" i="2" s="1"/>
  <c r="N125" i="2"/>
  <c r="K125" i="2" s="1"/>
  <c r="N126" i="2"/>
  <c r="K126" i="2" s="1"/>
  <c r="N127" i="2"/>
  <c r="K127" i="2" s="1"/>
  <c r="N128" i="2"/>
  <c r="K128" i="2" s="1"/>
  <c r="N129" i="2"/>
  <c r="K129" i="2" s="1"/>
  <c r="N130" i="2"/>
  <c r="K130" i="2" s="1"/>
  <c r="N131" i="2"/>
  <c r="K131" i="2" s="1"/>
  <c r="N132" i="2"/>
  <c r="K132" i="2" s="1"/>
  <c r="N133" i="2"/>
  <c r="K133" i="2" s="1"/>
  <c r="N134" i="2"/>
  <c r="K134" i="2" s="1"/>
  <c r="N135" i="2"/>
  <c r="K135" i="2" s="1"/>
  <c r="N136" i="2"/>
  <c r="K136" i="2" s="1"/>
  <c r="N137" i="2"/>
  <c r="K137" i="2" s="1"/>
  <c r="N138" i="2"/>
  <c r="K138" i="2" s="1"/>
  <c r="N139" i="2"/>
  <c r="K139" i="2" s="1"/>
  <c r="N140" i="2"/>
  <c r="K140" i="2" s="1"/>
  <c r="N141" i="2"/>
  <c r="K141" i="2" s="1"/>
  <c r="N142" i="2"/>
  <c r="K142" i="2" s="1"/>
  <c r="N143" i="2"/>
  <c r="K143" i="2" s="1"/>
  <c r="N144" i="2"/>
  <c r="K144" i="2" s="1"/>
  <c r="N145" i="2"/>
  <c r="K145" i="2" s="1"/>
  <c r="N146" i="2"/>
  <c r="K146" i="2" s="1"/>
  <c r="N147" i="2"/>
  <c r="K147" i="2" s="1"/>
  <c r="N148" i="2"/>
  <c r="K148" i="2" s="1"/>
  <c r="N149" i="2"/>
  <c r="K149" i="2" s="1"/>
  <c r="N150" i="2"/>
  <c r="K150" i="2" s="1"/>
  <c r="N151" i="2"/>
  <c r="K151" i="2" s="1"/>
  <c r="N152" i="2"/>
  <c r="K152" i="2" s="1"/>
  <c r="N153" i="2"/>
  <c r="K153" i="2" s="1"/>
  <c r="N154" i="2"/>
  <c r="K154" i="2" s="1"/>
  <c r="N155" i="2"/>
  <c r="K155" i="2" s="1"/>
  <c r="N156" i="2"/>
  <c r="K156" i="2" s="1"/>
  <c r="N157" i="2"/>
  <c r="K157" i="2" s="1"/>
  <c r="N158" i="2"/>
  <c r="K158" i="2" s="1"/>
  <c r="N159" i="2"/>
  <c r="K159" i="2" s="1"/>
  <c r="N160" i="2"/>
  <c r="K160" i="2" s="1"/>
  <c r="N161" i="2"/>
  <c r="K161" i="2" s="1"/>
  <c r="N162" i="2"/>
  <c r="K162" i="2" s="1"/>
  <c r="N163" i="2"/>
  <c r="K163" i="2" s="1"/>
  <c r="N164" i="2"/>
  <c r="K164" i="2" s="1"/>
  <c r="N165" i="2"/>
  <c r="K165" i="2" s="1"/>
  <c r="N166" i="2"/>
  <c r="K166" i="2" s="1"/>
  <c r="N167" i="2"/>
  <c r="K167" i="2" s="1"/>
  <c r="N168" i="2"/>
  <c r="K168" i="2" s="1"/>
  <c r="N169" i="2"/>
  <c r="K169" i="2" s="1"/>
  <c r="N170" i="2"/>
  <c r="K170" i="2" s="1"/>
  <c r="N171" i="2"/>
  <c r="K171" i="2" s="1"/>
  <c r="N172" i="2"/>
  <c r="K172" i="2" s="1"/>
  <c r="N173" i="2"/>
  <c r="K173" i="2" s="1"/>
  <c r="N174" i="2"/>
  <c r="K174" i="2" s="1"/>
  <c r="N175" i="2"/>
  <c r="K175" i="2" s="1"/>
  <c r="N176" i="2"/>
  <c r="K176" i="2" s="1"/>
  <c r="N177" i="2"/>
  <c r="K177" i="2" s="1"/>
  <c r="N178" i="2"/>
  <c r="K178" i="2" s="1"/>
  <c r="N179" i="2"/>
  <c r="K179" i="2" s="1"/>
  <c r="N180" i="2"/>
  <c r="K180" i="2" s="1"/>
  <c r="N181" i="2"/>
  <c r="K181" i="2" s="1"/>
  <c r="N182" i="2"/>
  <c r="K182" i="2" s="1"/>
  <c r="N183" i="2"/>
  <c r="K183" i="2" s="1"/>
  <c r="N184" i="2"/>
  <c r="K184" i="2" s="1"/>
  <c r="N185" i="2"/>
  <c r="K185" i="2" s="1"/>
  <c r="N186" i="2"/>
  <c r="K186" i="2" s="1"/>
  <c r="N187" i="2"/>
  <c r="K187" i="2" s="1"/>
  <c r="N188" i="2"/>
  <c r="K188" i="2" s="1"/>
  <c r="N189" i="2"/>
  <c r="K189" i="2" s="1"/>
  <c r="N190" i="2"/>
  <c r="K190" i="2" s="1"/>
  <c r="N191" i="2"/>
  <c r="K191" i="2" s="1"/>
  <c r="N192" i="2"/>
  <c r="K192" i="2" s="1"/>
  <c r="N193" i="2"/>
  <c r="K193" i="2" s="1"/>
  <c r="N194" i="2"/>
  <c r="K194" i="2" s="1"/>
  <c r="N195" i="2"/>
  <c r="K195" i="2" s="1"/>
  <c r="N196" i="2"/>
  <c r="K196" i="2" s="1"/>
  <c r="N197" i="2"/>
  <c r="K197" i="2" s="1"/>
  <c r="N198" i="2"/>
  <c r="K198" i="2" s="1"/>
  <c r="N199" i="2"/>
  <c r="K199" i="2" s="1"/>
  <c r="N200" i="2"/>
  <c r="K200" i="2" s="1"/>
  <c r="N201" i="2"/>
  <c r="K201" i="2" s="1"/>
  <c r="N202" i="2"/>
  <c r="K202" i="2" s="1"/>
  <c r="N203" i="2"/>
  <c r="K203" i="2" s="1"/>
  <c r="N204" i="2"/>
  <c r="K204" i="2" s="1"/>
  <c r="N205" i="2"/>
  <c r="K205" i="2" s="1"/>
  <c r="N206" i="2"/>
  <c r="K206" i="2" s="1"/>
  <c r="N207" i="2"/>
  <c r="K207" i="2" s="1"/>
  <c r="N208" i="2"/>
  <c r="K208" i="2" s="1"/>
  <c r="N209" i="2"/>
  <c r="K209" i="2" s="1"/>
  <c r="N210" i="2"/>
  <c r="K210" i="2" s="1"/>
  <c r="N211" i="2"/>
  <c r="K211" i="2" s="1"/>
  <c r="N212" i="2"/>
  <c r="K212" i="2" s="1"/>
  <c r="N213" i="2"/>
  <c r="K213" i="2" s="1"/>
  <c r="N214" i="2"/>
  <c r="K214" i="2" s="1"/>
  <c r="N215" i="2"/>
  <c r="K215" i="2" s="1"/>
  <c r="N216" i="2"/>
  <c r="K216" i="2" s="1"/>
  <c r="N217" i="2"/>
  <c r="K217" i="2" s="1"/>
  <c r="N218" i="2"/>
  <c r="K218" i="2" s="1"/>
  <c r="N219" i="2"/>
  <c r="K219" i="2" s="1"/>
  <c r="N220" i="2"/>
  <c r="K220" i="2" s="1"/>
  <c r="N221" i="2"/>
  <c r="K221" i="2" s="1"/>
  <c r="N222" i="2"/>
  <c r="K222" i="2" s="1"/>
  <c r="N223" i="2"/>
  <c r="K223" i="2" s="1"/>
  <c r="N224" i="2"/>
  <c r="K224" i="2" s="1"/>
  <c r="N225" i="2"/>
  <c r="K225" i="2" s="1"/>
  <c r="N226" i="2"/>
  <c r="K226" i="2" s="1"/>
  <c r="N227" i="2"/>
  <c r="K227" i="2" s="1"/>
  <c r="N228" i="2"/>
  <c r="K228" i="2" s="1"/>
  <c r="N229" i="2"/>
  <c r="K229" i="2" s="1"/>
  <c r="N230" i="2"/>
  <c r="K230" i="2" s="1"/>
  <c r="N231" i="2"/>
  <c r="K231" i="2" s="1"/>
  <c r="N232" i="2"/>
  <c r="K232" i="2" s="1"/>
  <c r="N233" i="2"/>
  <c r="K233" i="2" s="1"/>
  <c r="N234" i="2"/>
  <c r="K234" i="2" s="1"/>
  <c r="N235" i="2"/>
  <c r="K235" i="2" s="1"/>
  <c r="N236" i="2"/>
  <c r="K236" i="2" s="1"/>
  <c r="N237" i="2"/>
  <c r="K237" i="2" s="1"/>
  <c r="N238" i="2"/>
  <c r="K238" i="2" s="1"/>
  <c r="N239" i="2"/>
  <c r="K239" i="2" s="1"/>
  <c r="N240" i="2"/>
  <c r="K240" i="2" s="1"/>
  <c r="N241" i="2"/>
  <c r="K241" i="2" s="1"/>
  <c r="N242" i="2"/>
  <c r="K242" i="2" s="1"/>
  <c r="N243" i="2"/>
  <c r="K243" i="2" s="1"/>
  <c r="N244" i="2"/>
  <c r="K244" i="2" s="1"/>
  <c r="N245" i="2"/>
  <c r="K245" i="2" s="1"/>
  <c r="N246" i="2"/>
  <c r="K246" i="2" s="1"/>
  <c r="N247" i="2"/>
  <c r="K247" i="2" s="1"/>
  <c r="N248" i="2"/>
  <c r="K248" i="2" s="1"/>
  <c r="N249" i="2"/>
  <c r="K249" i="2" s="1"/>
  <c r="N250" i="2"/>
  <c r="K250" i="2" s="1"/>
  <c r="N251" i="2"/>
  <c r="K251" i="2" s="1"/>
  <c r="N252" i="2"/>
  <c r="K252" i="2" s="1"/>
  <c r="N253" i="2"/>
  <c r="K253" i="2" s="1"/>
  <c r="N254" i="2"/>
  <c r="K254" i="2" s="1"/>
  <c r="N255" i="2"/>
  <c r="K255" i="2" s="1"/>
  <c r="N256" i="2"/>
  <c r="K256" i="2" s="1"/>
  <c r="N257" i="2"/>
  <c r="K257" i="2" s="1"/>
  <c r="N258" i="2"/>
  <c r="K258" i="2" s="1"/>
  <c r="N259" i="2"/>
  <c r="K259" i="2" s="1"/>
  <c r="N260" i="2"/>
  <c r="K260" i="2" s="1"/>
  <c r="N261" i="2"/>
  <c r="K261" i="2" s="1"/>
  <c r="N262" i="2"/>
  <c r="K262" i="2" s="1"/>
  <c r="N263" i="2"/>
  <c r="K263" i="2" s="1"/>
  <c r="N264" i="2"/>
  <c r="K264" i="2" s="1"/>
  <c r="N265" i="2"/>
  <c r="K265" i="2" s="1"/>
  <c r="N266" i="2"/>
  <c r="K266" i="2" s="1"/>
  <c r="N267" i="2"/>
  <c r="K267" i="2" s="1"/>
  <c r="N268" i="2"/>
  <c r="K268" i="2" s="1"/>
  <c r="N269" i="2"/>
  <c r="K269" i="2" s="1"/>
  <c r="N270" i="2"/>
  <c r="K270" i="2" s="1"/>
  <c r="N271" i="2"/>
  <c r="K271" i="2" s="1"/>
  <c r="N272" i="2"/>
  <c r="K272" i="2" s="1"/>
  <c r="N273" i="2"/>
  <c r="K273" i="2" s="1"/>
  <c r="N274" i="2"/>
  <c r="K274" i="2" s="1"/>
  <c r="N275" i="2"/>
  <c r="K275" i="2" s="1"/>
  <c r="N276" i="2"/>
  <c r="K276" i="2" s="1"/>
  <c r="N277" i="2"/>
  <c r="K277" i="2" s="1"/>
  <c r="N278" i="2"/>
  <c r="K278" i="2" s="1"/>
  <c r="N279" i="2"/>
  <c r="K279" i="2" s="1"/>
  <c r="N280" i="2"/>
  <c r="K280" i="2" s="1"/>
  <c r="N281" i="2"/>
  <c r="K281" i="2" s="1"/>
  <c r="N282" i="2"/>
  <c r="K282" i="2" s="1"/>
  <c r="N283" i="2"/>
  <c r="K283" i="2" s="1"/>
  <c r="N284" i="2"/>
  <c r="K284" i="2" s="1"/>
  <c r="N285" i="2"/>
  <c r="K285" i="2" s="1"/>
  <c r="N286" i="2"/>
  <c r="K286" i="2" s="1"/>
  <c r="N287" i="2"/>
  <c r="K287" i="2" s="1"/>
  <c r="N288" i="2"/>
  <c r="K288" i="2" s="1"/>
  <c r="N289" i="2"/>
  <c r="K289" i="2" s="1"/>
  <c r="N290" i="2"/>
  <c r="K290" i="2" s="1"/>
  <c r="N291" i="2"/>
  <c r="K291" i="2" s="1"/>
  <c r="N292" i="2"/>
  <c r="K292" i="2" s="1"/>
  <c r="N293" i="2"/>
  <c r="K293" i="2" s="1"/>
  <c r="N294" i="2"/>
  <c r="K294" i="2" s="1"/>
  <c r="N295" i="2"/>
  <c r="K295" i="2" s="1"/>
  <c r="N296" i="2"/>
  <c r="K296" i="2" s="1"/>
  <c r="N297" i="2"/>
  <c r="K297" i="2" s="1"/>
  <c r="N298" i="2"/>
  <c r="K298" i="2" s="1"/>
  <c r="N299" i="2"/>
  <c r="K299" i="2" s="1"/>
  <c r="N300" i="2"/>
  <c r="K300" i="2" s="1"/>
  <c r="N301" i="2"/>
  <c r="K301" i="2" s="1"/>
  <c r="N302" i="2"/>
  <c r="K302" i="2" s="1"/>
  <c r="N303" i="2"/>
  <c r="K303" i="2" s="1"/>
  <c r="N304" i="2"/>
  <c r="K304" i="2" s="1"/>
  <c r="N305" i="2"/>
  <c r="K305" i="2" s="1"/>
  <c r="N306" i="2"/>
  <c r="K306" i="2" s="1"/>
  <c r="N307" i="2"/>
  <c r="K307" i="2" s="1"/>
  <c r="N308" i="2"/>
  <c r="K308" i="2" s="1"/>
  <c r="N309" i="2"/>
  <c r="K309" i="2" s="1"/>
  <c r="N310" i="2"/>
  <c r="K310" i="2" s="1"/>
  <c r="N311" i="2"/>
  <c r="K311" i="2" s="1"/>
  <c r="N312" i="2"/>
  <c r="K312" i="2" s="1"/>
  <c r="N313" i="2"/>
  <c r="K313" i="2" s="1"/>
  <c r="N314" i="2"/>
  <c r="K314" i="2" s="1"/>
  <c r="N315" i="2"/>
  <c r="K315" i="2" s="1"/>
  <c r="N316" i="2"/>
  <c r="K316" i="2" s="1"/>
  <c r="N317" i="2"/>
  <c r="K317" i="2" s="1"/>
  <c r="N318" i="2"/>
  <c r="K318" i="2" s="1"/>
  <c r="N319" i="2"/>
  <c r="K319" i="2" s="1"/>
  <c r="N320" i="2"/>
  <c r="K320" i="2" s="1"/>
  <c r="N321" i="2"/>
  <c r="K321" i="2" s="1"/>
  <c r="N322" i="2"/>
  <c r="K322" i="2" s="1"/>
  <c r="N323" i="2"/>
  <c r="K323" i="2" s="1"/>
  <c r="N324" i="2"/>
  <c r="K324" i="2" s="1"/>
  <c r="N325" i="2"/>
  <c r="K325" i="2" s="1"/>
  <c r="N326" i="2"/>
  <c r="K326" i="2" s="1"/>
  <c r="N327" i="2"/>
  <c r="K327" i="2" s="1"/>
  <c r="N328" i="2"/>
  <c r="K328" i="2" s="1"/>
  <c r="N329" i="2"/>
  <c r="K329" i="2" s="1"/>
  <c r="N330" i="2"/>
  <c r="K330" i="2" s="1"/>
  <c r="N331" i="2"/>
  <c r="K331" i="2" s="1"/>
  <c r="N332" i="2"/>
  <c r="K332" i="2" s="1"/>
  <c r="N333" i="2"/>
  <c r="K333" i="2" s="1"/>
  <c r="N334" i="2"/>
  <c r="K334" i="2" s="1"/>
  <c r="N335" i="2"/>
  <c r="K335" i="2" s="1"/>
  <c r="N336" i="2"/>
  <c r="K336" i="2" s="1"/>
  <c r="N337" i="2"/>
  <c r="K337" i="2" s="1"/>
  <c r="N338" i="2"/>
  <c r="K338" i="2" s="1"/>
  <c r="N339" i="2"/>
  <c r="K339" i="2" s="1"/>
  <c r="N340" i="2"/>
  <c r="K340" i="2" s="1"/>
  <c r="N341" i="2"/>
  <c r="K341" i="2" s="1"/>
  <c r="N342" i="2"/>
  <c r="K342" i="2" s="1"/>
  <c r="N343" i="2"/>
  <c r="K343" i="2" s="1"/>
  <c r="N344" i="2"/>
  <c r="K344" i="2" s="1"/>
  <c r="N345" i="2"/>
  <c r="K345" i="2" s="1"/>
  <c r="N346" i="2"/>
  <c r="K346" i="2" s="1"/>
  <c r="N347" i="2"/>
  <c r="K347" i="2" s="1"/>
  <c r="N348" i="2"/>
  <c r="K348" i="2" s="1"/>
  <c r="N349" i="2"/>
  <c r="K349" i="2" s="1"/>
  <c r="N350" i="2"/>
  <c r="K350" i="2" s="1"/>
  <c r="N351" i="2"/>
  <c r="K351" i="2" s="1"/>
  <c r="N352" i="2"/>
  <c r="K352" i="2" s="1"/>
  <c r="N353" i="2"/>
  <c r="K353" i="2" s="1"/>
  <c r="N354" i="2"/>
  <c r="K354" i="2" s="1"/>
  <c r="N355" i="2"/>
  <c r="K355" i="2" s="1"/>
  <c r="N356" i="2"/>
  <c r="K356" i="2" s="1"/>
  <c r="N357" i="2"/>
  <c r="K357" i="2" s="1"/>
  <c r="N358" i="2"/>
  <c r="K358" i="2" s="1"/>
  <c r="N359" i="2"/>
  <c r="K359" i="2" s="1"/>
  <c r="N360" i="2"/>
  <c r="K360" i="2" s="1"/>
  <c r="N361" i="2"/>
  <c r="K361" i="2" s="1"/>
  <c r="N362" i="2"/>
  <c r="K362" i="2" s="1"/>
  <c r="N363" i="2"/>
  <c r="K363" i="2" s="1"/>
  <c r="N364" i="2"/>
  <c r="K364" i="2" s="1"/>
  <c r="N365" i="2"/>
  <c r="K365" i="2" s="1"/>
  <c r="N366" i="2"/>
  <c r="K366" i="2" s="1"/>
  <c r="N367" i="2"/>
  <c r="K367" i="2" s="1"/>
  <c r="N368" i="2"/>
  <c r="K368" i="2" s="1"/>
  <c r="N369" i="2"/>
  <c r="K369" i="2" s="1"/>
  <c r="N370" i="2"/>
  <c r="K370" i="2" s="1"/>
  <c r="N371" i="2"/>
  <c r="K371" i="2" s="1"/>
  <c r="N372" i="2"/>
  <c r="K372" i="2" s="1"/>
  <c r="N373" i="2"/>
  <c r="K373" i="2" s="1"/>
  <c r="N374" i="2"/>
  <c r="K374" i="2" s="1"/>
  <c r="N375" i="2"/>
  <c r="K375" i="2" s="1"/>
  <c r="N376" i="2"/>
  <c r="K376" i="2" s="1"/>
  <c r="N377" i="2"/>
  <c r="K377" i="2" s="1"/>
  <c r="N378" i="2"/>
  <c r="K378" i="2" s="1"/>
  <c r="N379" i="2"/>
  <c r="K379" i="2" s="1"/>
  <c r="N380" i="2"/>
  <c r="K380" i="2" s="1"/>
  <c r="N381" i="2"/>
  <c r="K381" i="2" s="1"/>
  <c r="N382" i="2"/>
  <c r="K382" i="2" s="1"/>
  <c r="N383" i="2"/>
  <c r="K383" i="2" s="1"/>
  <c r="N384" i="2"/>
  <c r="K384" i="2" s="1"/>
  <c r="N385" i="2"/>
  <c r="K385" i="2" s="1"/>
  <c r="N386" i="2"/>
  <c r="K386" i="2" s="1"/>
  <c r="N387" i="2"/>
  <c r="K387" i="2" s="1"/>
  <c r="N388" i="2"/>
  <c r="K388" i="2" s="1"/>
  <c r="N389" i="2"/>
  <c r="K389" i="2" s="1"/>
  <c r="N390" i="2"/>
  <c r="K390" i="2" s="1"/>
  <c r="N391" i="2"/>
  <c r="K391" i="2" s="1"/>
  <c r="N392" i="2"/>
  <c r="K392" i="2" s="1"/>
  <c r="N393" i="2"/>
  <c r="K393" i="2" s="1"/>
  <c r="N394" i="2"/>
  <c r="K394" i="2" s="1"/>
  <c r="N395" i="2"/>
  <c r="K395" i="2" s="1"/>
  <c r="N396" i="2"/>
  <c r="K396" i="2" s="1"/>
  <c r="N397" i="2"/>
  <c r="K397" i="2" s="1"/>
  <c r="N398" i="2"/>
  <c r="K398" i="2" s="1"/>
  <c r="N399" i="2"/>
  <c r="K399" i="2" s="1"/>
  <c r="N400" i="2"/>
  <c r="K400" i="2" s="1"/>
  <c r="N401" i="2"/>
  <c r="K401" i="2" s="1"/>
  <c r="N402" i="2"/>
  <c r="K402" i="2" s="1"/>
  <c r="N403" i="2"/>
  <c r="K403" i="2" s="1"/>
  <c r="N404" i="2"/>
  <c r="K404" i="2" s="1"/>
  <c r="N405" i="2"/>
  <c r="K405" i="2" s="1"/>
  <c r="N406" i="2"/>
  <c r="K406" i="2" s="1"/>
  <c r="N407" i="2"/>
  <c r="K407" i="2" s="1"/>
  <c r="N408" i="2"/>
  <c r="K408" i="2" s="1"/>
  <c r="N409" i="2"/>
  <c r="K409" i="2" s="1"/>
  <c r="N410" i="2"/>
  <c r="K410" i="2" s="1"/>
  <c r="N411" i="2"/>
  <c r="K411" i="2" s="1"/>
  <c r="N412" i="2"/>
  <c r="K412" i="2" s="1"/>
  <c r="N413" i="2"/>
  <c r="K413" i="2" s="1"/>
  <c r="N414" i="2"/>
  <c r="K414" i="2" s="1"/>
  <c r="N415" i="2"/>
  <c r="K415" i="2" s="1"/>
  <c r="N416" i="2"/>
  <c r="K416" i="2" s="1"/>
  <c r="N417" i="2"/>
  <c r="K417" i="2" s="1"/>
  <c r="N418" i="2"/>
  <c r="K418" i="2" s="1"/>
  <c r="N419" i="2"/>
  <c r="K419" i="2" s="1"/>
  <c r="N420" i="2"/>
  <c r="K420" i="2" s="1"/>
  <c r="N421" i="2"/>
  <c r="K421" i="2" s="1"/>
  <c r="N422" i="2"/>
  <c r="K422" i="2" s="1"/>
  <c r="N423" i="2"/>
  <c r="K423" i="2" s="1"/>
  <c r="N424" i="2"/>
  <c r="K424" i="2" s="1"/>
  <c r="N425" i="2"/>
  <c r="K425" i="2" s="1"/>
  <c r="N426" i="2"/>
  <c r="K426" i="2" s="1"/>
  <c r="N427" i="2"/>
  <c r="K427" i="2" s="1"/>
  <c r="N428" i="2"/>
  <c r="K428" i="2" s="1"/>
  <c r="N429" i="2"/>
  <c r="K429" i="2" s="1"/>
  <c r="N430" i="2"/>
  <c r="K430" i="2" s="1"/>
  <c r="N431" i="2"/>
  <c r="K431" i="2" s="1"/>
  <c r="N432" i="2"/>
  <c r="K432" i="2" s="1"/>
  <c r="N433" i="2"/>
  <c r="K433" i="2" s="1"/>
  <c r="N434" i="2"/>
  <c r="K434" i="2" s="1"/>
  <c r="N435" i="2"/>
  <c r="K435" i="2" s="1"/>
  <c r="N436" i="2"/>
  <c r="K436" i="2" s="1"/>
  <c r="N437" i="2"/>
  <c r="K437" i="2" s="1"/>
  <c r="N438" i="2"/>
  <c r="K438" i="2" s="1"/>
  <c r="N439" i="2"/>
  <c r="K439" i="2" s="1"/>
  <c r="N440" i="2"/>
  <c r="K440" i="2" s="1"/>
  <c r="N441" i="2"/>
  <c r="K441" i="2" s="1"/>
  <c r="N442" i="2"/>
  <c r="K442" i="2" s="1"/>
  <c r="N443" i="2"/>
  <c r="K443" i="2" s="1"/>
  <c r="N444" i="2"/>
  <c r="K444" i="2" s="1"/>
  <c r="N445" i="2"/>
  <c r="K445" i="2" s="1"/>
  <c r="N446" i="2"/>
  <c r="K446" i="2" s="1"/>
  <c r="N447" i="2"/>
  <c r="K447" i="2" s="1"/>
  <c r="N448" i="2"/>
  <c r="K448" i="2" s="1"/>
  <c r="N449" i="2"/>
  <c r="K449" i="2" s="1"/>
  <c r="N450" i="2"/>
  <c r="K450" i="2" s="1"/>
  <c r="N451" i="2"/>
  <c r="K451" i="2" s="1"/>
  <c r="N452" i="2"/>
  <c r="K452" i="2" s="1"/>
  <c r="N453" i="2"/>
  <c r="K453" i="2" s="1"/>
  <c r="N454" i="2"/>
  <c r="K454" i="2" s="1"/>
  <c r="N455" i="2"/>
  <c r="K455" i="2" s="1"/>
  <c r="N456" i="2"/>
  <c r="K456" i="2" s="1"/>
  <c r="N457" i="2"/>
  <c r="K457" i="2" s="1"/>
  <c r="N458" i="2"/>
  <c r="K458" i="2" s="1"/>
  <c r="O10" i="2"/>
  <c r="L10" i="2" s="1"/>
  <c r="O11" i="2"/>
  <c r="L11" i="2" s="1"/>
  <c r="O12" i="2"/>
  <c r="L12" i="2" s="1"/>
  <c r="O13" i="2"/>
  <c r="L13" i="2" s="1"/>
  <c r="O14" i="2"/>
  <c r="L14" i="2" s="1"/>
  <c r="O15" i="2"/>
  <c r="L15" i="2" s="1"/>
  <c r="O16" i="2"/>
  <c r="L16" i="2" s="1"/>
  <c r="O17" i="2"/>
  <c r="L17" i="2" s="1"/>
  <c r="O18" i="2"/>
  <c r="L18" i="2" s="1"/>
  <c r="O19" i="2"/>
  <c r="L19" i="2" s="1"/>
  <c r="O20" i="2"/>
  <c r="L20" i="2" s="1"/>
  <c r="O21" i="2"/>
  <c r="L21" i="2" s="1"/>
  <c r="O22" i="2"/>
  <c r="L22" i="2" s="1"/>
  <c r="O23" i="2"/>
  <c r="L23" i="2" s="1"/>
  <c r="O24" i="2"/>
  <c r="L24" i="2" s="1"/>
  <c r="O25" i="2"/>
  <c r="L25" i="2" s="1"/>
  <c r="O26" i="2"/>
  <c r="L26" i="2" s="1"/>
  <c r="O27" i="2"/>
  <c r="L27" i="2" s="1"/>
  <c r="O28" i="2"/>
  <c r="L28" i="2" s="1"/>
  <c r="O29" i="2"/>
  <c r="L29" i="2" s="1"/>
  <c r="O30" i="2"/>
  <c r="L30" i="2" s="1"/>
  <c r="O31" i="2"/>
  <c r="L31" i="2" s="1"/>
  <c r="O32" i="2"/>
  <c r="L32" i="2" s="1"/>
  <c r="O33" i="2"/>
  <c r="L33" i="2" s="1"/>
  <c r="O34" i="2"/>
  <c r="L34" i="2" s="1"/>
  <c r="O35" i="2"/>
  <c r="L35" i="2" s="1"/>
  <c r="O36" i="2"/>
  <c r="L36" i="2" s="1"/>
  <c r="O37" i="2"/>
  <c r="L37" i="2" s="1"/>
  <c r="O38" i="2"/>
  <c r="L38" i="2" s="1"/>
  <c r="O39" i="2"/>
  <c r="L39" i="2" s="1"/>
  <c r="O40" i="2"/>
  <c r="L40" i="2" s="1"/>
  <c r="O41" i="2"/>
  <c r="L41" i="2" s="1"/>
  <c r="O42" i="2"/>
  <c r="L42" i="2" s="1"/>
  <c r="O43" i="2"/>
  <c r="L43" i="2" s="1"/>
  <c r="O44" i="2"/>
  <c r="L44" i="2" s="1"/>
  <c r="O45" i="2"/>
  <c r="L45" i="2" s="1"/>
  <c r="O46" i="2"/>
  <c r="L46" i="2" s="1"/>
  <c r="O47" i="2"/>
  <c r="L47" i="2" s="1"/>
  <c r="O48" i="2"/>
  <c r="L48" i="2" s="1"/>
  <c r="O49" i="2"/>
  <c r="L49" i="2" s="1"/>
  <c r="O50" i="2"/>
  <c r="L50" i="2" s="1"/>
  <c r="O51" i="2"/>
  <c r="L51" i="2" s="1"/>
  <c r="O52" i="2"/>
  <c r="L52" i="2" s="1"/>
  <c r="O53" i="2"/>
  <c r="L53" i="2" s="1"/>
  <c r="O54" i="2"/>
  <c r="L54" i="2" s="1"/>
  <c r="O55" i="2"/>
  <c r="L55" i="2" s="1"/>
  <c r="O56" i="2"/>
  <c r="L56" i="2" s="1"/>
  <c r="O57" i="2"/>
  <c r="L57" i="2" s="1"/>
  <c r="O58" i="2"/>
  <c r="L58" i="2" s="1"/>
  <c r="O59" i="2"/>
  <c r="L59" i="2" s="1"/>
  <c r="O60" i="2"/>
  <c r="L60" i="2" s="1"/>
  <c r="O61" i="2"/>
  <c r="L61" i="2" s="1"/>
  <c r="O62" i="2"/>
  <c r="L62" i="2" s="1"/>
  <c r="O63" i="2"/>
  <c r="L63" i="2" s="1"/>
  <c r="O64" i="2"/>
  <c r="L64" i="2" s="1"/>
  <c r="O65" i="2"/>
  <c r="L65" i="2" s="1"/>
  <c r="O66" i="2"/>
  <c r="L66" i="2" s="1"/>
  <c r="O67" i="2"/>
  <c r="L67" i="2" s="1"/>
  <c r="O68" i="2"/>
  <c r="L68" i="2" s="1"/>
  <c r="O69" i="2"/>
  <c r="L69" i="2" s="1"/>
  <c r="O70" i="2"/>
  <c r="L70" i="2" s="1"/>
  <c r="O71" i="2"/>
  <c r="L71" i="2" s="1"/>
  <c r="O72" i="2"/>
  <c r="L72" i="2" s="1"/>
  <c r="O73" i="2"/>
  <c r="L73" i="2" s="1"/>
  <c r="O74" i="2"/>
  <c r="L74" i="2" s="1"/>
  <c r="O75" i="2"/>
  <c r="L75" i="2" s="1"/>
  <c r="O76" i="2"/>
  <c r="L76" i="2" s="1"/>
  <c r="O77" i="2"/>
  <c r="L77" i="2" s="1"/>
  <c r="O78" i="2"/>
  <c r="L78" i="2" s="1"/>
  <c r="O79" i="2"/>
  <c r="L79" i="2" s="1"/>
  <c r="O80" i="2"/>
  <c r="L80" i="2" s="1"/>
  <c r="O81" i="2"/>
  <c r="L81" i="2" s="1"/>
  <c r="O82" i="2"/>
  <c r="L82" i="2" s="1"/>
  <c r="O83" i="2"/>
  <c r="L83" i="2" s="1"/>
  <c r="O84" i="2"/>
  <c r="L84" i="2" s="1"/>
  <c r="O85" i="2"/>
  <c r="L85" i="2" s="1"/>
  <c r="O86" i="2"/>
  <c r="L86" i="2" s="1"/>
  <c r="O87" i="2"/>
  <c r="L87" i="2" s="1"/>
  <c r="O88" i="2"/>
  <c r="L88" i="2" s="1"/>
  <c r="O89" i="2"/>
  <c r="L89" i="2" s="1"/>
  <c r="O90" i="2"/>
  <c r="L90" i="2" s="1"/>
  <c r="O91" i="2"/>
  <c r="L91" i="2" s="1"/>
  <c r="O92" i="2"/>
  <c r="L92" i="2" s="1"/>
  <c r="O93" i="2"/>
  <c r="L93" i="2" s="1"/>
  <c r="O94" i="2"/>
  <c r="L94" i="2" s="1"/>
  <c r="O95" i="2"/>
  <c r="L95" i="2" s="1"/>
  <c r="O96" i="2"/>
  <c r="L96" i="2" s="1"/>
  <c r="O97" i="2"/>
  <c r="L97" i="2" s="1"/>
  <c r="O98" i="2"/>
  <c r="L98" i="2" s="1"/>
  <c r="O99" i="2"/>
  <c r="L99" i="2" s="1"/>
  <c r="O100" i="2"/>
  <c r="L100" i="2" s="1"/>
  <c r="O101" i="2"/>
  <c r="L101" i="2" s="1"/>
  <c r="O102" i="2"/>
  <c r="L102" i="2" s="1"/>
  <c r="O103" i="2"/>
  <c r="L103" i="2" s="1"/>
  <c r="O104" i="2"/>
  <c r="L104" i="2" s="1"/>
  <c r="O105" i="2"/>
  <c r="L105" i="2" s="1"/>
  <c r="O106" i="2"/>
  <c r="L106" i="2" s="1"/>
  <c r="O107" i="2"/>
  <c r="L107" i="2" s="1"/>
  <c r="O108" i="2"/>
  <c r="L108" i="2" s="1"/>
  <c r="O109" i="2"/>
  <c r="L109" i="2" s="1"/>
  <c r="O110" i="2"/>
  <c r="L110" i="2" s="1"/>
  <c r="O111" i="2"/>
  <c r="L111" i="2"/>
  <c r="O112" i="2"/>
  <c r="L112" i="2" s="1"/>
  <c r="O113" i="2"/>
  <c r="L113" i="2" s="1"/>
  <c r="O114" i="2"/>
  <c r="L114" i="2" s="1"/>
  <c r="O115" i="2"/>
  <c r="L115" i="2" s="1"/>
  <c r="O116" i="2"/>
  <c r="L116" i="2" s="1"/>
  <c r="O117" i="2"/>
  <c r="L117" i="2" s="1"/>
  <c r="O118" i="2"/>
  <c r="L118" i="2" s="1"/>
  <c r="O119" i="2"/>
  <c r="L119" i="2" s="1"/>
  <c r="O120" i="2"/>
  <c r="L120" i="2" s="1"/>
  <c r="O121" i="2"/>
  <c r="L121" i="2" s="1"/>
  <c r="O122" i="2"/>
  <c r="L122" i="2" s="1"/>
  <c r="O123" i="2"/>
  <c r="L123" i="2" s="1"/>
  <c r="O124" i="2"/>
  <c r="L124" i="2" s="1"/>
  <c r="O125" i="2"/>
  <c r="L125" i="2" s="1"/>
  <c r="O126" i="2"/>
  <c r="L126" i="2" s="1"/>
  <c r="O127" i="2"/>
  <c r="L127" i="2" s="1"/>
  <c r="O128" i="2"/>
  <c r="L128" i="2" s="1"/>
  <c r="O129" i="2"/>
  <c r="L129" i="2" s="1"/>
  <c r="O130" i="2"/>
  <c r="L130" i="2" s="1"/>
  <c r="O131" i="2"/>
  <c r="L131" i="2" s="1"/>
  <c r="O132" i="2"/>
  <c r="L132" i="2" s="1"/>
  <c r="O133" i="2"/>
  <c r="L133" i="2" s="1"/>
  <c r="O134" i="2"/>
  <c r="L134" i="2" s="1"/>
  <c r="O135" i="2"/>
  <c r="L135" i="2" s="1"/>
  <c r="O136" i="2"/>
  <c r="L136" i="2" s="1"/>
  <c r="O137" i="2"/>
  <c r="L137" i="2" s="1"/>
  <c r="O138" i="2"/>
  <c r="L138" i="2" s="1"/>
  <c r="O139" i="2"/>
  <c r="L139" i="2" s="1"/>
  <c r="O140" i="2"/>
  <c r="L140" i="2" s="1"/>
  <c r="O141" i="2"/>
  <c r="L141" i="2" s="1"/>
  <c r="O142" i="2"/>
  <c r="L142" i="2" s="1"/>
  <c r="O143" i="2"/>
  <c r="L143" i="2" s="1"/>
  <c r="O144" i="2"/>
  <c r="L144" i="2" s="1"/>
  <c r="O145" i="2"/>
  <c r="L145" i="2" s="1"/>
  <c r="O146" i="2"/>
  <c r="L146" i="2" s="1"/>
  <c r="O147" i="2"/>
  <c r="L147" i="2" s="1"/>
  <c r="O148" i="2"/>
  <c r="L148" i="2" s="1"/>
  <c r="O149" i="2"/>
  <c r="L149" i="2" s="1"/>
  <c r="O150" i="2"/>
  <c r="L150" i="2" s="1"/>
  <c r="O151" i="2"/>
  <c r="L151" i="2" s="1"/>
  <c r="O152" i="2"/>
  <c r="L152" i="2" s="1"/>
  <c r="O153" i="2"/>
  <c r="L153" i="2" s="1"/>
  <c r="O154" i="2"/>
  <c r="L154" i="2" s="1"/>
  <c r="O155" i="2"/>
  <c r="L155" i="2"/>
  <c r="O156" i="2"/>
  <c r="L156" i="2" s="1"/>
  <c r="O157" i="2"/>
  <c r="L157" i="2" s="1"/>
  <c r="O158" i="2"/>
  <c r="L158" i="2" s="1"/>
  <c r="O159" i="2"/>
  <c r="L159" i="2" s="1"/>
  <c r="O160" i="2"/>
  <c r="L160" i="2" s="1"/>
  <c r="O161" i="2"/>
  <c r="L161" i="2" s="1"/>
  <c r="O162" i="2"/>
  <c r="L162" i="2" s="1"/>
  <c r="O163" i="2"/>
  <c r="L163" i="2" s="1"/>
  <c r="O164" i="2"/>
  <c r="L164" i="2" s="1"/>
  <c r="O165" i="2"/>
  <c r="L165" i="2" s="1"/>
  <c r="O166" i="2"/>
  <c r="L166" i="2" s="1"/>
  <c r="O167" i="2"/>
  <c r="L167" i="2"/>
  <c r="O168" i="2"/>
  <c r="L168" i="2" s="1"/>
  <c r="O169" i="2"/>
  <c r="L169" i="2" s="1"/>
  <c r="O170" i="2"/>
  <c r="L170" i="2" s="1"/>
  <c r="O171" i="2"/>
  <c r="L171" i="2" s="1"/>
  <c r="O172" i="2"/>
  <c r="L172" i="2" s="1"/>
  <c r="O173" i="2"/>
  <c r="L173" i="2" s="1"/>
  <c r="O174" i="2"/>
  <c r="L174" i="2" s="1"/>
  <c r="O175" i="2"/>
  <c r="L175" i="2" s="1"/>
  <c r="O176" i="2"/>
  <c r="L176" i="2" s="1"/>
  <c r="O177" i="2"/>
  <c r="L177" i="2" s="1"/>
  <c r="O178" i="2"/>
  <c r="L178" i="2" s="1"/>
  <c r="O179" i="2"/>
  <c r="L179" i="2" s="1"/>
  <c r="O180" i="2"/>
  <c r="L180" i="2" s="1"/>
  <c r="O181" i="2"/>
  <c r="L181" i="2" s="1"/>
  <c r="O182" i="2"/>
  <c r="L182" i="2" s="1"/>
  <c r="O183" i="2"/>
  <c r="L183" i="2" s="1"/>
  <c r="O184" i="2"/>
  <c r="L184" i="2" s="1"/>
  <c r="O185" i="2"/>
  <c r="L185" i="2" s="1"/>
  <c r="O186" i="2"/>
  <c r="L186" i="2" s="1"/>
  <c r="O187" i="2"/>
  <c r="L187" i="2" s="1"/>
  <c r="O188" i="2"/>
  <c r="L188" i="2" s="1"/>
  <c r="O189" i="2"/>
  <c r="L189" i="2" s="1"/>
  <c r="O190" i="2"/>
  <c r="L190" i="2" s="1"/>
  <c r="O191" i="2"/>
  <c r="L191" i="2" s="1"/>
  <c r="O192" i="2"/>
  <c r="L192" i="2" s="1"/>
  <c r="O193" i="2"/>
  <c r="L193" i="2" s="1"/>
  <c r="O194" i="2"/>
  <c r="L194" i="2" s="1"/>
  <c r="O195" i="2"/>
  <c r="L195" i="2" s="1"/>
  <c r="O196" i="2"/>
  <c r="L196" i="2" s="1"/>
  <c r="O197" i="2"/>
  <c r="L197" i="2" s="1"/>
  <c r="O198" i="2"/>
  <c r="L198" i="2" s="1"/>
  <c r="O199" i="2"/>
  <c r="L199" i="2"/>
  <c r="O200" i="2"/>
  <c r="L200" i="2" s="1"/>
  <c r="O201" i="2"/>
  <c r="L201" i="2" s="1"/>
  <c r="O202" i="2"/>
  <c r="L202" i="2" s="1"/>
  <c r="O203" i="2"/>
  <c r="L203" i="2" s="1"/>
  <c r="O204" i="2"/>
  <c r="L204" i="2" s="1"/>
  <c r="O205" i="2"/>
  <c r="L205" i="2" s="1"/>
  <c r="O206" i="2"/>
  <c r="L206" i="2" s="1"/>
  <c r="O207" i="2"/>
  <c r="L207" i="2"/>
  <c r="O208" i="2"/>
  <c r="L208" i="2" s="1"/>
  <c r="O209" i="2"/>
  <c r="L209" i="2" s="1"/>
  <c r="O210" i="2"/>
  <c r="L210" i="2" s="1"/>
  <c r="O211" i="2"/>
  <c r="L211" i="2" s="1"/>
  <c r="O212" i="2"/>
  <c r="L212" i="2" s="1"/>
  <c r="O213" i="2"/>
  <c r="L213" i="2" s="1"/>
  <c r="O214" i="2"/>
  <c r="L214" i="2" s="1"/>
  <c r="O215" i="2"/>
  <c r="L215" i="2" s="1"/>
  <c r="O216" i="2"/>
  <c r="L216" i="2" s="1"/>
  <c r="O217" i="2"/>
  <c r="L217" i="2" s="1"/>
  <c r="O218" i="2"/>
  <c r="L218" i="2" s="1"/>
  <c r="O219" i="2"/>
  <c r="L219" i="2"/>
  <c r="O220" i="2"/>
  <c r="L220" i="2" s="1"/>
  <c r="O221" i="2"/>
  <c r="L221" i="2" s="1"/>
  <c r="O222" i="2"/>
  <c r="L222" i="2" s="1"/>
  <c r="O223" i="2"/>
  <c r="L223" i="2" s="1"/>
  <c r="O224" i="2"/>
  <c r="L224" i="2" s="1"/>
  <c r="O225" i="2"/>
  <c r="L225" i="2" s="1"/>
  <c r="O226" i="2"/>
  <c r="L226" i="2" s="1"/>
  <c r="O227" i="2"/>
  <c r="L227" i="2" s="1"/>
  <c r="O228" i="2"/>
  <c r="L228" i="2" s="1"/>
  <c r="O229" i="2"/>
  <c r="L229" i="2" s="1"/>
  <c r="O230" i="2"/>
  <c r="L230" i="2" s="1"/>
  <c r="O231" i="2"/>
  <c r="L231" i="2" s="1"/>
  <c r="O232" i="2"/>
  <c r="L232" i="2" s="1"/>
  <c r="O233" i="2"/>
  <c r="L233" i="2" s="1"/>
  <c r="O234" i="2"/>
  <c r="L234" i="2" s="1"/>
  <c r="O235" i="2"/>
  <c r="L235" i="2" s="1"/>
  <c r="O236" i="2"/>
  <c r="L236" i="2" s="1"/>
  <c r="O237" i="2"/>
  <c r="L237" i="2" s="1"/>
  <c r="O238" i="2"/>
  <c r="L238" i="2" s="1"/>
  <c r="O239" i="2"/>
  <c r="L239" i="2" s="1"/>
  <c r="O240" i="2"/>
  <c r="L240" i="2" s="1"/>
  <c r="O241" i="2"/>
  <c r="L241" i="2" s="1"/>
  <c r="O242" i="2"/>
  <c r="L242" i="2" s="1"/>
  <c r="O243" i="2"/>
  <c r="L243" i="2" s="1"/>
  <c r="O244" i="2"/>
  <c r="L244" i="2" s="1"/>
  <c r="O245" i="2"/>
  <c r="L245" i="2" s="1"/>
  <c r="O246" i="2"/>
  <c r="L246" i="2" s="1"/>
  <c r="O247" i="2"/>
  <c r="L247" i="2" s="1"/>
  <c r="O248" i="2"/>
  <c r="L248" i="2" s="1"/>
  <c r="O249" i="2"/>
  <c r="L249" i="2" s="1"/>
  <c r="O250" i="2"/>
  <c r="L250" i="2" s="1"/>
  <c r="O251" i="2"/>
  <c r="L251" i="2" s="1"/>
  <c r="O252" i="2"/>
  <c r="L252" i="2" s="1"/>
  <c r="O253" i="2"/>
  <c r="L253" i="2" s="1"/>
  <c r="O254" i="2"/>
  <c r="L254" i="2" s="1"/>
  <c r="O255" i="2"/>
  <c r="L255" i="2" s="1"/>
  <c r="O256" i="2"/>
  <c r="L256" i="2" s="1"/>
  <c r="O257" i="2"/>
  <c r="L257" i="2" s="1"/>
  <c r="O258" i="2"/>
  <c r="L258" i="2" s="1"/>
  <c r="O259" i="2"/>
  <c r="L259" i="2" s="1"/>
  <c r="O260" i="2"/>
  <c r="L260" i="2" s="1"/>
  <c r="O261" i="2"/>
  <c r="L261" i="2" s="1"/>
  <c r="O262" i="2"/>
  <c r="L262" i="2" s="1"/>
  <c r="O263" i="2"/>
  <c r="L263" i="2"/>
  <c r="O264" i="2"/>
  <c r="L264" i="2" s="1"/>
  <c r="O265" i="2"/>
  <c r="L265" i="2" s="1"/>
  <c r="O266" i="2"/>
  <c r="L266" i="2" s="1"/>
  <c r="O267" i="2"/>
  <c r="L267" i="2" s="1"/>
  <c r="O268" i="2"/>
  <c r="L268" i="2" s="1"/>
  <c r="O269" i="2"/>
  <c r="L269" i="2" s="1"/>
  <c r="O270" i="2"/>
  <c r="L270" i="2" s="1"/>
  <c r="O271" i="2"/>
  <c r="L271" i="2" s="1"/>
  <c r="O272" i="2"/>
  <c r="L272" i="2"/>
  <c r="O273" i="2"/>
  <c r="L273" i="2" s="1"/>
  <c r="O274" i="2"/>
  <c r="L274" i="2"/>
  <c r="O275" i="2"/>
  <c r="L275" i="2" s="1"/>
  <c r="O276" i="2"/>
  <c r="L276" i="2"/>
  <c r="O277" i="2"/>
  <c r="L277" i="2" s="1"/>
  <c r="O278" i="2"/>
  <c r="L278" i="2" s="1"/>
  <c r="O279" i="2"/>
  <c r="L279" i="2" s="1"/>
  <c r="O280" i="2"/>
  <c r="L280" i="2"/>
  <c r="O281" i="2"/>
  <c r="L281" i="2" s="1"/>
  <c r="O282" i="2"/>
  <c r="L282" i="2"/>
  <c r="O283" i="2"/>
  <c r="L283" i="2" s="1"/>
  <c r="O284" i="2"/>
  <c r="L284" i="2" s="1"/>
  <c r="O285" i="2"/>
  <c r="L285" i="2" s="1"/>
  <c r="O286" i="2"/>
  <c r="L286" i="2" s="1"/>
  <c r="O287" i="2"/>
  <c r="L287" i="2" s="1"/>
  <c r="O288" i="2"/>
  <c r="L288" i="2"/>
  <c r="O289" i="2"/>
  <c r="L289" i="2" s="1"/>
  <c r="O290" i="2"/>
  <c r="L290" i="2" s="1"/>
  <c r="O291" i="2"/>
  <c r="L291" i="2" s="1"/>
  <c r="O292" i="2"/>
  <c r="L292" i="2"/>
  <c r="O293" i="2"/>
  <c r="L293" i="2" s="1"/>
  <c r="O294" i="2"/>
  <c r="L294" i="2" s="1"/>
  <c r="O295" i="2"/>
  <c r="L295" i="2" s="1"/>
  <c r="O296" i="2"/>
  <c r="L296" i="2" s="1"/>
  <c r="O297" i="2"/>
  <c r="L297" i="2" s="1"/>
  <c r="O298" i="2"/>
  <c r="L298" i="2"/>
  <c r="O299" i="2"/>
  <c r="L299" i="2" s="1"/>
  <c r="O300" i="2"/>
  <c r="L300" i="2"/>
  <c r="O301" i="2"/>
  <c r="L301" i="2" s="1"/>
  <c r="O302" i="2"/>
  <c r="L302" i="2" s="1"/>
  <c r="O303" i="2"/>
  <c r="L303" i="2" s="1"/>
  <c r="O304" i="2"/>
  <c r="L304" i="2"/>
  <c r="O305" i="2"/>
  <c r="L305" i="2" s="1"/>
  <c r="O306" i="2"/>
  <c r="L306" i="2"/>
  <c r="O307" i="2"/>
  <c r="L307" i="2" s="1"/>
  <c r="O308" i="2"/>
  <c r="L308" i="2"/>
  <c r="O309" i="2"/>
  <c r="L309" i="2" s="1"/>
  <c r="O310" i="2"/>
  <c r="L310" i="2" s="1"/>
  <c r="O311" i="2"/>
  <c r="L311" i="2" s="1"/>
  <c r="O312" i="2"/>
  <c r="L312" i="2"/>
  <c r="O313" i="2"/>
  <c r="L313" i="2" s="1"/>
  <c r="O314" i="2"/>
  <c r="L314" i="2"/>
  <c r="O315" i="2"/>
  <c r="L315" i="2" s="1"/>
  <c r="O316" i="2"/>
  <c r="L316" i="2" s="1"/>
  <c r="O317" i="2"/>
  <c r="L317" i="2" s="1"/>
  <c r="O318" i="2"/>
  <c r="L318" i="2" s="1"/>
  <c r="O319" i="2"/>
  <c r="L319" i="2" s="1"/>
  <c r="O320" i="2"/>
  <c r="L320" i="2"/>
  <c r="O321" i="2"/>
  <c r="L321" i="2" s="1"/>
  <c r="O322" i="2"/>
  <c r="L322" i="2" s="1"/>
  <c r="O323" i="2"/>
  <c r="L323" i="2" s="1"/>
  <c r="O324" i="2"/>
  <c r="L324" i="2"/>
  <c r="O325" i="2"/>
  <c r="L325" i="2" s="1"/>
  <c r="O326" i="2"/>
  <c r="L326" i="2" s="1"/>
  <c r="O327" i="2"/>
  <c r="L327" i="2" s="1"/>
  <c r="O328" i="2"/>
  <c r="L328" i="2" s="1"/>
  <c r="O329" i="2"/>
  <c r="L329" i="2" s="1"/>
  <c r="O330" i="2"/>
  <c r="L330" i="2"/>
  <c r="O331" i="2"/>
  <c r="L331" i="2" s="1"/>
  <c r="O332" i="2"/>
  <c r="L332" i="2"/>
  <c r="O333" i="2"/>
  <c r="L333" i="2" s="1"/>
  <c r="O334" i="2"/>
  <c r="L334" i="2" s="1"/>
  <c r="O335" i="2"/>
  <c r="L335" i="2" s="1"/>
  <c r="O336" i="2"/>
  <c r="L336" i="2"/>
  <c r="O337" i="2"/>
  <c r="L337" i="2" s="1"/>
  <c r="O338" i="2"/>
  <c r="L338" i="2"/>
  <c r="O339" i="2"/>
  <c r="L339" i="2" s="1"/>
  <c r="O340" i="2"/>
  <c r="L340" i="2"/>
  <c r="O341" i="2"/>
  <c r="L341" i="2" s="1"/>
  <c r="O342" i="2"/>
  <c r="L342" i="2" s="1"/>
  <c r="O343" i="2"/>
  <c r="L343" i="2" s="1"/>
  <c r="O344" i="2"/>
  <c r="L344" i="2"/>
  <c r="O345" i="2"/>
  <c r="L345" i="2" s="1"/>
  <c r="O346" i="2"/>
  <c r="L346" i="2"/>
  <c r="O347" i="2"/>
  <c r="L347" i="2" s="1"/>
  <c r="O348" i="2"/>
  <c r="L348" i="2" s="1"/>
  <c r="O349" i="2"/>
  <c r="L349" i="2" s="1"/>
  <c r="O350" i="2"/>
  <c r="L350" i="2" s="1"/>
  <c r="O351" i="2"/>
  <c r="L351" i="2" s="1"/>
  <c r="O352" i="2"/>
  <c r="L352" i="2"/>
  <c r="O353" i="2"/>
  <c r="L353" i="2" s="1"/>
  <c r="O354" i="2"/>
  <c r="L354" i="2" s="1"/>
  <c r="O355" i="2"/>
  <c r="L355" i="2" s="1"/>
  <c r="O356" i="2"/>
  <c r="L356" i="2"/>
  <c r="O357" i="2"/>
  <c r="L357" i="2" s="1"/>
  <c r="O358" i="2"/>
  <c r="L358" i="2" s="1"/>
  <c r="O359" i="2"/>
  <c r="L359" i="2" s="1"/>
  <c r="O360" i="2"/>
  <c r="L360" i="2" s="1"/>
  <c r="O361" i="2"/>
  <c r="L361" i="2" s="1"/>
  <c r="O362" i="2"/>
  <c r="L362" i="2"/>
  <c r="O363" i="2"/>
  <c r="L363" i="2" s="1"/>
  <c r="O364" i="2"/>
  <c r="L364" i="2"/>
  <c r="O365" i="2"/>
  <c r="L365" i="2" s="1"/>
  <c r="O366" i="2"/>
  <c r="L366" i="2" s="1"/>
  <c r="O367" i="2"/>
  <c r="L367" i="2" s="1"/>
  <c r="O368" i="2"/>
  <c r="L368" i="2"/>
  <c r="O369" i="2"/>
  <c r="L369" i="2" s="1"/>
  <c r="O370" i="2"/>
  <c r="L370" i="2"/>
  <c r="O371" i="2"/>
  <c r="L371" i="2" s="1"/>
  <c r="O372" i="2"/>
  <c r="L372" i="2"/>
  <c r="O373" i="2"/>
  <c r="L373" i="2" s="1"/>
  <c r="O374" i="2"/>
  <c r="L374" i="2" s="1"/>
  <c r="O375" i="2"/>
  <c r="L375" i="2" s="1"/>
  <c r="O376" i="2"/>
  <c r="L376" i="2"/>
  <c r="O377" i="2"/>
  <c r="L377" i="2" s="1"/>
  <c r="O378" i="2"/>
  <c r="L378" i="2"/>
  <c r="O379" i="2"/>
  <c r="L379" i="2" s="1"/>
  <c r="O380" i="2"/>
  <c r="L380" i="2" s="1"/>
  <c r="O381" i="2"/>
  <c r="L381" i="2" s="1"/>
  <c r="O382" i="2"/>
  <c r="L382" i="2" s="1"/>
  <c r="O383" i="2"/>
  <c r="L383" i="2" s="1"/>
  <c r="O384" i="2"/>
  <c r="L384" i="2"/>
  <c r="O385" i="2"/>
  <c r="L385" i="2" s="1"/>
  <c r="O386" i="2"/>
  <c r="L386" i="2" s="1"/>
  <c r="O387" i="2"/>
  <c r="L387" i="2" s="1"/>
  <c r="O388" i="2"/>
  <c r="L388" i="2"/>
  <c r="O389" i="2"/>
  <c r="L389" i="2" s="1"/>
  <c r="O390" i="2"/>
  <c r="L390" i="2" s="1"/>
  <c r="O391" i="2"/>
  <c r="L391" i="2" s="1"/>
  <c r="O392" i="2"/>
  <c r="L392" i="2" s="1"/>
  <c r="O393" i="2"/>
  <c r="L393" i="2" s="1"/>
  <c r="O394" i="2"/>
  <c r="L394" i="2"/>
  <c r="O395" i="2"/>
  <c r="L395" i="2" s="1"/>
  <c r="O396" i="2"/>
  <c r="L396" i="2"/>
  <c r="O397" i="2"/>
  <c r="L397" i="2" s="1"/>
  <c r="O398" i="2"/>
  <c r="L398" i="2" s="1"/>
  <c r="O399" i="2"/>
  <c r="L399" i="2" s="1"/>
  <c r="O400" i="2"/>
  <c r="L400" i="2"/>
  <c r="O401" i="2"/>
  <c r="L401" i="2" s="1"/>
  <c r="O402" i="2"/>
  <c r="L402" i="2"/>
  <c r="O403" i="2"/>
  <c r="L403" i="2" s="1"/>
  <c r="O404" i="2"/>
  <c r="L404" i="2"/>
  <c r="O405" i="2"/>
  <c r="L405" i="2" s="1"/>
  <c r="O406" i="2"/>
  <c r="L406" i="2" s="1"/>
  <c r="O407" i="2"/>
  <c r="L407" i="2" s="1"/>
  <c r="O408" i="2"/>
  <c r="L408" i="2"/>
  <c r="O409" i="2"/>
  <c r="L409" i="2" s="1"/>
  <c r="O410" i="2"/>
  <c r="L410" i="2"/>
  <c r="O411" i="2"/>
  <c r="L411" i="2" s="1"/>
  <c r="O412" i="2"/>
  <c r="L412" i="2" s="1"/>
  <c r="O413" i="2"/>
  <c r="L413" i="2" s="1"/>
  <c r="O414" i="2"/>
  <c r="L414" i="2" s="1"/>
  <c r="O415" i="2"/>
  <c r="L415" i="2" s="1"/>
  <c r="O416" i="2"/>
  <c r="L416" i="2"/>
  <c r="O417" i="2"/>
  <c r="L417" i="2" s="1"/>
  <c r="O418" i="2"/>
  <c r="L418" i="2" s="1"/>
  <c r="O419" i="2"/>
  <c r="L419" i="2" s="1"/>
  <c r="O420" i="2"/>
  <c r="L420" i="2"/>
  <c r="O421" i="2"/>
  <c r="L421" i="2" s="1"/>
  <c r="O422" i="2"/>
  <c r="L422" i="2" s="1"/>
  <c r="O423" i="2"/>
  <c r="L423" i="2" s="1"/>
  <c r="O424" i="2"/>
  <c r="L424" i="2" s="1"/>
  <c r="O425" i="2"/>
  <c r="L425" i="2" s="1"/>
  <c r="O426" i="2"/>
  <c r="L426" i="2"/>
  <c r="O427" i="2"/>
  <c r="L427" i="2" s="1"/>
  <c r="O428" i="2"/>
  <c r="L428" i="2"/>
  <c r="O429" i="2"/>
  <c r="L429" i="2" s="1"/>
  <c r="O430" i="2"/>
  <c r="L430" i="2"/>
  <c r="O431" i="2"/>
  <c r="L431" i="2" s="1"/>
  <c r="O432" i="2"/>
  <c r="L432" i="2"/>
  <c r="O433" i="2"/>
  <c r="L433" i="2" s="1"/>
  <c r="O434" i="2"/>
  <c r="L434" i="2"/>
  <c r="O435" i="2"/>
  <c r="L435" i="2" s="1"/>
  <c r="O436" i="2"/>
  <c r="L436" i="2"/>
  <c r="O437" i="2"/>
  <c r="L437" i="2"/>
  <c r="O438" i="2"/>
  <c r="L438" i="2"/>
  <c r="O439" i="2"/>
  <c r="L439" i="2"/>
  <c r="O440" i="2"/>
  <c r="L440" i="2"/>
  <c r="O441" i="2"/>
  <c r="L441" i="2"/>
  <c r="O442" i="2"/>
  <c r="L442" i="2"/>
  <c r="O443" i="2"/>
  <c r="L443" i="2"/>
  <c r="O444" i="2"/>
  <c r="L444" i="2"/>
  <c r="O445" i="2"/>
  <c r="L445" i="2"/>
  <c r="O446" i="2"/>
  <c r="L446" i="2"/>
  <c r="O447" i="2"/>
  <c r="L447" i="2"/>
  <c r="O448" i="2"/>
  <c r="L448" i="2"/>
  <c r="O449" i="2"/>
  <c r="L449" i="2"/>
  <c r="O450" i="2"/>
  <c r="L450" i="2"/>
  <c r="O451" i="2"/>
  <c r="L451" i="2"/>
  <c r="O452" i="2"/>
  <c r="L452" i="2"/>
  <c r="O453" i="2"/>
  <c r="L453" i="2"/>
  <c r="O454" i="2"/>
  <c r="L454" i="2"/>
  <c r="O455" i="2"/>
  <c r="L455" i="2"/>
  <c r="O456" i="2"/>
  <c r="L456" i="2"/>
  <c r="O457" i="2"/>
  <c r="L457" i="2"/>
  <c r="O458" i="2"/>
  <c r="L458" i="2"/>
  <c r="E16" i="18"/>
  <c r="H16" i="18"/>
  <c r="K16" i="18"/>
  <c r="K18" i="18" s="1"/>
  <c r="N16" i="18"/>
  <c r="D18" i="10"/>
  <c r="D25" i="10"/>
  <c r="D38" i="10"/>
  <c r="D46" i="10" s="1"/>
  <c r="D45" i="10"/>
  <c r="D48" i="10" s="1"/>
  <c r="D50" i="10" s="1"/>
  <c r="D58" i="10"/>
  <c r="D65" i="10"/>
  <c r="E47" i="17"/>
  <c r="E53" i="17"/>
  <c r="W16" i="18"/>
  <c r="Q16" i="18"/>
  <c r="C25" i="4"/>
  <c r="A3" i="1"/>
  <c r="B3" i="1"/>
  <c r="A4" i="1"/>
  <c r="A5" i="1"/>
  <c r="B5" i="1"/>
  <c r="A6" i="1"/>
  <c r="B6" i="1"/>
  <c r="A7" i="1"/>
  <c r="B7" i="1"/>
  <c r="H37" i="1"/>
  <c r="B3" i="2"/>
  <c r="C3" i="2"/>
  <c r="B4" i="2"/>
  <c r="B5" i="2"/>
  <c r="C5" i="2"/>
  <c r="B6" i="2"/>
  <c r="C6" i="2"/>
  <c r="B7" i="2"/>
  <c r="C7" i="2"/>
  <c r="J10" i="2"/>
  <c r="V10" i="2"/>
  <c r="P10" i="2"/>
  <c r="M10" i="2"/>
  <c r="J11" i="2"/>
  <c r="V11" i="2"/>
  <c r="P11" i="2"/>
  <c r="M11" i="2"/>
  <c r="J12" i="2"/>
  <c r="V12" i="2"/>
  <c r="P12" i="2"/>
  <c r="M12" i="2"/>
  <c r="J13" i="2"/>
  <c r="V13" i="2"/>
  <c r="P13" i="2"/>
  <c r="M13" i="2"/>
  <c r="J14" i="2"/>
  <c r="V14" i="2"/>
  <c r="P14" i="2"/>
  <c r="M14" i="2"/>
  <c r="J15" i="2"/>
  <c r="V15" i="2"/>
  <c r="P15" i="2"/>
  <c r="M15" i="2"/>
  <c r="J16" i="2"/>
  <c r="V16" i="2"/>
  <c r="P16" i="2"/>
  <c r="M16" i="2"/>
  <c r="J17" i="2"/>
  <c r="V17" i="2"/>
  <c r="P17" i="2"/>
  <c r="M17" i="2"/>
  <c r="J18" i="2"/>
  <c r="V18" i="2"/>
  <c r="P18" i="2"/>
  <c r="M18" i="2"/>
  <c r="J19" i="2"/>
  <c r="V19" i="2"/>
  <c r="P19" i="2"/>
  <c r="M19" i="2"/>
  <c r="J20" i="2"/>
  <c r="V20" i="2"/>
  <c r="P20" i="2"/>
  <c r="M20" i="2"/>
  <c r="J21" i="2"/>
  <c r="V21" i="2"/>
  <c r="P21" i="2"/>
  <c r="M21" i="2"/>
  <c r="J22" i="2"/>
  <c r="V22" i="2"/>
  <c r="P22" i="2"/>
  <c r="M22" i="2"/>
  <c r="J23" i="2"/>
  <c r="V23" i="2"/>
  <c r="P23" i="2"/>
  <c r="M23" i="2"/>
  <c r="J24" i="2"/>
  <c r="V24" i="2"/>
  <c r="P24" i="2"/>
  <c r="M24" i="2"/>
  <c r="J25" i="2"/>
  <c r="V25" i="2"/>
  <c r="P25" i="2"/>
  <c r="M25" i="2"/>
  <c r="J26" i="2"/>
  <c r="V26" i="2"/>
  <c r="P26" i="2"/>
  <c r="M26" i="2"/>
  <c r="J27" i="2"/>
  <c r="V27" i="2"/>
  <c r="P27" i="2"/>
  <c r="M27" i="2"/>
  <c r="J28" i="2"/>
  <c r="V28" i="2"/>
  <c r="P28" i="2"/>
  <c r="M28" i="2"/>
  <c r="J29" i="2"/>
  <c r="V29" i="2"/>
  <c r="P29" i="2"/>
  <c r="M29" i="2"/>
  <c r="J30" i="2"/>
  <c r="V30" i="2"/>
  <c r="P30" i="2"/>
  <c r="M30" i="2"/>
  <c r="J31" i="2"/>
  <c r="V31" i="2"/>
  <c r="P31" i="2"/>
  <c r="M31" i="2"/>
  <c r="J32" i="2"/>
  <c r="V32" i="2"/>
  <c r="P32" i="2"/>
  <c r="M32" i="2"/>
  <c r="J33" i="2"/>
  <c r="V33" i="2"/>
  <c r="P33" i="2"/>
  <c r="M33" i="2"/>
  <c r="J34" i="2"/>
  <c r="V34" i="2"/>
  <c r="P34" i="2"/>
  <c r="M34" i="2"/>
  <c r="J35" i="2"/>
  <c r="V35" i="2"/>
  <c r="P35" i="2"/>
  <c r="M35" i="2"/>
  <c r="J36" i="2"/>
  <c r="V36" i="2"/>
  <c r="P36" i="2"/>
  <c r="M36" i="2"/>
  <c r="J37" i="2"/>
  <c r="V37" i="2"/>
  <c r="P37" i="2"/>
  <c r="M37" i="2" s="1"/>
  <c r="J38" i="2"/>
  <c r="V38" i="2" s="1"/>
  <c r="P38" i="2"/>
  <c r="M38" i="2" s="1"/>
  <c r="J39" i="2"/>
  <c r="V39" i="2" s="1"/>
  <c r="P39" i="2"/>
  <c r="M39" i="2" s="1"/>
  <c r="J40" i="2"/>
  <c r="V40" i="2" s="1"/>
  <c r="P40" i="2"/>
  <c r="M40" i="2" s="1"/>
  <c r="J41" i="2"/>
  <c r="V41" i="2" s="1"/>
  <c r="P41" i="2"/>
  <c r="M41" i="2" s="1"/>
  <c r="J42" i="2"/>
  <c r="V42" i="2" s="1"/>
  <c r="P42" i="2"/>
  <c r="M42" i="2" s="1"/>
  <c r="J43" i="2"/>
  <c r="V43" i="2" s="1"/>
  <c r="P43" i="2"/>
  <c r="M43" i="2" s="1"/>
  <c r="J44" i="2"/>
  <c r="V44" i="2" s="1"/>
  <c r="P44" i="2"/>
  <c r="M44" i="2" s="1"/>
  <c r="J45" i="2"/>
  <c r="V45" i="2" s="1"/>
  <c r="P45" i="2"/>
  <c r="M45" i="2" s="1"/>
  <c r="J46" i="2"/>
  <c r="V46" i="2" s="1"/>
  <c r="P46" i="2"/>
  <c r="M46" i="2" s="1"/>
  <c r="J47" i="2"/>
  <c r="V47" i="2" s="1"/>
  <c r="P47" i="2"/>
  <c r="M47" i="2" s="1"/>
  <c r="J48" i="2"/>
  <c r="V48" i="2" s="1"/>
  <c r="P48" i="2"/>
  <c r="M48" i="2" s="1"/>
  <c r="J49" i="2"/>
  <c r="V49" i="2" s="1"/>
  <c r="P49" i="2"/>
  <c r="M49" i="2" s="1"/>
  <c r="J50" i="2"/>
  <c r="V50" i="2" s="1"/>
  <c r="P50" i="2"/>
  <c r="M50" i="2" s="1"/>
  <c r="J51" i="2"/>
  <c r="V51" i="2" s="1"/>
  <c r="P51" i="2"/>
  <c r="M51" i="2" s="1"/>
  <c r="J52" i="2"/>
  <c r="V52" i="2" s="1"/>
  <c r="P52" i="2"/>
  <c r="M52" i="2" s="1"/>
  <c r="J53" i="2"/>
  <c r="V53" i="2" s="1"/>
  <c r="P53" i="2"/>
  <c r="M53" i="2" s="1"/>
  <c r="J54" i="2"/>
  <c r="V54" i="2" s="1"/>
  <c r="P54" i="2"/>
  <c r="M54" i="2" s="1"/>
  <c r="J55" i="2"/>
  <c r="V55" i="2" s="1"/>
  <c r="P55" i="2"/>
  <c r="M55" i="2" s="1"/>
  <c r="J56" i="2"/>
  <c r="V56" i="2" s="1"/>
  <c r="P56" i="2"/>
  <c r="M56" i="2" s="1"/>
  <c r="J57" i="2"/>
  <c r="V57" i="2" s="1"/>
  <c r="P57" i="2"/>
  <c r="M57" i="2" s="1"/>
  <c r="J58" i="2"/>
  <c r="V58" i="2" s="1"/>
  <c r="P58" i="2"/>
  <c r="M58" i="2" s="1"/>
  <c r="J59" i="2"/>
  <c r="V59" i="2" s="1"/>
  <c r="P59" i="2"/>
  <c r="M59" i="2" s="1"/>
  <c r="J60" i="2"/>
  <c r="V60" i="2" s="1"/>
  <c r="P60" i="2"/>
  <c r="M60" i="2" s="1"/>
  <c r="J61" i="2"/>
  <c r="V61" i="2" s="1"/>
  <c r="P61" i="2"/>
  <c r="M61" i="2" s="1"/>
  <c r="J62" i="2"/>
  <c r="V62" i="2" s="1"/>
  <c r="P62" i="2"/>
  <c r="M62" i="2" s="1"/>
  <c r="J63" i="2"/>
  <c r="V63" i="2" s="1"/>
  <c r="P63" i="2"/>
  <c r="M63" i="2" s="1"/>
  <c r="J64" i="2"/>
  <c r="V64" i="2" s="1"/>
  <c r="P64" i="2"/>
  <c r="M64" i="2" s="1"/>
  <c r="J65" i="2"/>
  <c r="V65" i="2" s="1"/>
  <c r="P65" i="2"/>
  <c r="M65" i="2" s="1"/>
  <c r="J66" i="2"/>
  <c r="V66" i="2" s="1"/>
  <c r="P66" i="2"/>
  <c r="M66" i="2" s="1"/>
  <c r="J67" i="2"/>
  <c r="V67" i="2" s="1"/>
  <c r="P67" i="2"/>
  <c r="M67" i="2" s="1"/>
  <c r="J68" i="2"/>
  <c r="V68" i="2" s="1"/>
  <c r="P68" i="2"/>
  <c r="M68" i="2" s="1"/>
  <c r="J69" i="2"/>
  <c r="V69" i="2" s="1"/>
  <c r="P69" i="2"/>
  <c r="M69" i="2" s="1"/>
  <c r="J70" i="2"/>
  <c r="V70" i="2" s="1"/>
  <c r="P70" i="2"/>
  <c r="M70" i="2" s="1"/>
  <c r="J71" i="2"/>
  <c r="V71" i="2" s="1"/>
  <c r="P71" i="2"/>
  <c r="M71" i="2" s="1"/>
  <c r="J72" i="2"/>
  <c r="V72" i="2" s="1"/>
  <c r="P72" i="2"/>
  <c r="M72" i="2" s="1"/>
  <c r="J73" i="2"/>
  <c r="V73" i="2" s="1"/>
  <c r="P73" i="2"/>
  <c r="M73" i="2" s="1"/>
  <c r="J74" i="2"/>
  <c r="V74" i="2" s="1"/>
  <c r="P74" i="2"/>
  <c r="M74" i="2" s="1"/>
  <c r="J75" i="2"/>
  <c r="V75" i="2" s="1"/>
  <c r="P75" i="2"/>
  <c r="M75" i="2" s="1"/>
  <c r="J76" i="2"/>
  <c r="V76" i="2" s="1"/>
  <c r="P76" i="2"/>
  <c r="M76" i="2" s="1"/>
  <c r="J77" i="2"/>
  <c r="V77" i="2" s="1"/>
  <c r="P77" i="2"/>
  <c r="M77" i="2" s="1"/>
  <c r="J78" i="2"/>
  <c r="V78" i="2" s="1"/>
  <c r="P78" i="2"/>
  <c r="M78" i="2" s="1"/>
  <c r="J79" i="2"/>
  <c r="V79" i="2" s="1"/>
  <c r="P79" i="2"/>
  <c r="M79" i="2" s="1"/>
  <c r="J80" i="2"/>
  <c r="V80" i="2" s="1"/>
  <c r="P80" i="2"/>
  <c r="M80" i="2" s="1"/>
  <c r="J81" i="2"/>
  <c r="V81" i="2" s="1"/>
  <c r="P81" i="2"/>
  <c r="M81" i="2" s="1"/>
  <c r="J82" i="2"/>
  <c r="V82" i="2" s="1"/>
  <c r="P82" i="2"/>
  <c r="M82" i="2" s="1"/>
  <c r="J83" i="2"/>
  <c r="V83" i="2" s="1"/>
  <c r="P83" i="2"/>
  <c r="M83" i="2" s="1"/>
  <c r="J84" i="2"/>
  <c r="V84" i="2" s="1"/>
  <c r="P84" i="2"/>
  <c r="M84" i="2" s="1"/>
  <c r="J85" i="2"/>
  <c r="V85" i="2" s="1"/>
  <c r="P85" i="2"/>
  <c r="M85" i="2" s="1"/>
  <c r="J86" i="2"/>
  <c r="V86" i="2" s="1"/>
  <c r="P86" i="2"/>
  <c r="M86" i="2" s="1"/>
  <c r="J87" i="2"/>
  <c r="V87" i="2" s="1"/>
  <c r="P87" i="2"/>
  <c r="M87" i="2" s="1"/>
  <c r="J88" i="2"/>
  <c r="V88" i="2" s="1"/>
  <c r="P88" i="2"/>
  <c r="M88" i="2" s="1"/>
  <c r="J89" i="2"/>
  <c r="V89" i="2" s="1"/>
  <c r="P89" i="2"/>
  <c r="M89" i="2" s="1"/>
  <c r="J90" i="2"/>
  <c r="V90" i="2" s="1"/>
  <c r="P90" i="2"/>
  <c r="M90" i="2" s="1"/>
  <c r="J91" i="2"/>
  <c r="V91" i="2" s="1"/>
  <c r="P91" i="2"/>
  <c r="M91" i="2" s="1"/>
  <c r="J92" i="2"/>
  <c r="V92" i="2" s="1"/>
  <c r="P92" i="2"/>
  <c r="M92" i="2" s="1"/>
  <c r="J93" i="2"/>
  <c r="V93" i="2" s="1"/>
  <c r="P93" i="2"/>
  <c r="M93" i="2" s="1"/>
  <c r="J94" i="2"/>
  <c r="V94" i="2" s="1"/>
  <c r="P94" i="2"/>
  <c r="M94" i="2" s="1"/>
  <c r="J95" i="2"/>
  <c r="V95" i="2" s="1"/>
  <c r="P95" i="2"/>
  <c r="M95" i="2" s="1"/>
  <c r="J96" i="2"/>
  <c r="V96" i="2" s="1"/>
  <c r="P96" i="2"/>
  <c r="M96" i="2" s="1"/>
  <c r="J97" i="2"/>
  <c r="V97" i="2" s="1"/>
  <c r="P97" i="2"/>
  <c r="M97" i="2" s="1"/>
  <c r="J98" i="2"/>
  <c r="V98" i="2" s="1"/>
  <c r="P98" i="2"/>
  <c r="M98" i="2" s="1"/>
  <c r="J99" i="2"/>
  <c r="V99" i="2" s="1"/>
  <c r="P99" i="2"/>
  <c r="M99" i="2" s="1"/>
  <c r="J100" i="2"/>
  <c r="V100" i="2" s="1"/>
  <c r="P100" i="2"/>
  <c r="M100" i="2" s="1"/>
  <c r="J101" i="2"/>
  <c r="V101" i="2" s="1"/>
  <c r="P101" i="2"/>
  <c r="M101" i="2" s="1"/>
  <c r="J102" i="2"/>
  <c r="V102" i="2" s="1"/>
  <c r="P102" i="2"/>
  <c r="M102" i="2" s="1"/>
  <c r="J103" i="2"/>
  <c r="V103" i="2" s="1"/>
  <c r="P103" i="2"/>
  <c r="M103" i="2" s="1"/>
  <c r="J104" i="2"/>
  <c r="V104" i="2" s="1"/>
  <c r="P104" i="2"/>
  <c r="M104" i="2" s="1"/>
  <c r="J105" i="2"/>
  <c r="V105" i="2" s="1"/>
  <c r="P105" i="2"/>
  <c r="M105" i="2" s="1"/>
  <c r="J106" i="2"/>
  <c r="V106" i="2" s="1"/>
  <c r="P106" i="2"/>
  <c r="M106" i="2" s="1"/>
  <c r="J107" i="2"/>
  <c r="V107" i="2" s="1"/>
  <c r="P107" i="2"/>
  <c r="M107" i="2" s="1"/>
  <c r="J108" i="2"/>
  <c r="V108" i="2" s="1"/>
  <c r="P108" i="2"/>
  <c r="M108" i="2" s="1"/>
  <c r="J109" i="2"/>
  <c r="V109" i="2" s="1"/>
  <c r="P109" i="2"/>
  <c r="M109" i="2" s="1"/>
  <c r="J110" i="2"/>
  <c r="V110" i="2" s="1"/>
  <c r="P110" i="2"/>
  <c r="M110" i="2" s="1"/>
  <c r="J111" i="2"/>
  <c r="V111" i="2" s="1"/>
  <c r="P111" i="2"/>
  <c r="M111" i="2" s="1"/>
  <c r="J112" i="2"/>
  <c r="V112" i="2" s="1"/>
  <c r="P112" i="2"/>
  <c r="M112" i="2" s="1"/>
  <c r="J113" i="2"/>
  <c r="V113" i="2" s="1"/>
  <c r="P113" i="2"/>
  <c r="M113" i="2" s="1"/>
  <c r="J114" i="2"/>
  <c r="V114" i="2" s="1"/>
  <c r="P114" i="2"/>
  <c r="M114" i="2" s="1"/>
  <c r="J115" i="2"/>
  <c r="V115" i="2" s="1"/>
  <c r="P115" i="2"/>
  <c r="M115" i="2" s="1"/>
  <c r="J116" i="2"/>
  <c r="V116" i="2" s="1"/>
  <c r="P116" i="2"/>
  <c r="M116" i="2" s="1"/>
  <c r="J117" i="2"/>
  <c r="V117" i="2" s="1"/>
  <c r="P117" i="2"/>
  <c r="M117" i="2" s="1"/>
  <c r="J118" i="2"/>
  <c r="V118" i="2" s="1"/>
  <c r="P118" i="2"/>
  <c r="M118" i="2" s="1"/>
  <c r="J119" i="2"/>
  <c r="V119" i="2" s="1"/>
  <c r="P119" i="2"/>
  <c r="M119" i="2" s="1"/>
  <c r="J120" i="2"/>
  <c r="V120" i="2" s="1"/>
  <c r="P120" i="2"/>
  <c r="M120" i="2" s="1"/>
  <c r="J121" i="2"/>
  <c r="V121" i="2" s="1"/>
  <c r="P121" i="2"/>
  <c r="M121" i="2" s="1"/>
  <c r="J122" i="2"/>
  <c r="V122" i="2" s="1"/>
  <c r="P122" i="2"/>
  <c r="M122" i="2" s="1"/>
  <c r="J123" i="2"/>
  <c r="V123" i="2" s="1"/>
  <c r="P123" i="2"/>
  <c r="M123" i="2" s="1"/>
  <c r="J124" i="2"/>
  <c r="V124" i="2" s="1"/>
  <c r="P124" i="2"/>
  <c r="M124" i="2" s="1"/>
  <c r="J125" i="2"/>
  <c r="V125" i="2" s="1"/>
  <c r="P125" i="2"/>
  <c r="M125" i="2" s="1"/>
  <c r="J126" i="2"/>
  <c r="V126" i="2" s="1"/>
  <c r="P126" i="2"/>
  <c r="M126" i="2" s="1"/>
  <c r="J127" i="2"/>
  <c r="V127" i="2" s="1"/>
  <c r="P127" i="2"/>
  <c r="M127" i="2" s="1"/>
  <c r="J128" i="2"/>
  <c r="V128" i="2" s="1"/>
  <c r="P128" i="2"/>
  <c r="M128" i="2" s="1"/>
  <c r="J129" i="2"/>
  <c r="V129" i="2" s="1"/>
  <c r="P129" i="2"/>
  <c r="M129" i="2" s="1"/>
  <c r="J130" i="2"/>
  <c r="V130" i="2" s="1"/>
  <c r="P130" i="2"/>
  <c r="M130" i="2" s="1"/>
  <c r="J131" i="2"/>
  <c r="V131" i="2" s="1"/>
  <c r="P131" i="2"/>
  <c r="M131" i="2" s="1"/>
  <c r="J132" i="2"/>
  <c r="V132" i="2" s="1"/>
  <c r="P132" i="2"/>
  <c r="M132" i="2" s="1"/>
  <c r="J133" i="2"/>
  <c r="V133" i="2" s="1"/>
  <c r="P133" i="2"/>
  <c r="M133" i="2" s="1"/>
  <c r="J134" i="2"/>
  <c r="V134" i="2" s="1"/>
  <c r="P134" i="2"/>
  <c r="M134" i="2" s="1"/>
  <c r="J135" i="2"/>
  <c r="V135" i="2" s="1"/>
  <c r="P135" i="2"/>
  <c r="M135" i="2" s="1"/>
  <c r="J136" i="2"/>
  <c r="V136" i="2" s="1"/>
  <c r="P136" i="2"/>
  <c r="M136" i="2" s="1"/>
  <c r="J137" i="2"/>
  <c r="V137" i="2" s="1"/>
  <c r="P137" i="2"/>
  <c r="M137" i="2" s="1"/>
  <c r="J138" i="2"/>
  <c r="V138" i="2" s="1"/>
  <c r="P138" i="2"/>
  <c r="M138" i="2" s="1"/>
  <c r="J139" i="2"/>
  <c r="V139" i="2" s="1"/>
  <c r="P139" i="2"/>
  <c r="M139" i="2" s="1"/>
  <c r="J140" i="2"/>
  <c r="V140" i="2" s="1"/>
  <c r="P140" i="2"/>
  <c r="M140" i="2" s="1"/>
  <c r="J141" i="2"/>
  <c r="V141" i="2" s="1"/>
  <c r="P141" i="2"/>
  <c r="M141" i="2" s="1"/>
  <c r="J142" i="2"/>
  <c r="V142" i="2" s="1"/>
  <c r="P142" i="2"/>
  <c r="M142" i="2" s="1"/>
  <c r="J143" i="2"/>
  <c r="V143" i="2" s="1"/>
  <c r="P143" i="2"/>
  <c r="M143" i="2" s="1"/>
  <c r="J144" i="2"/>
  <c r="V144" i="2" s="1"/>
  <c r="P144" i="2"/>
  <c r="M144" i="2" s="1"/>
  <c r="J145" i="2"/>
  <c r="V145" i="2" s="1"/>
  <c r="P145" i="2"/>
  <c r="M145" i="2" s="1"/>
  <c r="J146" i="2"/>
  <c r="V146" i="2" s="1"/>
  <c r="P146" i="2"/>
  <c r="M146" i="2" s="1"/>
  <c r="J147" i="2"/>
  <c r="V147" i="2" s="1"/>
  <c r="P147" i="2"/>
  <c r="M147" i="2" s="1"/>
  <c r="J148" i="2"/>
  <c r="V148" i="2" s="1"/>
  <c r="P148" i="2"/>
  <c r="M148" i="2" s="1"/>
  <c r="J149" i="2"/>
  <c r="V149" i="2" s="1"/>
  <c r="P149" i="2"/>
  <c r="M149" i="2" s="1"/>
  <c r="J150" i="2"/>
  <c r="V150" i="2" s="1"/>
  <c r="P150" i="2"/>
  <c r="M150" i="2" s="1"/>
  <c r="J151" i="2"/>
  <c r="V151" i="2" s="1"/>
  <c r="P151" i="2"/>
  <c r="M151" i="2" s="1"/>
  <c r="J152" i="2"/>
  <c r="V152" i="2" s="1"/>
  <c r="P152" i="2"/>
  <c r="M152" i="2" s="1"/>
  <c r="J153" i="2"/>
  <c r="V153" i="2" s="1"/>
  <c r="P153" i="2"/>
  <c r="M153" i="2" s="1"/>
  <c r="J154" i="2"/>
  <c r="V154" i="2" s="1"/>
  <c r="P154" i="2"/>
  <c r="M154" i="2" s="1"/>
  <c r="J155" i="2"/>
  <c r="V155" i="2" s="1"/>
  <c r="P155" i="2"/>
  <c r="M155" i="2" s="1"/>
  <c r="J156" i="2"/>
  <c r="V156" i="2" s="1"/>
  <c r="P156" i="2"/>
  <c r="M156" i="2" s="1"/>
  <c r="J157" i="2"/>
  <c r="V157" i="2" s="1"/>
  <c r="P157" i="2"/>
  <c r="M157" i="2" s="1"/>
  <c r="J158" i="2"/>
  <c r="V158" i="2" s="1"/>
  <c r="P158" i="2"/>
  <c r="M158" i="2" s="1"/>
  <c r="J159" i="2"/>
  <c r="V159" i="2" s="1"/>
  <c r="P159" i="2"/>
  <c r="M159" i="2" s="1"/>
  <c r="J160" i="2"/>
  <c r="V160" i="2" s="1"/>
  <c r="P160" i="2"/>
  <c r="M160" i="2" s="1"/>
  <c r="J161" i="2"/>
  <c r="V161" i="2" s="1"/>
  <c r="P161" i="2"/>
  <c r="M161" i="2" s="1"/>
  <c r="J162" i="2"/>
  <c r="V162" i="2" s="1"/>
  <c r="P162" i="2"/>
  <c r="M162" i="2" s="1"/>
  <c r="J163" i="2"/>
  <c r="V163" i="2" s="1"/>
  <c r="P163" i="2"/>
  <c r="M163" i="2" s="1"/>
  <c r="J164" i="2"/>
  <c r="V164" i="2" s="1"/>
  <c r="P164" i="2"/>
  <c r="M164" i="2" s="1"/>
  <c r="J165" i="2"/>
  <c r="V165" i="2" s="1"/>
  <c r="P165" i="2"/>
  <c r="M165" i="2" s="1"/>
  <c r="J166" i="2"/>
  <c r="V166" i="2" s="1"/>
  <c r="P166" i="2"/>
  <c r="M166" i="2" s="1"/>
  <c r="J167" i="2"/>
  <c r="V167" i="2" s="1"/>
  <c r="P167" i="2"/>
  <c r="M167" i="2" s="1"/>
  <c r="J168" i="2"/>
  <c r="V168" i="2" s="1"/>
  <c r="P168" i="2"/>
  <c r="M168" i="2" s="1"/>
  <c r="J169" i="2"/>
  <c r="V169" i="2" s="1"/>
  <c r="P169" i="2"/>
  <c r="M169" i="2" s="1"/>
  <c r="J170" i="2"/>
  <c r="V170" i="2" s="1"/>
  <c r="P170" i="2"/>
  <c r="M170" i="2" s="1"/>
  <c r="J171" i="2"/>
  <c r="V171" i="2" s="1"/>
  <c r="P171" i="2"/>
  <c r="M171" i="2" s="1"/>
  <c r="J172" i="2"/>
  <c r="V172" i="2" s="1"/>
  <c r="P172" i="2"/>
  <c r="M172" i="2" s="1"/>
  <c r="J173" i="2"/>
  <c r="V173" i="2" s="1"/>
  <c r="P173" i="2"/>
  <c r="M173" i="2" s="1"/>
  <c r="J174" i="2"/>
  <c r="V174" i="2" s="1"/>
  <c r="P174" i="2"/>
  <c r="M174" i="2" s="1"/>
  <c r="J175" i="2"/>
  <c r="V175" i="2" s="1"/>
  <c r="P175" i="2"/>
  <c r="M175" i="2" s="1"/>
  <c r="J176" i="2"/>
  <c r="V176" i="2" s="1"/>
  <c r="P176" i="2"/>
  <c r="M176" i="2" s="1"/>
  <c r="J177" i="2"/>
  <c r="V177" i="2" s="1"/>
  <c r="P177" i="2"/>
  <c r="M177" i="2" s="1"/>
  <c r="J178" i="2"/>
  <c r="V178" i="2" s="1"/>
  <c r="P178" i="2"/>
  <c r="M178" i="2" s="1"/>
  <c r="J179" i="2"/>
  <c r="V179" i="2" s="1"/>
  <c r="P179" i="2"/>
  <c r="M179" i="2" s="1"/>
  <c r="J180" i="2"/>
  <c r="V180" i="2" s="1"/>
  <c r="P180" i="2"/>
  <c r="M180" i="2"/>
  <c r="J181" i="2"/>
  <c r="V181" i="2" s="1"/>
  <c r="P181" i="2"/>
  <c r="M181" i="2" s="1"/>
  <c r="J182" i="2"/>
  <c r="V182" i="2" s="1"/>
  <c r="P182" i="2"/>
  <c r="M182" i="2" s="1"/>
  <c r="J183" i="2"/>
  <c r="V183" i="2" s="1"/>
  <c r="P183" i="2"/>
  <c r="M183" i="2" s="1"/>
  <c r="J184" i="2"/>
  <c r="V184" i="2" s="1"/>
  <c r="P184" i="2"/>
  <c r="M184" i="2" s="1"/>
  <c r="J185" i="2"/>
  <c r="V185" i="2" s="1"/>
  <c r="P185" i="2"/>
  <c r="M185" i="2" s="1"/>
  <c r="J186" i="2"/>
  <c r="V186" i="2" s="1"/>
  <c r="P186" i="2"/>
  <c r="M186" i="2" s="1"/>
  <c r="J187" i="2"/>
  <c r="V187" i="2" s="1"/>
  <c r="P187" i="2"/>
  <c r="M187" i="2" s="1"/>
  <c r="J188" i="2"/>
  <c r="V188" i="2" s="1"/>
  <c r="P188" i="2"/>
  <c r="M188" i="2" s="1"/>
  <c r="J189" i="2"/>
  <c r="V189" i="2" s="1"/>
  <c r="P189" i="2"/>
  <c r="M189" i="2" s="1"/>
  <c r="J190" i="2"/>
  <c r="V190" i="2" s="1"/>
  <c r="P190" i="2"/>
  <c r="M190" i="2" s="1"/>
  <c r="J191" i="2"/>
  <c r="V191" i="2" s="1"/>
  <c r="P191" i="2"/>
  <c r="M191" i="2" s="1"/>
  <c r="J192" i="2"/>
  <c r="V192" i="2" s="1"/>
  <c r="P192" i="2"/>
  <c r="M192" i="2" s="1"/>
  <c r="J193" i="2"/>
  <c r="V193" i="2" s="1"/>
  <c r="P193" i="2"/>
  <c r="M193" i="2" s="1"/>
  <c r="J194" i="2"/>
  <c r="V194" i="2" s="1"/>
  <c r="P194" i="2"/>
  <c r="M194" i="2" s="1"/>
  <c r="J195" i="2"/>
  <c r="V195" i="2" s="1"/>
  <c r="P195" i="2"/>
  <c r="M195" i="2" s="1"/>
  <c r="J196" i="2"/>
  <c r="V196" i="2" s="1"/>
  <c r="P196" i="2"/>
  <c r="M196" i="2" s="1"/>
  <c r="J197" i="2"/>
  <c r="V197" i="2" s="1"/>
  <c r="P197" i="2"/>
  <c r="M197" i="2" s="1"/>
  <c r="J198" i="2"/>
  <c r="V198" i="2" s="1"/>
  <c r="P198" i="2"/>
  <c r="M198" i="2" s="1"/>
  <c r="J199" i="2"/>
  <c r="V199" i="2" s="1"/>
  <c r="P199" i="2"/>
  <c r="M199" i="2" s="1"/>
  <c r="J200" i="2"/>
  <c r="V200" i="2" s="1"/>
  <c r="P200" i="2"/>
  <c r="M200" i="2" s="1"/>
  <c r="J201" i="2"/>
  <c r="V201" i="2" s="1"/>
  <c r="P201" i="2"/>
  <c r="M201" i="2" s="1"/>
  <c r="J202" i="2"/>
  <c r="V202" i="2" s="1"/>
  <c r="P202" i="2"/>
  <c r="M202" i="2" s="1"/>
  <c r="J203" i="2"/>
  <c r="V203" i="2" s="1"/>
  <c r="P203" i="2"/>
  <c r="M203" i="2" s="1"/>
  <c r="J204" i="2"/>
  <c r="V204" i="2" s="1"/>
  <c r="P204" i="2"/>
  <c r="M204" i="2" s="1"/>
  <c r="J205" i="2"/>
  <c r="V205" i="2" s="1"/>
  <c r="P205" i="2"/>
  <c r="M205" i="2" s="1"/>
  <c r="J206" i="2"/>
  <c r="V206" i="2" s="1"/>
  <c r="P206" i="2"/>
  <c r="M206" i="2" s="1"/>
  <c r="J207" i="2"/>
  <c r="V207" i="2" s="1"/>
  <c r="P207" i="2"/>
  <c r="M207" i="2" s="1"/>
  <c r="J208" i="2"/>
  <c r="V208" i="2" s="1"/>
  <c r="P208" i="2"/>
  <c r="M208" i="2" s="1"/>
  <c r="J209" i="2"/>
  <c r="V209" i="2" s="1"/>
  <c r="P209" i="2"/>
  <c r="M209" i="2" s="1"/>
  <c r="J210" i="2"/>
  <c r="V210" i="2" s="1"/>
  <c r="P210" i="2"/>
  <c r="M210" i="2" s="1"/>
  <c r="J211" i="2"/>
  <c r="V211" i="2" s="1"/>
  <c r="P211" i="2"/>
  <c r="M211" i="2" s="1"/>
  <c r="J212" i="2"/>
  <c r="V212" i="2" s="1"/>
  <c r="P212" i="2"/>
  <c r="M212" i="2" s="1"/>
  <c r="J213" i="2"/>
  <c r="V213" i="2" s="1"/>
  <c r="P213" i="2"/>
  <c r="M213" i="2" s="1"/>
  <c r="J214" i="2"/>
  <c r="V214" i="2" s="1"/>
  <c r="P214" i="2"/>
  <c r="M214" i="2" s="1"/>
  <c r="J215" i="2"/>
  <c r="V215" i="2" s="1"/>
  <c r="P215" i="2"/>
  <c r="M215" i="2" s="1"/>
  <c r="J216" i="2"/>
  <c r="V216" i="2" s="1"/>
  <c r="P216" i="2"/>
  <c r="M216" i="2" s="1"/>
  <c r="J217" i="2"/>
  <c r="V217" i="2" s="1"/>
  <c r="P217" i="2"/>
  <c r="M217" i="2" s="1"/>
  <c r="J218" i="2"/>
  <c r="V218" i="2" s="1"/>
  <c r="P218" i="2"/>
  <c r="M218" i="2" s="1"/>
  <c r="J219" i="2"/>
  <c r="V219" i="2" s="1"/>
  <c r="P219" i="2"/>
  <c r="M219" i="2" s="1"/>
  <c r="J220" i="2"/>
  <c r="V220" i="2" s="1"/>
  <c r="P220" i="2"/>
  <c r="M220" i="2" s="1"/>
  <c r="J221" i="2"/>
  <c r="V221" i="2" s="1"/>
  <c r="P221" i="2"/>
  <c r="M221" i="2" s="1"/>
  <c r="J222" i="2"/>
  <c r="V222" i="2" s="1"/>
  <c r="P222" i="2"/>
  <c r="M222" i="2" s="1"/>
  <c r="J223" i="2"/>
  <c r="V223" i="2" s="1"/>
  <c r="P223" i="2"/>
  <c r="M223" i="2" s="1"/>
  <c r="J224" i="2"/>
  <c r="V224" i="2" s="1"/>
  <c r="P224" i="2"/>
  <c r="M224" i="2" s="1"/>
  <c r="J225" i="2"/>
  <c r="V225" i="2" s="1"/>
  <c r="P225" i="2"/>
  <c r="M225" i="2" s="1"/>
  <c r="J226" i="2"/>
  <c r="V226" i="2" s="1"/>
  <c r="P226" i="2"/>
  <c r="M226" i="2" s="1"/>
  <c r="J227" i="2"/>
  <c r="V227" i="2" s="1"/>
  <c r="P227" i="2"/>
  <c r="M227" i="2" s="1"/>
  <c r="J228" i="2"/>
  <c r="V228" i="2" s="1"/>
  <c r="P228" i="2"/>
  <c r="M228" i="2" s="1"/>
  <c r="J229" i="2"/>
  <c r="V229" i="2" s="1"/>
  <c r="P229" i="2"/>
  <c r="M229" i="2" s="1"/>
  <c r="J230" i="2"/>
  <c r="V230" i="2" s="1"/>
  <c r="P230" i="2"/>
  <c r="M230" i="2" s="1"/>
  <c r="J231" i="2"/>
  <c r="V231" i="2" s="1"/>
  <c r="P231" i="2"/>
  <c r="M231" i="2" s="1"/>
  <c r="J232" i="2"/>
  <c r="V232" i="2" s="1"/>
  <c r="P232" i="2"/>
  <c r="M232" i="2" s="1"/>
  <c r="J233" i="2"/>
  <c r="V233" i="2" s="1"/>
  <c r="P233" i="2"/>
  <c r="M233" i="2" s="1"/>
  <c r="J234" i="2"/>
  <c r="V234" i="2" s="1"/>
  <c r="P234" i="2"/>
  <c r="M234" i="2" s="1"/>
  <c r="J235" i="2"/>
  <c r="V235" i="2" s="1"/>
  <c r="P235" i="2"/>
  <c r="M235" i="2" s="1"/>
  <c r="J236" i="2"/>
  <c r="V236" i="2" s="1"/>
  <c r="P236" i="2"/>
  <c r="M236" i="2" s="1"/>
  <c r="J237" i="2"/>
  <c r="V237" i="2" s="1"/>
  <c r="P237" i="2"/>
  <c r="M237" i="2" s="1"/>
  <c r="J238" i="2"/>
  <c r="V238" i="2" s="1"/>
  <c r="P238" i="2"/>
  <c r="M238" i="2" s="1"/>
  <c r="J239" i="2"/>
  <c r="V239" i="2" s="1"/>
  <c r="P239" i="2"/>
  <c r="M239" i="2" s="1"/>
  <c r="J240" i="2"/>
  <c r="V240" i="2" s="1"/>
  <c r="P240" i="2"/>
  <c r="M240" i="2" s="1"/>
  <c r="J241" i="2"/>
  <c r="V241" i="2" s="1"/>
  <c r="P241" i="2"/>
  <c r="M241" i="2" s="1"/>
  <c r="J242" i="2"/>
  <c r="V242" i="2" s="1"/>
  <c r="P242" i="2"/>
  <c r="M242" i="2" s="1"/>
  <c r="J243" i="2"/>
  <c r="V243" i="2" s="1"/>
  <c r="P243" i="2"/>
  <c r="M243" i="2" s="1"/>
  <c r="J244" i="2"/>
  <c r="V244" i="2" s="1"/>
  <c r="P244" i="2"/>
  <c r="M244" i="2" s="1"/>
  <c r="J245" i="2"/>
  <c r="V245" i="2" s="1"/>
  <c r="P245" i="2"/>
  <c r="M245" i="2" s="1"/>
  <c r="J246" i="2"/>
  <c r="V246" i="2" s="1"/>
  <c r="P246" i="2"/>
  <c r="M246" i="2" s="1"/>
  <c r="J247" i="2"/>
  <c r="V247" i="2" s="1"/>
  <c r="P247" i="2"/>
  <c r="M247" i="2" s="1"/>
  <c r="J248" i="2"/>
  <c r="V248" i="2" s="1"/>
  <c r="P248" i="2"/>
  <c r="M248" i="2" s="1"/>
  <c r="J249" i="2"/>
  <c r="V249" i="2" s="1"/>
  <c r="P249" i="2"/>
  <c r="M249" i="2" s="1"/>
  <c r="J250" i="2"/>
  <c r="V250" i="2" s="1"/>
  <c r="P250" i="2"/>
  <c r="M250" i="2" s="1"/>
  <c r="J251" i="2"/>
  <c r="V251" i="2" s="1"/>
  <c r="P251" i="2"/>
  <c r="M251" i="2" s="1"/>
  <c r="J252" i="2"/>
  <c r="V252" i="2" s="1"/>
  <c r="P252" i="2"/>
  <c r="M252" i="2" s="1"/>
  <c r="J253" i="2"/>
  <c r="V253" i="2" s="1"/>
  <c r="P253" i="2"/>
  <c r="M253" i="2" s="1"/>
  <c r="J254" i="2"/>
  <c r="V254" i="2" s="1"/>
  <c r="P254" i="2"/>
  <c r="M254" i="2" s="1"/>
  <c r="J255" i="2"/>
  <c r="V255" i="2" s="1"/>
  <c r="P255" i="2"/>
  <c r="M255" i="2" s="1"/>
  <c r="J256" i="2"/>
  <c r="V256" i="2" s="1"/>
  <c r="P256" i="2"/>
  <c r="M256" i="2" s="1"/>
  <c r="J257" i="2"/>
  <c r="V257" i="2" s="1"/>
  <c r="P257" i="2"/>
  <c r="M257" i="2" s="1"/>
  <c r="J258" i="2"/>
  <c r="V258" i="2" s="1"/>
  <c r="P258" i="2"/>
  <c r="M258" i="2" s="1"/>
  <c r="J259" i="2"/>
  <c r="V259" i="2" s="1"/>
  <c r="P259" i="2"/>
  <c r="M259" i="2" s="1"/>
  <c r="J260" i="2"/>
  <c r="V260" i="2" s="1"/>
  <c r="P260" i="2"/>
  <c r="M260" i="2" s="1"/>
  <c r="J261" i="2"/>
  <c r="V261" i="2" s="1"/>
  <c r="P261" i="2"/>
  <c r="M261" i="2" s="1"/>
  <c r="J262" i="2"/>
  <c r="V262" i="2" s="1"/>
  <c r="P262" i="2"/>
  <c r="M262" i="2" s="1"/>
  <c r="J263" i="2"/>
  <c r="V263" i="2" s="1"/>
  <c r="P263" i="2"/>
  <c r="M263" i="2" s="1"/>
  <c r="J264" i="2"/>
  <c r="V264" i="2" s="1"/>
  <c r="P264" i="2"/>
  <c r="M264" i="2" s="1"/>
  <c r="J265" i="2"/>
  <c r="V265" i="2" s="1"/>
  <c r="P265" i="2"/>
  <c r="M265" i="2" s="1"/>
  <c r="J266" i="2"/>
  <c r="V266" i="2" s="1"/>
  <c r="P266" i="2"/>
  <c r="M266" i="2" s="1"/>
  <c r="J267" i="2"/>
  <c r="V267" i="2" s="1"/>
  <c r="P267" i="2"/>
  <c r="M267" i="2" s="1"/>
  <c r="J268" i="2"/>
  <c r="V268" i="2" s="1"/>
  <c r="P268" i="2"/>
  <c r="M268" i="2" s="1"/>
  <c r="J269" i="2"/>
  <c r="V269" i="2" s="1"/>
  <c r="P269" i="2"/>
  <c r="M269" i="2" s="1"/>
  <c r="J270" i="2"/>
  <c r="V270" i="2" s="1"/>
  <c r="P270" i="2"/>
  <c r="M270" i="2" s="1"/>
  <c r="J271" i="2"/>
  <c r="V271" i="2" s="1"/>
  <c r="P271" i="2"/>
  <c r="M271" i="2" s="1"/>
  <c r="J272" i="2"/>
  <c r="V272" i="2" s="1"/>
  <c r="P272" i="2"/>
  <c r="M272" i="2" s="1"/>
  <c r="J273" i="2"/>
  <c r="V273" i="2" s="1"/>
  <c r="P273" i="2"/>
  <c r="M273" i="2" s="1"/>
  <c r="J274" i="2"/>
  <c r="V274" i="2" s="1"/>
  <c r="P274" i="2"/>
  <c r="M274" i="2" s="1"/>
  <c r="J275" i="2"/>
  <c r="V275" i="2" s="1"/>
  <c r="P275" i="2"/>
  <c r="M275" i="2" s="1"/>
  <c r="J276" i="2"/>
  <c r="V276" i="2" s="1"/>
  <c r="P276" i="2"/>
  <c r="M276" i="2" s="1"/>
  <c r="J277" i="2"/>
  <c r="V277" i="2" s="1"/>
  <c r="P277" i="2"/>
  <c r="M277" i="2" s="1"/>
  <c r="J278" i="2"/>
  <c r="V278" i="2" s="1"/>
  <c r="P278" i="2"/>
  <c r="M278" i="2" s="1"/>
  <c r="J279" i="2"/>
  <c r="V279" i="2" s="1"/>
  <c r="P279" i="2"/>
  <c r="M279" i="2" s="1"/>
  <c r="J280" i="2"/>
  <c r="V280" i="2" s="1"/>
  <c r="P280" i="2"/>
  <c r="M280" i="2" s="1"/>
  <c r="J281" i="2"/>
  <c r="V281" i="2" s="1"/>
  <c r="P281" i="2"/>
  <c r="M281" i="2" s="1"/>
  <c r="J282" i="2"/>
  <c r="V282" i="2" s="1"/>
  <c r="P282" i="2"/>
  <c r="M282" i="2" s="1"/>
  <c r="J283" i="2"/>
  <c r="V283" i="2" s="1"/>
  <c r="P283" i="2"/>
  <c r="M283" i="2" s="1"/>
  <c r="J284" i="2"/>
  <c r="V284" i="2" s="1"/>
  <c r="P284" i="2"/>
  <c r="M284" i="2" s="1"/>
  <c r="J285" i="2"/>
  <c r="V285" i="2" s="1"/>
  <c r="P285" i="2"/>
  <c r="M285" i="2" s="1"/>
  <c r="J286" i="2"/>
  <c r="V286" i="2" s="1"/>
  <c r="P286" i="2"/>
  <c r="M286" i="2" s="1"/>
  <c r="J287" i="2"/>
  <c r="V287" i="2" s="1"/>
  <c r="P287" i="2"/>
  <c r="M287" i="2" s="1"/>
  <c r="J288" i="2"/>
  <c r="V288" i="2" s="1"/>
  <c r="P288" i="2"/>
  <c r="M288" i="2" s="1"/>
  <c r="J289" i="2"/>
  <c r="V289" i="2" s="1"/>
  <c r="P289" i="2"/>
  <c r="M289" i="2" s="1"/>
  <c r="J290" i="2"/>
  <c r="V290" i="2" s="1"/>
  <c r="P290" i="2"/>
  <c r="M290" i="2" s="1"/>
  <c r="J291" i="2"/>
  <c r="V291" i="2" s="1"/>
  <c r="P291" i="2"/>
  <c r="M291" i="2" s="1"/>
  <c r="J292" i="2"/>
  <c r="V292" i="2" s="1"/>
  <c r="P292" i="2"/>
  <c r="M292" i="2" s="1"/>
  <c r="J293" i="2"/>
  <c r="V293" i="2" s="1"/>
  <c r="P293" i="2"/>
  <c r="M293" i="2" s="1"/>
  <c r="J294" i="2"/>
  <c r="V294" i="2" s="1"/>
  <c r="P294" i="2"/>
  <c r="M294" i="2" s="1"/>
  <c r="J295" i="2"/>
  <c r="V295" i="2" s="1"/>
  <c r="P295" i="2"/>
  <c r="M295" i="2" s="1"/>
  <c r="J296" i="2"/>
  <c r="V296" i="2" s="1"/>
  <c r="P296" i="2"/>
  <c r="M296" i="2"/>
  <c r="J297" i="2"/>
  <c r="V297" i="2" s="1"/>
  <c r="P297" i="2"/>
  <c r="M297" i="2" s="1"/>
  <c r="J298" i="2"/>
  <c r="V298" i="2" s="1"/>
  <c r="P298" i="2"/>
  <c r="M298" i="2" s="1"/>
  <c r="J299" i="2"/>
  <c r="V299" i="2" s="1"/>
  <c r="P299" i="2"/>
  <c r="M299" i="2" s="1"/>
  <c r="J300" i="2"/>
  <c r="V300" i="2" s="1"/>
  <c r="P300" i="2"/>
  <c r="M300" i="2" s="1"/>
  <c r="J301" i="2"/>
  <c r="V301" i="2" s="1"/>
  <c r="P301" i="2"/>
  <c r="M301" i="2" s="1"/>
  <c r="J302" i="2"/>
  <c r="V302" i="2" s="1"/>
  <c r="P302" i="2"/>
  <c r="M302" i="2" s="1"/>
  <c r="J303" i="2"/>
  <c r="V303" i="2" s="1"/>
  <c r="P303" i="2"/>
  <c r="M303" i="2" s="1"/>
  <c r="J304" i="2"/>
  <c r="V304" i="2" s="1"/>
  <c r="P304" i="2"/>
  <c r="M304" i="2" s="1"/>
  <c r="J305" i="2"/>
  <c r="V305" i="2" s="1"/>
  <c r="P305" i="2"/>
  <c r="M305" i="2" s="1"/>
  <c r="J306" i="2"/>
  <c r="V306" i="2" s="1"/>
  <c r="P306" i="2"/>
  <c r="M306" i="2" s="1"/>
  <c r="J307" i="2"/>
  <c r="V307" i="2" s="1"/>
  <c r="P307" i="2"/>
  <c r="M307" i="2" s="1"/>
  <c r="J308" i="2"/>
  <c r="V308" i="2" s="1"/>
  <c r="P308" i="2"/>
  <c r="M308" i="2" s="1"/>
  <c r="J309" i="2"/>
  <c r="V309" i="2" s="1"/>
  <c r="P309" i="2"/>
  <c r="M309" i="2" s="1"/>
  <c r="J310" i="2"/>
  <c r="V310" i="2" s="1"/>
  <c r="P310" i="2"/>
  <c r="M310" i="2" s="1"/>
  <c r="J311" i="2"/>
  <c r="V311" i="2" s="1"/>
  <c r="P311" i="2"/>
  <c r="M311" i="2" s="1"/>
  <c r="J312" i="2"/>
  <c r="V312" i="2" s="1"/>
  <c r="P312" i="2"/>
  <c r="M312" i="2" s="1"/>
  <c r="J313" i="2"/>
  <c r="V313" i="2" s="1"/>
  <c r="P313" i="2"/>
  <c r="M313" i="2" s="1"/>
  <c r="J314" i="2"/>
  <c r="V314" i="2" s="1"/>
  <c r="P314" i="2"/>
  <c r="M314" i="2" s="1"/>
  <c r="J315" i="2"/>
  <c r="V315" i="2" s="1"/>
  <c r="P315" i="2"/>
  <c r="M315" i="2" s="1"/>
  <c r="J316" i="2"/>
  <c r="V316" i="2" s="1"/>
  <c r="P316" i="2"/>
  <c r="M316" i="2" s="1"/>
  <c r="J317" i="2"/>
  <c r="V317" i="2" s="1"/>
  <c r="P317" i="2"/>
  <c r="M317" i="2" s="1"/>
  <c r="J318" i="2"/>
  <c r="V318" i="2" s="1"/>
  <c r="P318" i="2"/>
  <c r="M318" i="2" s="1"/>
  <c r="J319" i="2"/>
  <c r="V319" i="2" s="1"/>
  <c r="P319" i="2"/>
  <c r="M319" i="2" s="1"/>
  <c r="J320" i="2"/>
  <c r="V320" i="2" s="1"/>
  <c r="P320" i="2"/>
  <c r="M320" i="2" s="1"/>
  <c r="J321" i="2"/>
  <c r="V321" i="2" s="1"/>
  <c r="P321" i="2"/>
  <c r="M321" i="2" s="1"/>
  <c r="J322" i="2"/>
  <c r="V322" i="2" s="1"/>
  <c r="P322" i="2"/>
  <c r="M322" i="2" s="1"/>
  <c r="J323" i="2"/>
  <c r="V323" i="2" s="1"/>
  <c r="P323" i="2"/>
  <c r="M323" i="2" s="1"/>
  <c r="J324" i="2"/>
  <c r="V324" i="2" s="1"/>
  <c r="P324" i="2"/>
  <c r="M324" i="2" s="1"/>
  <c r="J325" i="2"/>
  <c r="V325" i="2" s="1"/>
  <c r="P325" i="2"/>
  <c r="M325" i="2" s="1"/>
  <c r="J326" i="2"/>
  <c r="V326" i="2" s="1"/>
  <c r="P326" i="2"/>
  <c r="M326" i="2" s="1"/>
  <c r="J327" i="2"/>
  <c r="V327" i="2" s="1"/>
  <c r="P327" i="2"/>
  <c r="M327" i="2" s="1"/>
  <c r="J328" i="2"/>
  <c r="V328" i="2" s="1"/>
  <c r="P328" i="2"/>
  <c r="M328" i="2" s="1"/>
  <c r="J329" i="2"/>
  <c r="V329" i="2" s="1"/>
  <c r="P329" i="2"/>
  <c r="M329" i="2" s="1"/>
  <c r="J330" i="2"/>
  <c r="V330" i="2" s="1"/>
  <c r="P330" i="2"/>
  <c r="M330" i="2" s="1"/>
  <c r="J331" i="2"/>
  <c r="V331" i="2" s="1"/>
  <c r="P331" i="2"/>
  <c r="M331" i="2" s="1"/>
  <c r="J332" i="2"/>
  <c r="V332" i="2" s="1"/>
  <c r="P332" i="2"/>
  <c r="M332" i="2" s="1"/>
  <c r="J333" i="2"/>
  <c r="V333" i="2" s="1"/>
  <c r="P333" i="2"/>
  <c r="M333" i="2" s="1"/>
  <c r="J334" i="2"/>
  <c r="V334" i="2" s="1"/>
  <c r="P334" i="2"/>
  <c r="M334" i="2" s="1"/>
  <c r="J335" i="2"/>
  <c r="V335" i="2" s="1"/>
  <c r="P335" i="2"/>
  <c r="M335" i="2" s="1"/>
  <c r="J336" i="2"/>
  <c r="V336" i="2" s="1"/>
  <c r="P336" i="2"/>
  <c r="M336" i="2" s="1"/>
  <c r="J337" i="2"/>
  <c r="V337" i="2" s="1"/>
  <c r="P337" i="2"/>
  <c r="M337" i="2" s="1"/>
  <c r="J338" i="2"/>
  <c r="V338" i="2" s="1"/>
  <c r="P338" i="2"/>
  <c r="M338" i="2" s="1"/>
  <c r="J339" i="2"/>
  <c r="V339" i="2" s="1"/>
  <c r="P339" i="2"/>
  <c r="M339" i="2" s="1"/>
  <c r="J340" i="2"/>
  <c r="V340" i="2" s="1"/>
  <c r="P340" i="2"/>
  <c r="M340" i="2" s="1"/>
  <c r="J341" i="2"/>
  <c r="V341" i="2" s="1"/>
  <c r="P341" i="2"/>
  <c r="M341" i="2" s="1"/>
  <c r="J342" i="2"/>
  <c r="V342" i="2" s="1"/>
  <c r="P342" i="2"/>
  <c r="M342" i="2" s="1"/>
  <c r="J343" i="2"/>
  <c r="V343" i="2" s="1"/>
  <c r="P343" i="2"/>
  <c r="M343" i="2" s="1"/>
  <c r="J344" i="2"/>
  <c r="V344" i="2" s="1"/>
  <c r="P344" i="2"/>
  <c r="M344" i="2" s="1"/>
  <c r="J345" i="2"/>
  <c r="V345" i="2" s="1"/>
  <c r="P345" i="2"/>
  <c r="M345" i="2" s="1"/>
  <c r="J346" i="2"/>
  <c r="V346" i="2" s="1"/>
  <c r="P346" i="2"/>
  <c r="M346" i="2" s="1"/>
  <c r="J347" i="2"/>
  <c r="V347" i="2" s="1"/>
  <c r="P347" i="2"/>
  <c r="M347" i="2" s="1"/>
  <c r="J348" i="2"/>
  <c r="V348" i="2" s="1"/>
  <c r="P348" i="2"/>
  <c r="M348" i="2" s="1"/>
  <c r="J349" i="2"/>
  <c r="V349" i="2" s="1"/>
  <c r="P349" i="2"/>
  <c r="M349" i="2" s="1"/>
  <c r="J350" i="2"/>
  <c r="V350" i="2" s="1"/>
  <c r="P350" i="2"/>
  <c r="M350" i="2" s="1"/>
  <c r="J351" i="2"/>
  <c r="V351" i="2" s="1"/>
  <c r="P351" i="2"/>
  <c r="M351" i="2" s="1"/>
  <c r="J352" i="2"/>
  <c r="V352" i="2" s="1"/>
  <c r="P352" i="2"/>
  <c r="M352" i="2" s="1"/>
  <c r="J353" i="2"/>
  <c r="V353" i="2" s="1"/>
  <c r="P353" i="2"/>
  <c r="M353" i="2" s="1"/>
  <c r="J354" i="2"/>
  <c r="V354" i="2" s="1"/>
  <c r="P354" i="2"/>
  <c r="M354" i="2" s="1"/>
  <c r="J355" i="2"/>
  <c r="V355" i="2" s="1"/>
  <c r="P355" i="2"/>
  <c r="M355" i="2" s="1"/>
  <c r="J356" i="2"/>
  <c r="V356" i="2" s="1"/>
  <c r="P356" i="2"/>
  <c r="M356" i="2" s="1"/>
  <c r="J357" i="2"/>
  <c r="V357" i="2" s="1"/>
  <c r="P357" i="2"/>
  <c r="M357" i="2" s="1"/>
  <c r="J358" i="2"/>
  <c r="V358" i="2" s="1"/>
  <c r="P358" i="2"/>
  <c r="M358" i="2" s="1"/>
  <c r="J359" i="2"/>
  <c r="V359" i="2" s="1"/>
  <c r="P359" i="2"/>
  <c r="M359" i="2" s="1"/>
  <c r="J360" i="2"/>
  <c r="V360" i="2" s="1"/>
  <c r="P360" i="2"/>
  <c r="M360" i="2"/>
  <c r="J361" i="2"/>
  <c r="V361" i="2" s="1"/>
  <c r="P361" i="2"/>
  <c r="M361" i="2" s="1"/>
  <c r="J362" i="2"/>
  <c r="V362" i="2" s="1"/>
  <c r="P362" i="2"/>
  <c r="M362" i="2" s="1"/>
  <c r="J363" i="2"/>
  <c r="V363" i="2" s="1"/>
  <c r="P363" i="2"/>
  <c r="M363" i="2" s="1"/>
  <c r="J364" i="2"/>
  <c r="V364" i="2" s="1"/>
  <c r="P364" i="2"/>
  <c r="M364" i="2" s="1"/>
  <c r="J365" i="2"/>
  <c r="V365" i="2" s="1"/>
  <c r="P365" i="2"/>
  <c r="M365" i="2" s="1"/>
  <c r="J366" i="2"/>
  <c r="V366" i="2" s="1"/>
  <c r="P366" i="2"/>
  <c r="M366" i="2" s="1"/>
  <c r="J367" i="2"/>
  <c r="V367" i="2" s="1"/>
  <c r="P367" i="2"/>
  <c r="M367" i="2" s="1"/>
  <c r="J368" i="2"/>
  <c r="V368" i="2" s="1"/>
  <c r="P368" i="2"/>
  <c r="M368" i="2" s="1"/>
  <c r="J369" i="2"/>
  <c r="V369" i="2" s="1"/>
  <c r="P369" i="2"/>
  <c r="M369" i="2" s="1"/>
  <c r="J370" i="2"/>
  <c r="V370" i="2" s="1"/>
  <c r="P370" i="2"/>
  <c r="M370" i="2" s="1"/>
  <c r="J371" i="2"/>
  <c r="V371" i="2" s="1"/>
  <c r="P371" i="2"/>
  <c r="M371" i="2" s="1"/>
  <c r="J372" i="2"/>
  <c r="V372" i="2" s="1"/>
  <c r="P372" i="2"/>
  <c r="M372" i="2" s="1"/>
  <c r="J373" i="2"/>
  <c r="V373" i="2" s="1"/>
  <c r="P373" i="2"/>
  <c r="M373" i="2" s="1"/>
  <c r="J374" i="2"/>
  <c r="V374" i="2" s="1"/>
  <c r="P374" i="2"/>
  <c r="M374" i="2" s="1"/>
  <c r="J375" i="2"/>
  <c r="V375" i="2" s="1"/>
  <c r="P375" i="2"/>
  <c r="M375" i="2" s="1"/>
  <c r="J376" i="2"/>
  <c r="V376" i="2" s="1"/>
  <c r="P376" i="2"/>
  <c r="M376" i="2" s="1"/>
  <c r="J377" i="2"/>
  <c r="V377" i="2" s="1"/>
  <c r="P377" i="2"/>
  <c r="M377" i="2" s="1"/>
  <c r="J378" i="2"/>
  <c r="V378" i="2" s="1"/>
  <c r="P378" i="2"/>
  <c r="M378" i="2" s="1"/>
  <c r="J379" i="2"/>
  <c r="V379" i="2" s="1"/>
  <c r="P379" i="2"/>
  <c r="M379" i="2" s="1"/>
  <c r="J380" i="2"/>
  <c r="V380" i="2" s="1"/>
  <c r="P380" i="2"/>
  <c r="M380" i="2" s="1"/>
  <c r="J381" i="2"/>
  <c r="V381" i="2" s="1"/>
  <c r="P381" i="2"/>
  <c r="M381" i="2" s="1"/>
  <c r="J382" i="2"/>
  <c r="V382" i="2" s="1"/>
  <c r="P382" i="2"/>
  <c r="M382" i="2" s="1"/>
  <c r="J383" i="2"/>
  <c r="V383" i="2" s="1"/>
  <c r="P383" i="2"/>
  <c r="M383" i="2" s="1"/>
  <c r="J384" i="2"/>
  <c r="V384" i="2" s="1"/>
  <c r="P384" i="2"/>
  <c r="M384" i="2" s="1"/>
  <c r="J385" i="2"/>
  <c r="V385" i="2" s="1"/>
  <c r="P385" i="2"/>
  <c r="M385" i="2" s="1"/>
  <c r="J386" i="2"/>
  <c r="V386" i="2" s="1"/>
  <c r="P386" i="2"/>
  <c r="M386" i="2" s="1"/>
  <c r="J387" i="2"/>
  <c r="V387" i="2" s="1"/>
  <c r="P387" i="2"/>
  <c r="M387" i="2" s="1"/>
  <c r="J388" i="2"/>
  <c r="V388" i="2" s="1"/>
  <c r="P388" i="2"/>
  <c r="M388" i="2" s="1"/>
  <c r="J389" i="2"/>
  <c r="V389" i="2" s="1"/>
  <c r="P389" i="2"/>
  <c r="M389" i="2" s="1"/>
  <c r="J390" i="2"/>
  <c r="V390" i="2" s="1"/>
  <c r="P390" i="2"/>
  <c r="M390" i="2" s="1"/>
  <c r="J391" i="2"/>
  <c r="V391" i="2" s="1"/>
  <c r="P391" i="2"/>
  <c r="M391" i="2" s="1"/>
  <c r="J392" i="2"/>
  <c r="V392" i="2" s="1"/>
  <c r="P392" i="2"/>
  <c r="M392" i="2" s="1"/>
  <c r="J393" i="2"/>
  <c r="V393" i="2" s="1"/>
  <c r="P393" i="2"/>
  <c r="M393" i="2" s="1"/>
  <c r="J394" i="2"/>
  <c r="V394" i="2" s="1"/>
  <c r="P394" i="2"/>
  <c r="M394" i="2" s="1"/>
  <c r="J395" i="2"/>
  <c r="V395" i="2" s="1"/>
  <c r="P395" i="2"/>
  <c r="M395" i="2" s="1"/>
  <c r="J396" i="2"/>
  <c r="V396" i="2" s="1"/>
  <c r="P396" i="2"/>
  <c r="M396" i="2" s="1"/>
  <c r="J397" i="2"/>
  <c r="V397" i="2" s="1"/>
  <c r="P397" i="2"/>
  <c r="M397" i="2" s="1"/>
  <c r="J398" i="2"/>
  <c r="V398" i="2" s="1"/>
  <c r="P398" i="2"/>
  <c r="M398" i="2" s="1"/>
  <c r="J399" i="2"/>
  <c r="V399" i="2" s="1"/>
  <c r="P399" i="2"/>
  <c r="M399" i="2" s="1"/>
  <c r="J400" i="2"/>
  <c r="V400" i="2" s="1"/>
  <c r="P400" i="2"/>
  <c r="M400" i="2" s="1"/>
  <c r="J401" i="2"/>
  <c r="V401" i="2" s="1"/>
  <c r="P401" i="2"/>
  <c r="M401" i="2" s="1"/>
  <c r="J402" i="2"/>
  <c r="V402" i="2" s="1"/>
  <c r="P402" i="2"/>
  <c r="M402" i="2" s="1"/>
  <c r="J403" i="2"/>
  <c r="V403" i="2" s="1"/>
  <c r="P403" i="2"/>
  <c r="M403" i="2" s="1"/>
  <c r="J404" i="2"/>
  <c r="V404" i="2" s="1"/>
  <c r="P404" i="2"/>
  <c r="M404" i="2" s="1"/>
  <c r="J405" i="2"/>
  <c r="V405" i="2" s="1"/>
  <c r="P405" i="2"/>
  <c r="M405" i="2" s="1"/>
  <c r="J406" i="2"/>
  <c r="V406" i="2" s="1"/>
  <c r="P406" i="2"/>
  <c r="M406" i="2" s="1"/>
  <c r="J407" i="2"/>
  <c r="V407" i="2" s="1"/>
  <c r="P407" i="2"/>
  <c r="M407" i="2" s="1"/>
  <c r="J408" i="2"/>
  <c r="V408" i="2" s="1"/>
  <c r="P408" i="2"/>
  <c r="M408" i="2" s="1"/>
  <c r="J409" i="2"/>
  <c r="V409" i="2" s="1"/>
  <c r="P409" i="2"/>
  <c r="M409" i="2" s="1"/>
  <c r="J410" i="2"/>
  <c r="V410" i="2" s="1"/>
  <c r="P410" i="2"/>
  <c r="M410" i="2" s="1"/>
  <c r="J411" i="2"/>
  <c r="V411" i="2" s="1"/>
  <c r="P411" i="2"/>
  <c r="M411" i="2" s="1"/>
  <c r="J412" i="2"/>
  <c r="V412" i="2" s="1"/>
  <c r="P412" i="2"/>
  <c r="M412" i="2"/>
  <c r="J413" i="2"/>
  <c r="V413" i="2" s="1"/>
  <c r="P413" i="2"/>
  <c r="M413" i="2" s="1"/>
  <c r="J414" i="2"/>
  <c r="V414" i="2" s="1"/>
  <c r="P414" i="2"/>
  <c r="M414" i="2" s="1"/>
  <c r="J415" i="2"/>
  <c r="V415" i="2" s="1"/>
  <c r="P415" i="2"/>
  <c r="M415" i="2" s="1"/>
  <c r="J416" i="2"/>
  <c r="V416" i="2" s="1"/>
  <c r="P416" i="2"/>
  <c r="M416" i="2" s="1"/>
  <c r="J417" i="2"/>
  <c r="V417" i="2" s="1"/>
  <c r="P417" i="2"/>
  <c r="M417" i="2" s="1"/>
  <c r="J418" i="2"/>
  <c r="V418" i="2" s="1"/>
  <c r="P418" i="2"/>
  <c r="M418" i="2" s="1"/>
  <c r="J419" i="2"/>
  <c r="V419" i="2" s="1"/>
  <c r="P419" i="2"/>
  <c r="M419" i="2" s="1"/>
  <c r="J420" i="2"/>
  <c r="V420" i="2" s="1"/>
  <c r="P420" i="2"/>
  <c r="M420" i="2" s="1"/>
  <c r="J421" i="2"/>
  <c r="V421" i="2" s="1"/>
  <c r="P421" i="2"/>
  <c r="M421" i="2" s="1"/>
  <c r="J422" i="2"/>
  <c r="V422" i="2" s="1"/>
  <c r="P422" i="2"/>
  <c r="M422" i="2" s="1"/>
  <c r="J423" i="2"/>
  <c r="V423" i="2" s="1"/>
  <c r="P423" i="2"/>
  <c r="M423" i="2" s="1"/>
  <c r="J424" i="2"/>
  <c r="V424" i="2" s="1"/>
  <c r="P424" i="2"/>
  <c r="M424" i="2" s="1"/>
  <c r="J425" i="2"/>
  <c r="V425" i="2" s="1"/>
  <c r="P425" i="2"/>
  <c r="M425" i="2" s="1"/>
  <c r="J426" i="2"/>
  <c r="V426" i="2" s="1"/>
  <c r="P426" i="2"/>
  <c r="M426" i="2" s="1"/>
  <c r="J427" i="2"/>
  <c r="V427" i="2" s="1"/>
  <c r="P427" i="2"/>
  <c r="M427" i="2" s="1"/>
  <c r="J428" i="2"/>
  <c r="V428" i="2" s="1"/>
  <c r="P428" i="2"/>
  <c r="M428" i="2" s="1"/>
  <c r="J429" i="2"/>
  <c r="V429" i="2" s="1"/>
  <c r="P429" i="2"/>
  <c r="M429" i="2" s="1"/>
  <c r="J430" i="2"/>
  <c r="V430" i="2" s="1"/>
  <c r="P430" i="2"/>
  <c r="M430" i="2" s="1"/>
  <c r="J431" i="2"/>
  <c r="V431" i="2" s="1"/>
  <c r="P431" i="2"/>
  <c r="M431" i="2" s="1"/>
  <c r="J432" i="2"/>
  <c r="V432" i="2" s="1"/>
  <c r="P432" i="2"/>
  <c r="M432" i="2" s="1"/>
  <c r="J433" i="2"/>
  <c r="V433" i="2" s="1"/>
  <c r="P433" i="2"/>
  <c r="M433" i="2" s="1"/>
  <c r="J434" i="2"/>
  <c r="V434" i="2" s="1"/>
  <c r="P434" i="2"/>
  <c r="M434" i="2" s="1"/>
  <c r="J435" i="2"/>
  <c r="V435" i="2" s="1"/>
  <c r="P435" i="2"/>
  <c r="M435" i="2" s="1"/>
  <c r="J436" i="2"/>
  <c r="V436" i="2" s="1"/>
  <c r="P436" i="2"/>
  <c r="M436" i="2" s="1"/>
  <c r="J437" i="2"/>
  <c r="V437" i="2" s="1"/>
  <c r="P437" i="2"/>
  <c r="M437" i="2" s="1"/>
  <c r="J438" i="2"/>
  <c r="V438" i="2" s="1"/>
  <c r="P438" i="2"/>
  <c r="M438" i="2" s="1"/>
  <c r="J439" i="2"/>
  <c r="V439" i="2" s="1"/>
  <c r="P439" i="2"/>
  <c r="M439" i="2" s="1"/>
  <c r="J440" i="2"/>
  <c r="V440" i="2" s="1"/>
  <c r="P440" i="2"/>
  <c r="M440" i="2" s="1"/>
  <c r="J441" i="2"/>
  <c r="V441" i="2" s="1"/>
  <c r="P441" i="2"/>
  <c r="M441" i="2" s="1"/>
  <c r="J442" i="2"/>
  <c r="V442" i="2" s="1"/>
  <c r="P442" i="2"/>
  <c r="M442" i="2" s="1"/>
  <c r="J443" i="2"/>
  <c r="V443" i="2" s="1"/>
  <c r="P443" i="2"/>
  <c r="M443" i="2" s="1"/>
  <c r="J444" i="2"/>
  <c r="V444" i="2" s="1"/>
  <c r="P444" i="2"/>
  <c r="M444" i="2"/>
  <c r="J445" i="2"/>
  <c r="V445" i="2" s="1"/>
  <c r="P445" i="2"/>
  <c r="M445" i="2" s="1"/>
  <c r="J446" i="2"/>
  <c r="V446" i="2" s="1"/>
  <c r="P446" i="2"/>
  <c r="M446" i="2" s="1"/>
  <c r="J447" i="2"/>
  <c r="V447" i="2" s="1"/>
  <c r="P447" i="2"/>
  <c r="M447" i="2" s="1"/>
  <c r="J448" i="2"/>
  <c r="V448" i="2" s="1"/>
  <c r="P448" i="2"/>
  <c r="M448" i="2" s="1"/>
  <c r="J449" i="2"/>
  <c r="V449" i="2" s="1"/>
  <c r="P449" i="2"/>
  <c r="M449" i="2" s="1"/>
  <c r="J450" i="2"/>
  <c r="V450" i="2" s="1"/>
  <c r="P450" i="2"/>
  <c r="M450" i="2" s="1"/>
  <c r="J451" i="2"/>
  <c r="V451" i="2" s="1"/>
  <c r="P451" i="2"/>
  <c r="M451" i="2" s="1"/>
  <c r="J452" i="2"/>
  <c r="V452" i="2" s="1"/>
  <c r="P452" i="2"/>
  <c r="M452" i="2" s="1"/>
  <c r="J453" i="2"/>
  <c r="V453" i="2" s="1"/>
  <c r="P453" i="2"/>
  <c r="M453" i="2" s="1"/>
  <c r="J454" i="2"/>
  <c r="V454" i="2" s="1"/>
  <c r="P454" i="2"/>
  <c r="M454" i="2" s="1"/>
  <c r="J455" i="2"/>
  <c r="V455" i="2" s="1"/>
  <c r="P455" i="2"/>
  <c r="M455" i="2" s="1"/>
  <c r="J456" i="2"/>
  <c r="V456" i="2" s="1"/>
  <c r="P456" i="2"/>
  <c r="M456" i="2" s="1"/>
  <c r="J457" i="2"/>
  <c r="V457" i="2" s="1"/>
  <c r="P457" i="2"/>
  <c r="M457" i="2" s="1"/>
  <c r="J458" i="2"/>
  <c r="V458" i="2" s="1"/>
  <c r="P458" i="2"/>
  <c r="M458" i="2" s="1"/>
  <c r="B3" i="17"/>
  <c r="B5" i="17"/>
  <c r="B6" i="17"/>
  <c r="B7" i="17"/>
  <c r="B8" i="17"/>
  <c r="B3" i="18"/>
  <c r="B5" i="18"/>
  <c r="B6" i="18"/>
  <c r="B7" i="18"/>
  <c r="B8" i="18"/>
  <c r="B3" i="19"/>
  <c r="B5" i="19"/>
  <c r="B6" i="19"/>
  <c r="B7" i="19"/>
  <c r="B8" i="19"/>
  <c r="K10" i="19"/>
  <c r="A12" i="19"/>
  <c r="A13" i="19"/>
  <c r="A14" i="19"/>
  <c r="K18" i="19"/>
  <c r="A20" i="19"/>
  <c r="A21" i="19"/>
  <c r="A22" i="19"/>
  <c r="K26" i="19"/>
  <c r="A28" i="19"/>
  <c r="A29" i="19"/>
  <c r="A30" i="19"/>
  <c r="K34" i="19"/>
  <c r="A36" i="19"/>
  <c r="A37" i="19"/>
  <c r="A38" i="19"/>
  <c r="K42" i="19"/>
  <c r="A44" i="19"/>
  <c r="A45" i="19"/>
  <c r="A46" i="19"/>
  <c r="K50" i="19"/>
  <c r="A52" i="19"/>
  <c r="A53" i="19"/>
  <c r="A54" i="19"/>
  <c r="K57" i="19"/>
  <c r="A59" i="19"/>
  <c r="A60" i="19"/>
  <c r="A61" i="19"/>
  <c r="K64" i="19"/>
  <c r="A66" i="19"/>
  <c r="A67" i="19"/>
  <c r="A68" i="19"/>
  <c r="K72" i="19"/>
  <c r="A74" i="19"/>
  <c r="A75" i="19"/>
  <c r="A76" i="19"/>
  <c r="K80" i="19"/>
  <c r="A82" i="19"/>
  <c r="A83" i="19"/>
  <c r="A84" i="19"/>
  <c r="K87" i="19"/>
  <c r="A89" i="19"/>
  <c r="A90" i="19"/>
  <c r="A91" i="19"/>
  <c r="K94" i="19"/>
  <c r="A96" i="19"/>
  <c r="A97" i="19"/>
  <c r="A98" i="19"/>
  <c r="A3" i="10"/>
  <c r="B3" i="10"/>
  <c r="A4" i="10"/>
  <c r="A5" i="10"/>
  <c r="B5" i="10"/>
  <c r="A6" i="10"/>
  <c r="B6" i="10"/>
  <c r="A7" i="10"/>
  <c r="B7" i="10"/>
  <c r="A8" i="10"/>
  <c r="B8" i="10"/>
  <c r="A3" i="5"/>
  <c r="B3" i="5"/>
  <c r="A4" i="5"/>
  <c r="A5" i="5"/>
  <c r="B5" i="5"/>
  <c r="A6" i="5"/>
  <c r="B6" i="5"/>
  <c r="A7" i="5"/>
  <c r="B7" i="5"/>
  <c r="A8" i="5"/>
  <c r="B8" i="5"/>
  <c r="A9" i="5"/>
  <c r="Q18" i="18"/>
  <c r="Q19" i="18"/>
  <c r="Q20" i="18" s="1"/>
  <c r="H19" i="18"/>
  <c r="Z18" i="18"/>
  <c r="W18" i="18"/>
  <c r="W20" i="18" s="1"/>
  <c r="T19" i="18"/>
  <c r="E18" i="18"/>
  <c r="D43" i="10"/>
  <c r="AF19" i="18"/>
  <c r="AF20" i="18" s="1"/>
  <c r="AF24" i="18" s="1"/>
  <c r="D26" i="10"/>
  <c r="D28" i="10" s="1"/>
  <c r="D30" i="10" s="1"/>
  <c r="G42" i="4" s="1"/>
  <c r="AF18" i="18"/>
  <c r="D63" i="10"/>
  <c r="D68" i="10" s="1"/>
  <c r="D23" i="10"/>
  <c r="D66" i="10"/>
  <c r="D70" i="10"/>
  <c r="B55" i="17"/>
  <c r="B56" i="17"/>
  <c r="B57" i="17"/>
  <c r="AI16" i="18"/>
  <c r="AI19" i="18" s="1"/>
  <c r="W23" i="18"/>
  <c r="C35" i="17"/>
  <c r="C38" i="17"/>
  <c r="K19" i="18"/>
  <c r="AF23" i="18"/>
  <c r="T23" i="18"/>
  <c r="T18" i="18"/>
  <c r="T20" i="18" s="1"/>
  <c r="N23" i="18"/>
  <c r="Q23" i="18"/>
  <c r="K23" i="18"/>
  <c r="Z23" i="18"/>
  <c r="AC23" i="18"/>
  <c r="AC19" i="18"/>
  <c r="AC20" i="18" s="1"/>
  <c r="AC18" i="18"/>
  <c r="AL23" i="18"/>
  <c r="AL19" i="18"/>
  <c r="AL18" i="18"/>
  <c r="AL20" i="18" s="1"/>
  <c r="AL24" i="18" s="1"/>
  <c r="H23" i="18"/>
  <c r="D56" i="17"/>
  <c r="D58" i="17"/>
  <c r="D57" i="17"/>
  <c r="D55" i="17"/>
  <c r="W19" i="18"/>
  <c r="E19" i="18"/>
  <c r="E20" i="18"/>
  <c r="E24" i="18" s="1"/>
  <c r="H18" i="18"/>
  <c r="H20" i="18" s="1"/>
  <c r="Z19" i="18"/>
  <c r="Z20" i="18"/>
  <c r="Z24" i="18" s="1"/>
  <c r="AI23" i="18"/>
  <c r="AC24" i="18"/>
  <c r="AI18" i="18"/>
  <c r="E59" i="17"/>
  <c r="H24" i="18"/>
  <c r="AI20" i="18"/>
  <c r="J17" i="23"/>
  <c r="L46" i="18"/>
  <c r="AG46" i="18"/>
  <c r="AM46" i="18"/>
  <c r="AA46" i="18"/>
  <c r="X46" i="18"/>
  <c r="F46" i="18"/>
  <c r="I46" i="18"/>
  <c r="AJ46" i="18"/>
  <c r="O46" i="18"/>
  <c r="R46" i="18"/>
  <c r="AD46" i="18"/>
  <c r="U46" i="18"/>
  <c r="D13" i="23" l="1"/>
  <c r="E20" i="4"/>
  <c r="V461" i="2"/>
  <c r="E27" i="4"/>
  <c r="E14" i="23" s="1"/>
  <c r="E17" i="23" s="1"/>
  <c r="V460" i="2"/>
  <c r="N18" i="18"/>
  <c r="N19" i="18"/>
  <c r="T24" i="18"/>
  <c r="C59" i="17"/>
  <c r="AC26" i="18" s="1"/>
  <c r="D15" i="23"/>
  <c r="B12" i="23"/>
  <c r="D12" i="23"/>
  <c r="B15" i="23"/>
  <c r="E18" i="4"/>
  <c r="AF26" i="18"/>
  <c r="AF27" i="18" s="1"/>
  <c r="AI24" i="18"/>
  <c r="Q24" i="18"/>
  <c r="B14" i="23"/>
  <c r="E22" i="4"/>
  <c r="E24" i="4"/>
  <c r="AC27" i="18"/>
  <c r="E16" i="4"/>
  <c r="K20" i="18"/>
  <c r="W24" i="18"/>
  <c r="B13" i="23"/>
  <c r="D14" i="23"/>
  <c r="I40" i="1"/>
  <c r="J28" i="1" s="1"/>
  <c r="J17" i="1" l="1"/>
  <c r="J13" i="1"/>
  <c r="J15" i="1"/>
  <c r="J33" i="1"/>
  <c r="J26" i="1"/>
  <c r="J16" i="1"/>
  <c r="V462" i="2"/>
  <c r="J38" i="1"/>
  <c r="E25" i="4"/>
  <c r="B39" i="4" s="1"/>
  <c r="AC33" i="18"/>
  <c r="L73" i="19"/>
  <c r="Q27" i="18"/>
  <c r="Q26" i="18"/>
  <c r="AI26" i="18"/>
  <c r="AI27" i="18" s="1"/>
  <c r="Z26" i="18"/>
  <c r="Z27" i="18" s="1"/>
  <c r="H26" i="18"/>
  <c r="H27" i="18" s="1"/>
  <c r="J18" i="1"/>
  <c r="J23" i="1"/>
  <c r="J30" i="1"/>
  <c r="J34" i="1"/>
  <c r="J20" i="1"/>
  <c r="J14" i="1"/>
  <c r="J25" i="1"/>
  <c r="J12" i="1"/>
  <c r="J21" i="1"/>
  <c r="J37" i="1"/>
  <c r="J35" i="1"/>
  <c r="J31" i="1"/>
  <c r="J27" i="1"/>
  <c r="J29" i="1"/>
  <c r="J32" i="1"/>
  <c r="J22" i="1"/>
  <c r="J11" i="1"/>
  <c r="J24" i="1"/>
  <c r="W26" i="18"/>
  <c r="W27" i="18"/>
  <c r="E26" i="18"/>
  <c r="E27" i="18" s="1"/>
  <c r="J19" i="1"/>
  <c r="N20" i="18"/>
  <c r="AL26" i="18"/>
  <c r="AL27" i="18" s="1"/>
  <c r="B17" i="23"/>
  <c r="C14" i="23" s="1"/>
  <c r="T26" i="18"/>
  <c r="T27" i="18"/>
  <c r="K24" i="18"/>
  <c r="AF33" i="18"/>
  <c r="L81" i="19"/>
  <c r="D17" i="23"/>
  <c r="B40" i="4" l="1"/>
  <c r="F13" i="23" s="1"/>
  <c r="B35" i="4"/>
  <c r="E37" i="4"/>
  <c r="E40" i="4" s="1"/>
  <c r="B33" i="4"/>
  <c r="B37" i="4"/>
  <c r="AI33" i="18"/>
  <c r="L88" i="19"/>
  <c r="Q33" i="18"/>
  <c r="L43" i="19"/>
  <c r="C12" i="23"/>
  <c r="C15" i="23"/>
  <c r="Z33" i="18"/>
  <c r="L65" i="19"/>
  <c r="C13" i="23"/>
  <c r="AC44" i="18"/>
  <c r="L19" i="19"/>
  <c r="H33" i="18"/>
  <c r="T33" i="18"/>
  <c r="L51" i="19"/>
  <c r="L11" i="19"/>
  <c r="E33" i="18"/>
  <c r="W33" i="18"/>
  <c r="L58" i="19"/>
  <c r="AL33" i="18"/>
  <c r="L95" i="19"/>
  <c r="AF44" i="18"/>
  <c r="K26" i="18"/>
  <c r="K27" i="18"/>
  <c r="N24" i="18"/>
  <c r="J40" i="1"/>
  <c r="F14" i="23" l="1"/>
  <c r="F15" i="23"/>
  <c r="F12" i="23"/>
  <c r="AC48" i="18"/>
  <c r="AD44" i="18"/>
  <c r="AD48" i="18" s="1"/>
  <c r="N26" i="18"/>
  <c r="N27" i="18" s="1"/>
  <c r="T44" i="18"/>
  <c r="H44" i="18"/>
  <c r="C17" i="23"/>
  <c r="L27" i="19"/>
  <c r="K33" i="18"/>
  <c r="AF48" i="18"/>
  <c r="AG44" i="18"/>
  <c r="AG48" i="18" s="1"/>
  <c r="W44" i="18"/>
  <c r="Q44" i="18"/>
  <c r="AL44" i="18"/>
  <c r="E44" i="18"/>
  <c r="Z44" i="18"/>
  <c r="AI44" i="18"/>
  <c r="F17" i="23" l="1"/>
  <c r="N33" i="18"/>
  <c r="L35" i="19"/>
  <c r="AL48" i="18"/>
  <c r="AM44" i="18" s="1"/>
  <c r="AM48" i="18" s="1"/>
  <c r="K44" i="18"/>
  <c r="W48" i="18"/>
  <c r="X44" i="18" s="1"/>
  <c r="X48" i="18" s="1"/>
  <c r="H48" i="18"/>
  <c r="AI48" i="18"/>
  <c r="E48" i="18"/>
  <c r="T48" i="18"/>
  <c r="U44" i="18" s="1"/>
  <c r="U48" i="18" s="1"/>
  <c r="Z48" i="18"/>
  <c r="Q48" i="18"/>
  <c r="F39" i="4"/>
  <c r="G39" i="4" s="1"/>
  <c r="L83" i="19"/>
  <c r="L82" i="19" s="1"/>
  <c r="AF54" i="18"/>
  <c r="AG20" i="18"/>
  <c r="AG24" i="18"/>
  <c r="AG27" i="18"/>
  <c r="AG33" i="18"/>
  <c r="AC54" i="18"/>
  <c r="L75" i="19"/>
  <c r="L74" i="19" s="1"/>
  <c r="F37" i="4"/>
  <c r="G37" i="4" s="1"/>
  <c r="AD20" i="18"/>
  <c r="AD24" i="18"/>
  <c r="AD27" i="18"/>
  <c r="AD33" i="18"/>
  <c r="Q54" i="18" l="1"/>
  <c r="L45" i="19"/>
  <c r="L44" i="19" s="1"/>
  <c r="R20" i="18"/>
  <c r="R24" i="18"/>
  <c r="R27" i="18"/>
  <c r="R33" i="18"/>
  <c r="AI54" i="18"/>
  <c r="L90" i="19"/>
  <c r="L89" i="19" s="1"/>
  <c r="AJ20" i="18"/>
  <c r="AJ24" i="18"/>
  <c r="AJ27" i="18"/>
  <c r="AJ33" i="18"/>
  <c r="E74" i="19"/>
  <c r="C76" i="19"/>
  <c r="H75" i="19"/>
  <c r="D75" i="19"/>
  <c r="H74" i="19"/>
  <c r="E76" i="19"/>
  <c r="G74" i="19"/>
  <c r="G76" i="19"/>
  <c r="C75" i="19"/>
  <c r="G75" i="19"/>
  <c r="B74" i="19"/>
  <c r="D76" i="19"/>
  <c r="I75" i="19"/>
  <c r="H76" i="19"/>
  <c r="I74" i="19"/>
  <c r="F74" i="19"/>
  <c r="I76" i="19"/>
  <c r="E75" i="19"/>
  <c r="B75" i="19"/>
  <c r="F76" i="19"/>
  <c r="C74" i="19"/>
  <c r="B76" i="19"/>
  <c r="F75" i="19"/>
  <c r="D74" i="19"/>
  <c r="F35" i="4"/>
  <c r="G35" i="4" s="1"/>
  <c r="AA24" i="18"/>
  <c r="Z54" i="18"/>
  <c r="AA20" i="18"/>
  <c r="L67" i="19"/>
  <c r="L66" i="19" s="1"/>
  <c r="AA27" i="18"/>
  <c r="AA33" i="18"/>
  <c r="E54" i="18"/>
  <c r="L13" i="19"/>
  <c r="L12" i="19" s="1"/>
  <c r="F16" i="4"/>
  <c r="G16" i="4" s="1"/>
  <c r="F20" i="18"/>
  <c r="F24" i="18"/>
  <c r="F27" i="18"/>
  <c r="F33" i="18"/>
  <c r="F18" i="4"/>
  <c r="G18" i="4" s="1"/>
  <c r="L21" i="19"/>
  <c r="L20" i="19" s="1"/>
  <c r="I24" i="18"/>
  <c r="H54" i="18"/>
  <c r="I20" i="18"/>
  <c r="I27" i="18"/>
  <c r="I33" i="18"/>
  <c r="AC50" i="18"/>
  <c r="AC52" i="18"/>
  <c r="R44" i="18"/>
  <c r="R48" i="18" s="1"/>
  <c r="AJ44" i="18"/>
  <c r="AJ48" i="18" s="1"/>
  <c r="L97" i="19"/>
  <c r="L96" i="19" s="1"/>
  <c r="AL54" i="18"/>
  <c r="AM20" i="18"/>
  <c r="AM24" i="18"/>
  <c r="AM27" i="18"/>
  <c r="AM33" i="18"/>
  <c r="AF50" i="18"/>
  <c r="AF52" i="18"/>
  <c r="F24" i="4"/>
  <c r="G24" i="4" s="1"/>
  <c r="T54" i="18"/>
  <c r="L53" i="19"/>
  <c r="L52" i="19" s="1"/>
  <c r="F33" i="4"/>
  <c r="G33" i="4" s="1"/>
  <c r="G40" i="4" s="1"/>
  <c r="I40" i="4" s="1"/>
  <c r="U20" i="18"/>
  <c r="U24" i="18"/>
  <c r="U27" i="18"/>
  <c r="U33" i="18"/>
  <c r="W54" i="18"/>
  <c r="L60" i="19"/>
  <c r="L59" i="19" s="1"/>
  <c r="X20" i="18"/>
  <c r="X24" i="18"/>
  <c r="X27" i="18"/>
  <c r="X33" i="18"/>
  <c r="B82" i="19"/>
  <c r="F83" i="19"/>
  <c r="I84" i="19"/>
  <c r="E82" i="19"/>
  <c r="G84" i="19"/>
  <c r="E83" i="19"/>
  <c r="F82" i="19"/>
  <c r="C83" i="19"/>
  <c r="D82" i="19"/>
  <c r="I83" i="19"/>
  <c r="C82" i="19"/>
  <c r="H82" i="19"/>
  <c r="H84" i="19"/>
  <c r="B84" i="19"/>
  <c r="G83" i="19"/>
  <c r="F84" i="19"/>
  <c r="C84" i="19"/>
  <c r="B83" i="19"/>
  <c r="G82" i="19"/>
  <c r="D83" i="19"/>
  <c r="E84" i="19"/>
  <c r="I82" i="19"/>
  <c r="D84" i="19"/>
  <c r="H83" i="19"/>
  <c r="AA44" i="18"/>
  <c r="AA48" i="18" s="1"/>
  <c r="F44" i="18"/>
  <c r="F48" i="18" s="1"/>
  <c r="I44" i="18"/>
  <c r="I48" i="18" s="1"/>
  <c r="K48" i="18"/>
  <c r="L44" i="18"/>
  <c r="L48" i="18" s="1"/>
  <c r="N44" i="18"/>
  <c r="C52" i="19" l="1"/>
  <c r="E53" i="19"/>
  <c r="D54" i="19"/>
  <c r="B52" i="19"/>
  <c r="G53" i="19"/>
  <c r="D53" i="19"/>
  <c r="B54" i="19"/>
  <c r="H53" i="19"/>
  <c r="E54" i="19"/>
  <c r="I52" i="19"/>
  <c r="D52" i="19"/>
  <c r="G54" i="19"/>
  <c r="H52" i="19"/>
  <c r="G52" i="19"/>
  <c r="C54" i="19"/>
  <c r="H54" i="19"/>
  <c r="C53" i="19"/>
  <c r="I54" i="19"/>
  <c r="B53" i="19"/>
  <c r="F52" i="19"/>
  <c r="E52" i="19"/>
  <c r="F53" i="19"/>
  <c r="F54" i="19"/>
  <c r="I53" i="19"/>
  <c r="G22" i="19"/>
  <c r="H20" i="19"/>
  <c r="F22" i="19"/>
  <c r="E22" i="19"/>
  <c r="B22" i="19"/>
  <c r="B20" i="19"/>
  <c r="B21" i="19"/>
  <c r="F20" i="19"/>
  <c r="C22" i="19"/>
  <c r="C21" i="19"/>
  <c r="E20" i="19"/>
  <c r="D20" i="19"/>
  <c r="G20" i="19"/>
  <c r="C20" i="19"/>
  <c r="F21" i="19"/>
  <c r="I22" i="19"/>
  <c r="D22" i="19"/>
  <c r="I21" i="19"/>
  <c r="H22" i="19"/>
  <c r="E21" i="19"/>
  <c r="H21" i="19"/>
  <c r="I20" i="19"/>
  <c r="D21" i="19"/>
  <c r="G21" i="19"/>
  <c r="E50" i="18"/>
  <c r="E52" i="18"/>
  <c r="F90" i="19"/>
  <c r="B90" i="19"/>
  <c r="E91" i="19"/>
  <c r="B89" i="19"/>
  <c r="D89" i="19"/>
  <c r="I90" i="19"/>
  <c r="E90" i="19"/>
  <c r="C91" i="19"/>
  <c r="H89" i="19"/>
  <c r="B91" i="19"/>
  <c r="D90" i="19"/>
  <c r="F89" i="19"/>
  <c r="C89" i="19"/>
  <c r="I91" i="19"/>
  <c r="E89" i="19"/>
  <c r="F91" i="19"/>
  <c r="D91" i="19"/>
  <c r="I89" i="19"/>
  <c r="C90" i="19"/>
  <c r="G90" i="19"/>
  <c r="H90" i="19"/>
  <c r="G91" i="19"/>
  <c r="G89" i="19"/>
  <c r="H91" i="19"/>
  <c r="L29" i="19"/>
  <c r="L28" i="19" s="1"/>
  <c r="K54" i="18"/>
  <c r="F20" i="4"/>
  <c r="G20" i="4" s="1"/>
  <c r="L20" i="18"/>
  <c r="L24" i="18"/>
  <c r="L27" i="18"/>
  <c r="L33" i="18"/>
  <c r="C60" i="19"/>
  <c r="H60" i="19"/>
  <c r="D61" i="19"/>
  <c r="I59" i="19"/>
  <c r="D60" i="19"/>
  <c r="E61" i="19"/>
  <c r="I61" i="19"/>
  <c r="H59" i="19"/>
  <c r="D59" i="19"/>
  <c r="C61" i="19"/>
  <c r="B60" i="19"/>
  <c r="B61" i="19"/>
  <c r="F59" i="19"/>
  <c r="F61" i="19"/>
  <c r="F60" i="19"/>
  <c r="I60" i="19"/>
  <c r="E59" i="19"/>
  <c r="G60" i="19"/>
  <c r="G59" i="19"/>
  <c r="G61" i="19"/>
  <c r="C59" i="19"/>
  <c r="B59" i="19"/>
  <c r="E60" i="19"/>
  <c r="H61" i="19"/>
  <c r="T52" i="18"/>
  <c r="T50" i="18"/>
  <c r="AL50" i="18"/>
  <c r="AL52" i="18"/>
  <c r="Z52" i="18"/>
  <c r="Z50" i="18"/>
  <c r="AI52" i="18"/>
  <c r="AI50" i="18"/>
  <c r="W50" i="18"/>
  <c r="W52" i="18"/>
  <c r="F97" i="19"/>
  <c r="C96" i="19"/>
  <c r="E98" i="19"/>
  <c r="E96" i="19"/>
  <c r="C98" i="19"/>
  <c r="F98" i="19"/>
  <c r="I97" i="19"/>
  <c r="E97" i="19"/>
  <c r="C97" i="19"/>
  <c r="H97" i="19"/>
  <c r="B97" i="19"/>
  <c r="G98" i="19"/>
  <c r="H98" i="19"/>
  <c r="I96" i="19"/>
  <c r="D98" i="19"/>
  <c r="H96" i="19"/>
  <c r="F96" i="19"/>
  <c r="B98" i="19"/>
  <c r="G96" i="19"/>
  <c r="D97" i="19"/>
  <c r="B96" i="19"/>
  <c r="G97" i="19"/>
  <c r="D96" i="19"/>
  <c r="I98" i="19"/>
  <c r="H52" i="18"/>
  <c r="H50" i="18"/>
  <c r="I44" i="19"/>
  <c r="I45" i="19"/>
  <c r="H46" i="19"/>
  <c r="G46" i="19"/>
  <c r="I46" i="19"/>
  <c r="B44" i="19"/>
  <c r="F46" i="19"/>
  <c r="C46" i="19"/>
  <c r="H45" i="19"/>
  <c r="C45" i="19"/>
  <c r="D45" i="19"/>
  <c r="D44" i="19"/>
  <c r="F45" i="19"/>
  <c r="E44" i="19"/>
  <c r="D46" i="19"/>
  <c r="E45" i="19"/>
  <c r="G45" i="19"/>
  <c r="F44" i="19"/>
  <c r="E46" i="19"/>
  <c r="C44" i="19"/>
  <c r="B45" i="19"/>
  <c r="H44" i="19"/>
  <c r="G44" i="19"/>
  <c r="B46" i="19"/>
  <c r="N48" i="18"/>
  <c r="O44" i="18"/>
  <c r="O48" i="18" s="1"/>
  <c r="I12" i="23"/>
  <c r="I17" i="23" s="1"/>
  <c r="I13" i="23"/>
  <c r="I15" i="23"/>
  <c r="I14" i="23"/>
  <c r="F13" i="19"/>
  <c r="D12" i="19"/>
  <c r="B12" i="19"/>
  <c r="H13" i="19"/>
  <c r="F12" i="19"/>
  <c r="F14" i="19"/>
  <c r="G12" i="19"/>
  <c r="E13" i="19"/>
  <c r="B13" i="19"/>
  <c r="D14" i="19"/>
  <c r="E12" i="19"/>
  <c r="G14" i="19"/>
  <c r="H14" i="19"/>
  <c r="B14" i="19"/>
  <c r="C14" i="19"/>
  <c r="C13" i="19"/>
  <c r="C12" i="19"/>
  <c r="D13" i="19"/>
  <c r="I14" i="19"/>
  <c r="G13" i="19"/>
  <c r="I12" i="19"/>
  <c r="E14" i="19"/>
  <c r="I13" i="19"/>
  <c r="H12" i="19"/>
  <c r="G68" i="19"/>
  <c r="H67" i="19"/>
  <c r="H66" i="19"/>
  <c r="D67" i="19"/>
  <c r="D66" i="19"/>
  <c r="F66" i="19"/>
  <c r="I66" i="19"/>
  <c r="B66" i="19"/>
  <c r="E68" i="19"/>
  <c r="E66" i="19"/>
  <c r="D68" i="19"/>
  <c r="C66" i="19"/>
  <c r="F67" i="19"/>
  <c r="B68" i="19"/>
  <c r="H68" i="19"/>
  <c r="E67" i="19"/>
  <c r="F68" i="19"/>
  <c r="I67" i="19"/>
  <c r="C68" i="19"/>
  <c r="I68" i="19"/>
  <c r="G66" i="19"/>
  <c r="C67" i="19"/>
  <c r="B67" i="19"/>
  <c r="G67" i="19"/>
  <c r="Q50" i="18"/>
  <c r="Q52" i="18"/>
  <c r="K52" i="18" l="1"/>
  <c r="K50" i="18"/>
  <c r="N54" i="18"/>
  <c r="F22" i="4"/>
  <c r="G22" i="4" s="1"/>
  <c r="G25" i="4" s="1"/>
  <c r="L37" i="19"/>
  <c r="L36" i="19" s="1"/>
  <c r="O20" i="18"/>
  <c r="O24" i="18"/>
  <c r="O27" i="18"/>
  <c r="O33" i="18"/>
  <c r="E28" i="19"/>
  <c r="C30" i="19"/>
  <c r="H28" i="19"/>
  <c r="C28" i="19"/>
  <c r="H30" i="19"/>
  <c r="G28" i="19"/>
  <c r="G30" i="19"/>
  <c r="I29" i="19"/>
  <c r="F30" i="19"/>
  <c r="G29" i="19"/>
  <c r="D29" i="19"/>
  <c r="C29" i="19"/>
  <c r="D28" i="19"/>
  <c r="B28" i="19"/>
  <c r="H29" i="19"/>
  <c r="F28" i="19"/>
  <c r="E30" i="19"/>
  <c r="E29" i="19"/>
  <c r="I30" i="19"/>
  <c r="I28" i="19"/>
  <c r="D30" i="19"/>
  <c r="B30" i="19"/>
  <c r="B29" i="19"/>
  <c r="F29" i="19"/>
  <c r="I25" i="4" l="1"/>
  <c r="N50" i="18"/>
  <c r="N52" i="18"/>
  <c r="D36" i="19"/>
  <c r="F36" i="19"/>
  <c r="E36" i="19"/>
  <c r="F38" i="19"/>
  <c r="C36" i="19"/>
  <c r="I36" i="19"/>
  <c r="G37" i="19"/>
  <c r="H36" i="19"/>
  <c r="F37" i="19"/>
  <c r="B36" i="19"/>
  <c r="H37" i="19"/>
  <c r="E37" i="19"/>
  <c r="D38" i="19"/>
  <c r="D37" i="19"/>
  <c r="H38" i="19"/>
  <c r="I37" i="19"/>
  <c r="E38" i="19"/>
  <c r="C38" i="19"/>
  <c r="I38" i="19"/>
  <c r="B37" i="19"/>
  <c r="B38" i="19"/>
  <c r="C37" i="19"/>
  <c r="G38" i="19"/>
  <c r="G36" i="19"/>
  <c r="F27" i="4" l="1"/>
  <c r="G27" i="4" s="1"/>
  <c r="F29" i="4"/>
  <c r="G29" i="4" s="1"/>
  <c r="H13" i="23" s="1"/>
  <c r="H17" i="23" s="1"/>
  <c r="G13" i="23"/>
  <c r="K13" i="23" s="1"/>
  <c r="L13" i="23" s="1"/>
  <c r="G12" i="23"/>
  <c r="G14" i="23"/>
  <c r="K14" i="23" s="1"/>
  <c r="L14" i="23" s="1"/>
  <c r="G15" i="23"/>
  <c r="K15" i="23" s="1"/>
  <c r="L15" i="23" s="1"/>
  <c r="K12" i="23" l="1"/>
  <c r="G17" i="23"/>
  <c r="G44" i="4"/>
  <c r="G45" i="4" s="1"/>
  <c r="G46" i="4" s="1"/>
  <c r="L12" i="23" l="1"/>
  <c r="L17" i="23" s="1"/>
  <c r="K17" i="23"/>
</calcChain>
</file>

<file path=xl/sharedStrings.xml><?xml version="1.0" encoding="utf-8"?>
<sst xmlns="http://schemas.openxmlformats.org/spreadsheetml/2006/main" count="2938" uniqueCount="748">
  <si>
    <t>Onderhoudskosten aanbieden inclusief de kosten van reparaties en/of inzet van vervangende apparatuur.</t>
  </si>
  <si>
    <t>Premie Ouderdomspensioen (OP)</t>
  </si>
  <si>
    <t>UREN P/JR        MA-VR</t>
  </si>
  <si>
    <t>Kleedruimten</t>
  </si>
  <si>
    <t>: onderverdeling van de aanwezige ruimten in een object in een aantal categorieën</t>
  </si>
  <si>
    <t>Vitrage wassen</t>
  </si>
  <si>
    <t>Opmerking:</t>
  </si>
  <si>
    <t>Kostprijs</t>
  </si>
  <si>
    <t>Opleiding</t>
  </si>
  <si>
    <t xml:space="preserve">Sociale verzekeringen </t>
  </si>
  <si>
    <t>Aantal stuks 0-10</t>
  </si>
  <si>
    <t>in euro:</t>
  </si>
  <si>
    <t>Loonkosten</t>
  </si>
  <si>
    <t>Bruto marge</t>
  </si>
  <si>
    <t>Eind tarief</t>
  </si>
  <si>
    <t>Toeslag percentages</t>
  </si>
  <si>
    <t>00.00 - 06.00</t>
  </si>
  <si>
    <t>Uitvoering normale werktijden: maandag t/m vrijdag [06.00 en 21.30 uur]</t>
  </si>
  <si>
    <t>Opmerking: dit blad bevat automatische koppelingen, dus behoeft niet meer te worden ingevuld.</t>
  </si>
  <si>
    <t>Tarievenmatrix</t>
  </si>
  <si>
    <t>Weekenddagen</t>
  </si>
  <si>
    <t>BIJZONDER-HEDEN</t>
  </si>
  <si>
    <t>Aantal kalenderdagen</t>
  </si>
  <si>
    <t>Werkdagen per jaar</t>
  </si>
  <si>
    <t>Horizontale lammellen droog reinigen</t>
  </si>
  <si>
    <t>Tapijt sproeiextraheren</t>
  </si>
  <si>
    <t>Tapijt poederreiniging</t>
  </si>
  <si>
    <t xml:space="preserve">Stoelen stoffering koolzuurreiniging </t>
  </si>
  <si>
    <t>Tarief</t>
  </si>
  <si>
    <t>Tapijt koolzuureinging</t>
  </si>
  <si>
    <t>: aantal schoon te maken m2 per uur</t>
  </si>
  <si>
    <t>UREN P/JR     ZA ZO FSTDG</t>
  </si>
  <si>
    <t>KEN-GETAL ZA ZO FSTDG</t>
  </si>
  <si>
    <t>KENGETAL ZA ZO FSTDG</t>
  </si>
  <si>
    <t>Totaal</t>
  </si>
  <si>
    <t>Kengetallenoverzicht schoonmaakonderhoud</t>
  </si>
  <si>
    <t>0-100m2</t>
  </si>
  <si>
    <t>101-500m2</t>
  </si>
  <si>
    <t>501-1000m2</t>
  </si>
  <si>
    <t>&gt; 1000m2</t>
  </si>
  <si>
    <t>Medewerker lngrp. 1 (8 jaar en langer)</t>
  </si>
  <si>
    <t>TOTAAL KOSTEN PER JAAR EXCLUSIEF BTW</t>
  </si>
  <si>
    <t>B.T.W.</t>
  </si>
  <si>
    <t>Prijspeil</t>
  </si>
  <si>
    <t>Kosten bij koop (excl. btw)</t>
  </si>
  <si>
    <t>Categorie/medewerker</t>
  </si>
  <si>
    <t>Toelichting</t>
  </si>
  <si>
    <t>Totaal kosten bij koop per jaar per machine</t>
  </si>
  <si>
    <t>Alle prijzen exclusief btw</t>
  </si>
  <si>
    <t>KEN-GETAL MA-VR</t>
  </si>
  <si>
    <t>KEN-GETAL NALOOP</t>
  </si>
  <si>
    <t>Medewerker lngrp. 1 (1 tot 8 jaar)</t>
  </si>
  <si>
    <t>Bruto uurloon</t>
  </si>
  <si>
    <t>Calculatie onderdeel</t>
  </si>
  <si>
    <t>21.30 - 24.00</t>
  </si>
  <si>
    <t>Kengetal</t>
  </si>
  <si>
    <t>PRODUCTIE-UREN MAANDAG-VRIJDAG</t>
  </si>
  <si>
    <t xml:space="preserve">Alle kosten aanbieden inclusief de benodigde hulpstukken/borstels, etc. </t>
  </si>
  <si>
    <t>Uurtariefopbouw</t>
  </si>
  <si>
    <t>Reiniging lamellen, vitrage en overgordijnen (inclusief afhalen en ophangen)</t>
  </si>
  <si>
    <t>Glazenwasser lngrp. 2 (1 tot 8 jaar)</t>
  </si>
  <si>
    <t>Specialistentoeslag</t>
  </si>
  <si>
    <t>Aantal stuks &gt; 100</t>
  </si>
  <si>
    <t>werkgeversdeel</t>
  </si>
  <si>
    <t>MUTATIE DATUM</t>
  </si>
  <si>
    <t>Sanitaire ruimten</t>
  </si>
  <si>
    <t>p.o.</t>
  </si>
  <si>
    <t>Meewerkend toezicht lngrp. 2 (1 tot 8 jaar)</t>
  </si>
  <si>
    <t>Methode en eindresultaat omschrijven.</t>
  </si>
  <si>
    <t>: afkortingen voor ruimtecategorieën bij toepassing van VSR-kwaliteitsmetingen B=bureaukamers, V=verkeersruimten, S=sanitaire ruimten</t>
  </si>
  <si>
    <t>Prestatienorm</t>
  </si>
  <si>
    <t>Opslagruimten</t>
  </si>
  <si>
    <t xml:space="preserve">: uren per vierkante meter per jaar </t>
  </si>
  <si>
    <t>KENGETAL BASIS-BEURT</t>
  </si>
  <si>
    <t>PROGR.CODE</t>
  </si>
  <si>
    <t>Permanente matrix</t>
  </si>
  <si>
    <t>Machine investeringskosten</t>
  </si>
  <si>
    <t>Catalogusprijs</t>
  </si>
  <si>
    <t>invoerveld</t>
  </si>
  <si>
    <t>Vakantiedagen</t>
  </si>
  <si>
    <t>SV uurloon inclusief toeslagen</t>
  </si>
  <si>
    <t>UREN P/JR     NALOOP</t>
  </si>
  <si>
    <t>Instructies voor het invullen van het calculatie model</t>
  </si>
  <si>
    <t>Medewerker lngrp. 1 (tot 1 jaar inleerperiode)</t>
  </si>
  <si>
    <t>Aantal stuks 51-100</t>
  </si>
  <si>
    <t>GEBOUW</t>
  </si>
  <si>
    <t>VSR CODE</t>
  </si>
  <si>
    <t>M2 VLOER</t>
  </si>
  <si>
    <t>Prijs p/m2  excl. btw</t>
  </si>
  <si>
    <t>Prijs p/stuk excl. btw</t>
  </si>
  <si>
    <t>P.Z. kosten</t>
  </si>
  <si>
    <t>Medewerker lngrp. 3 (tot 1 jaar inleerperiode)</t>
  </si>
  <si>
    <t>Premies en opslagen voor tariefopbouw</t>
  </si>
  <si>
    <t>Gangen en hallen</t>
  </si>
  <si>
    <t>Tariefopbouw per loongroep</t>
  </si>
  <si>
    <t>PRESTATIE NORM</t>
  </si>
  <si>
    <t>VSR</t>
  </si>
  <si>
    <t>Inzet van het aantal machines [stuks]</t>
  </si>
  <si>
    <t>Gem. Tarief</t>
  </si>
  <si>
    <t>(inclusief materialen en middelen)</t>
  </si>
  <si>
    <t>Administratieve ruimten</t>
  </si>
  <si>
    <t>BIJZONDERHEDEN</t>
  </si>
  <si>
    <t>V</t>
  </si>
  <si>
    <t>Invoervelden</t>
  </si>
  <si>
    <t>Totale kosten per jaar inclusief B.T.W.</t>
  </si>
  <si>
    <t>Werkbare dagen per jaar</t>
  </si>
  <si>
    <t>VERD.</t>
  </si>
  <si>
    <t>Huisvestingskosten</t>
  </si>
  <si>
    <t>Naam opdrachtgever</t>
  </si>
  <si>
    <t>Liften</t>
  </si>
  <si>
    <t>Prijs per beurt</t>
  </si>
  <si>
    <t>Nat. feestdagen, kort verzuim, bijz. CAO</t>
  </si>
  <si>
    <t>Administratiekosten</t>
  </si>
  <si>
    <t>Trappenhuizen</t>
  </si>
  <si>
    <t>Medewerker lngrp. 3 (1 tot 8 jaar)</t>
  </si>
  <si>
    <t>Medewerker lngrp. 3 (8 jaar en langer)</t>
  </si>
  <si>
    <t>Gevarentoeslag  (indien van toepassing)</t>
  </si>
  <si>
    <t>Alle prijzen aanbieden exclusief btw.</t>
  </si>
  <si>
    <t>Managementkosten</t>
  </si>
  <si>
    <t>Medewerker lngrp. 1 (jeugd)</t>
  </si>
  <si>
    <t>Opslag niet werkbare dagen</t>
  </si>
  <si>
    <t>Afroepprijzen</t>
  </si>
  <si>
    <t>Onderhoudskosten per jaar*</t>
  </si>
  <si>
    <t>Wachtgeldfonds</t>
  </si>
  <si>
    <t>Zorgverzekeringswet</t>
  </si>
  <si>
    <t>OP/NP</t>
  </si>
  <si>
    <t>Pensioen overgangsregeling</t>
  </si>
  <si>
    <t>Prijs p/m2 boven 100m2 excl. btw</t>
  </si>
  <si>
    <t>Medewerker lngrp. 2 (tot 1 jaar inleerperiode)</t>
  </si>
  <si>
    <t>FREQ. NOTATIE</t>
  </si>
  <si>
    <t>Medewerker lngrp. 2 (1 tot 8 jaar)</t>
  </si>
  <si>
    <t>Medewerker lngrp. 2 (8 jaar en langer)</t>
  </si>
  <si>
    <t>Horizontale lammellen nat reinigen</t>
  </si>
  <si>
    <t>2 lagen</t>
  </si>
  <si>
    <t>geheel</t>
  </si>
  <si>
    <t>Basisuurloon</t>
  </si>
  <si>
    <t>Bedrijfsgemiddelde</t>
  </si>
  <si>
    <t>Besteknummer</t>
  </si>
  <si>
    <t>Bijzonderheden</t>
  </si>
  <si>
    <t>Prijs p/m1 boven 100m1 excl. btw</t>
  </si>
  <si>
    <t>Prijs p/m1 onder 100m1 excl. btw</t>
  </si>
  <si>
    <t>Toelichting:</t>
  </si>
  <si>
    <t>Korting</t>
  </si>
  <si>
    <t>Afschrijvingskosten per jaar</t>
  </si>
  <si>
    <t>Alle prijzen inclusief materialen en middelen, voorrijkosten en overige bijkomende kosten.</t>
  </si>
  <si>
    <t>Frequentie-omschr.</t>
  </si>
  <si>
    <t>Vergader-/spreekruimten</t>
  </si>
  <si>
    <t>Ziektedagen</t>
  </si>
  <si>
    <t>Zondag</t>
  </si>
  <si>
    <t>Prijs per jaar</t>
  </si>
  <si>
    <t>RUIMTE CATEGORIE</t>
  </si>
  <si>
    <t>Overgangsregeling</t>
  </si>
  <si>
    <t>[zie premies en opslagen]</t>
  </si>
  <si>
    <t>Totaal eindtarief normale werktijden [06.00-21.30 uur]</t>
  </si>
  <si>
    <t xml:space="preserve">Renteverlies per jaar </t>
  </si>
  <si>
    <t xml:space="preserve">06:00-21:30 uur maan-/vrijdag </t>
  </si>
  <si>
    <t>JAARPRIJS SCHOONMAAK</t>
  </si>
  <si>
    <t>Stoelen stoffering poederreinging</t>
  </si>
  <si>
    <t>Grondslag loon voor berekening OP premie</t>
  </si>
  <si>
    <t>Effectieve OP premie</t>
  </si>
  <si>
    <t>Feestdag</t>
  </si>
  <si>
    <t>Aantal dagen per jaar</t>
  </si>
  <si>
    <t>Aantal uren per jaar</t>
  </si>
  <si>
    <t>Kosten bij koop per jaar</t>
  </si>
  <si>
    <t>Rookruimten</t>
  </si>
  <si>
    <t>RUIMTE OMSCHRIJVING (OPDRACHTGEVER)</t>
  </si>
  <si>
    <t>Totaal eindtarief weekenden [incl. 50% toeslag]</t>
  </si>
  <si>
    <t>Vorstverlet</t>
  </si>
  <si>
    <t>: cijfermatige notatie van het aantal keren dat een ruimte per jaar wordt schoongemaakt (zie onderstaande opgave)</t>
  </si>
  <si>
    <t>VERHOUDING VLOEROPP.</t>
  </si>
  <si>
    <t>Bruto uurloon inclusief toeslagen</t>
  </si>
  <si>
    <t>Franchise OP-premie per uur</t>
  </si>
  <si>
    <t>Prijs p/m2 excl. btw</t>
  </si>
  <si>
    <t>RUIMTECATEGORIE</t>
  </si>
  <si>
    <t>Jeugd</t>
  </si>
  <si>
    <t>Totaal directe kosten</t>
  </si>
  <si>
    <t>Activiteit</t>
  </si>
  <si>
    <t>Berekening werkbaredagen</t>
  </si>
  <si>
    <t>FREQ. PER JAAR</t>
  </si>
  <si>
    <t xml:space="preserve">Vakantietoeslag </t>
  </si>
  <si>
    <t>Frequentie</t>
  </si>
  <si>
    <t>SV-loon grondslag voor berekening sociale verzekeringen</t>
  </si>
  <si>
    <t>Materiaal/- en middelen</t>
  </si>
  <si>
    <t>Ruimtecategorie</t>
  </si>
  <si>
    <t>Kosten ziektedagen</t>
  </si>
  <si>
    <t>Netto aanschafprijs</t>
  </si>
  <si>
    <t xml:space="preserve"> </t>
  </si>
  <si>
    <t>Restwaarde</t>
  </si>
  <si>
    <t>Info Blad</t>
  </si>
  <si>
    <t>Aantal stuks 11-50</t>
  </si>
  <si>
    <t xml:space="preserve">Afschrijvingstermijn in jaren </t>
  </si>
  <si>
    <t>Nietmeewerkend toezicht lngrp. 2 (1 tot 8 jaar)</t>
  </si>
  <si>
    <t>MACHINEKOSTEN [zie blad machine investeringen voor kostenopbouw]</t>
  </si>
  <si>
    <t>VLOER SOORT</t>
  </si>
  <si>
    <t>Werkkleding en uitrusting</t>
  </si>
  <si>
    <t>Machinekosten</t>
  </si>
  <si>
    <t>S</t>
  </si>
  <si>
    <t>FREQ. OMSCHRIJVING</t>
  </si>
  <si>
    <t>Naam leverancier</t>
  </si>
  <si>
    <t xml:space="preserve">Verzekeringskosten per jaar </t>
  </si>
  <si>
    <t>Kantoor</t>
  </si>
  <si>
    <t>tapijt</t>
  </si>
  <si>
    <t>Toelichting kengetallenoverzicht:</t>
  </si>
  <si>
    <t>: unieke code die is gekoppeld aan een schoonmaakprogramma voor een bepaalde ruimtecategorie</t>
  </si>
  <si>
    <t>Frequentienotatie</t>
  </si>
  <si>
    <t>Projectgebonden!</t>
  </si>
  <si>
    <t>Subtotaal loonkosten per uur inclusief sociale verzekeringen</t>
  </si>
  <si>
    <t>Overgordijnen wassen</t>
  </si>
  <si>
    <t xml:space="preserve">Sociale verzekeringen - Ouderdomspensioen (OP/NP) </t>
  </si>
  <si>
    <t xml:space="preserve">Stoelen stoffering shamponeren </t>
  </si>
  <si>
    <t>Nat. feestdagen, kort verzuim, bijz CAO</t>
  </si>
  <si>
    <t>Premies Sociale Verzekeringen</t>
  </si>
  <si>
    <t>Marge loonkosten - eindtarief</t>
  </si>
  <si>
    <t>: omschrijving van het aantal keren dat een ruimte per jaar wordt schoongemaakt (zie onderstaande opgave)</t>
  </si>
  <si>
    <t>Reiskosten/autokosten</t>
  </si>
  <si>
    <t>Op de diverse tabbladen zijn invoervelden opgenomen, deze zijn blauw gekleurd zoals het voorbeeld ----&gt;</t>
  </si>
  <si>
    <t>Niet van toepassing</t>
  </si>
  <si>
    <t>Totaal indirecte kosten</t>
  </si>
  <si>
    <t>Risico en winst</t>
  </si>
  <si>
    <t>Prijsvorming Extra Vloerenonderhoud  (inclusief uit-/inruimen van het meubilair)</t>
  </si>
  <si>
    <t>RAS Heffing</t>
  </si>
  <si>
    <t>Totaal opslag sociale lasten</t>
  </si>
  <si>
    <t>Werkloosheidswet (W.W.)</t>
  </si>
  <si>
    <t>Kinderopvang</t>
  </si>
  <si>
    <t>Totaal % opslag werkbare dagen</t>
  </si>
  <si>
    <t>Totaal loonkosten per uur</t>
  </si>
  <si>
    <t>Programmacode</t>
  </si>
  <si>
    <t>B</t>
  </si>
  <si>
    <t xml:space="preserve">RUIMTE NR </t>
  </si>
  <si>
    <t>nvt</t>
  </si>
  <si>
    <t>Percentage</t>
  </si>
  <si>
    <t xml:space="preserve">Opmerking: dit blad bevat automatische koppelingen. Na invulling van de invoervelden in het Kengetallenoverzicht behoeft de ruimtestaat niet meer te worden bewerkt. </t>
  </si>
  <si>
    <t>PROGR. CODE</t>
  </si>
  <si>
    <t>KENGETAL NALOOP-BEURT</t>
  </si>
  <si>
    <t>VSR-code</t>
  </si>
  <si>
    <t>Indirect toezicht</t>
  </si>
  <si>
    <t>1 x per week</t>
  </si>
  <si>
    <t>Schoonmaak</t>
  </si>
  <si>
    <t>Glasbewassing</t>
  </si>
  <si>
    <t>Tijdvak</t>
  </si>
  <si>
    <t>Maandag</t>
  </si>
  <si>
    <t>Dinsdag</t>
  </si>
  <si>
    <t>Woensdag</t>
  </si>
  <si>
    <t>Donderdag</t>
  </si>
  <si>
    <t>Vrijdag</t>
  </si>
  <si>
    <t>Zaterdag</t>
  </si>
  <si>
    <t>Prijsvorming Stoelen/banken/fauteuils reiniging (uitvoering op afroep)</t>
  </si>
  <si>
    <t>Lino-/marmoleum conserveren</t>
  </si>
  <si>
    <t>Lino-/marmoleum sprayen</t>
  </si>
  <si>
    <t>Steen/PVC schrobben</t>
  </si>
  <si>
    <t>Verticale lammellen nat reinigen</t>
  </si>
  <si>
    <t>Totaal eindtarief feestdagen [incl. 150% toeslag]</t>
  </si>
  <si>
    <t>Gevelglas binnenzijde</t>
  </si>
  <si>
    <t>Ruimtestaat</t>
  </si>
  <si>
    <t>5 x per week</t>
  </si>
  <si>
    <t>Prijs p/m2 onder 100m2 excl. btw</t>
  </si>
  <si>
    <t>Machine investeringkosten</t>
  </si>
  <si>
    <t>Machine</t>
  </si>
  <si>
    <t>Omschrijving</t>
  </si>
  <si>
    <t>06.00 - 21.30</t>
  </si>
  <si>
    <t>Gebouw/plaats</t>
  </si>
  <si>
    <t>Kosten verzuimbegeleiding</t>
  </si>
  <si>
    <t>Vertrouwelijk</t>
  </si>
  <si>
    <t xml:space="preserve">Structurele eindejaarsuitkering </t>
  </si>
  <si>
    <t>Regiewerkzaamheden</t>
  </si>
  <si>
    <t>Toelichting calculatiemodel</t>
  </si>
  <si>
    <r>
      <t>Ruimtestaat en plattegronden</t>
    </r>
    <r>
      <rPr>
        <sz val="8"/>
        <rFont val="Tahoma"/>
        <family val="2"/>
      </rPr>
      <t>  </t>
    </r>
  </si>
  <si>
    <t xml:space="preserve">De ruimtestaat is in tabblad 3 van dit calculatiemodel toegevoegd. De ruimtestaat is met een zo groot mogelijke zorgvuldigheid samengesteld. Dit sluit echter niet uit dat er desondanks verschillen met de werkelijkheid kunnen optreden, tengevolge van verbouwingen en verhuizingen in gebouw(en). </t>
  </si>
  <si>
    <t>De dienstverlener dient voor de calculatie uit te gaan van de in het calculatiemodel opgenomen ruimtegegevens. Indien nodig worden eventuele wijzigingen in de ruimtestaat na gunning in de calculatie doorgevoerd en verrekend met behulp van de door de dienstverlener opgegeven kengetallen.</t>
  </si>
  <si>
    <t>De ruimtestaat bevat de volgende gegevens:</t>
  </si>
  <si>
    <t>Ruimtegegevens</t>
  </si>
  <si>
    <t>GEB</t>
  </si>
  <si>
    <t>Gebouw</t>
  </si>
  <si>
    <t>VERD</t>
  </si>
  <si>
    <t>Verdieping</t>
  </si>
  <si>
    <t>RUIMTENR</t>
  </si>
  <si>
    <t>Ruimtenummer</t>
  </si>
  <si>
    <t>RUIMTE-CATEGORIE</t>
  </si>
  <si>
    <t>omschrijving/benaming van de ruimte</t>
  </si>
  <si>
    <r>
      <t>netto vloer oppervlakte in m</t>
    </r>
    <r>
      <rPr>
        <vertAlign val="superscript"/>
        <sz val="10"/>
        <rFont val="Tahoma"/>
        <family val="2"/>
      </rPr>
      <t>2</t>
    </r>
  </si>
  <si>
    <t>VLOERSOORT</t>
  </si>
  <si>
    <t>omschrijving van de vloersoort</t>
  </si>
  <si>
    <t>FREQ.</t>
  </si>
  <si>
    <t>uitvoeringsfrequentie per jaar</t>
  </si>
  <si>
    <t>PROGR.</t>
  </si>
  <si>
    <t>programma-code</t>
  </si>
  <si>
    <t>KENG.</t>
  </si>
  <si>
    <r>
      <t>kengetal in uren per m</t>
    </r>
    <r>
      <rPr>
        <vertAlign val="superscript"/>
        <sz val="10"/>
        <rFont val="Tahoma"/>
        <family val="2"/>
      </rPr>
      <t>2</t>
    </r>
    <r>
      <rPr>
        <sz val="10"/>
        <rFont val="Tahoma"/>
        <family val="2"/>
      </rPr>
      <t xml:space="preserve"> per jaar</t>
    </r>
  </si>
  <si>
    <t>UREN MA-VRIJ</t>
  </si>
  <si>
    <t>schoonmaaktijd in uren per jaar voor de basisbeurt van maandag t/m vrijdag</t>
  </si>
  <si>
    <t>UREN NALOOP</t>
  </si>
  <si>
    <t>schoonmaaktijd in uren per jaar voor de naloopronde van maandag t/m vrijdag</t>
  </si>
  <si>
    <t>UREN ZA-ZO-FST</t>
  </si>
  <si>
    <t>schoonmaaktijd in uren per jaar voor zater-, zon- en feestdagen</t>
  </si>
  <si>
    <t>ruimtecode t.b.v. kwaliteitsmeting NEN 2075</t>
  </si>
  <si>
    <t>omschrijving van bijzonderheden</t>
  </si>
  <si>
    <t>Indien gewenst kunnen de plattegronden door middel van een schriftelijk verzoek worden aangevraagd bij de opdrachtgever.</t>
  </si>
  <si>
    <r>
      <t>Uitvoeringsfrequentie</t>
    </r>
    <r>
      <rPr>
        <sz val="8"/>
        <rFont val="Tahoma"/>
        <family val="2"/>
      </rPr>
      <t>  </t>
    </r>
  </si>
  <si>
    <t>De werkprogramma’s en ruimtestaat zijn voorzien van uitvoeringsfrequenties.</t>
  </si>
  <si>
    <t>Frequentie per jaar</t>
  </si>
  <si>
    <t>2 x per week</t>
  </si>
  <si>
    <t>4 x per jaar</t>
  </si>
  <si>
    <r>
      <t>Kengetallen en productienormen</t>
    </r>
    <r>
      <rPr>
        <sz val="8"/>
        <rFont val="Tahoma"/>
        <family val="2"/>
      </rPr>
      <t>  </t>
    </r>
  </si>
  <si>
    <r>
      <t>De productie-uren die benodigd zijn voor het schoonmaken van een ruimte overeenkomstig de bijbehorende opleverstaten worden uitgedrukt in een kengetal. Het kengetal geeft de hoeveelheid tijd per m</t>
    </r>
    <r>
      <rPr>
        <vertAlign val="superscript"/>
        <sz val="10"/>
        <rFont val="Tahoma"/>
        <family val="2"/>
      </rPr>
      <t>2</t>
    </r>
    <r>
      <rPr>
        <sz val="10"/>
        <rFont val="Tahoma"/>
        <family val="2"/>
      </rPr>
      <t xml:space="preserve"> per jaar aan. In de ruimtestaat wordt, door een vermenigvuldiging van de m</t>
    </r>
    <r>
      <rPr>
        <vertAlign val="superscript"/>
        <sz val="10"/>
        <rFont val="Tahoma"/>
        <family val="2"/>
      </rPr>
      <t>2</t>
    </r>
    <r>
      <rPr>
        <sz val="10"/>
        <rFont val="Tahoma"/>
        <family val="2"/>
      </rPr>
      <t xml:space="preserve"> met het kengetal, het aantal schoonmaakuren per jaar gecalculeerd. Deze uren staan vermeld in de kolom “UREN MA-VRIJ” en indien van toepassing “UREN NALOOP” en “UREN ZA-ZO-FST”. De dienstverlener dient conform het calculatiemodel bijlage 3 per opleverfrequentie voor berekening een opgave te verstrekken van de kengetallen in uren per m2 per jaar en de daarmee overeenkomende productienormen in m2 per uur.</t>
    </r>
  </si>
  <si>
    <t xml:space="preserve">dagelijks van maandag t/m vrijdag </t>
  </si>
  <si>
    <t>5 x per 2 weken oftewel om de dag</t>
  </si>
  <si>
    <t>1 x per maand</t>
  </si>
  <si>
    <t>WIA Basispremie</t>
  </si>
  <si>
    <t>WGA-vast</t>
  </si>
  <si>
    <t>WGA-flex</t>
  </si>
  <si>
    <t>ZW-flex</t>
  </si>
  <si>
    <t>Regietarief</t>
  </si>
  <si>
    <t>bg</t>
  </si>
  <si>
    <t>1.0</t>
  </si>
  <si>
    <t>portaal</t>
  </si>
  <si>
    <t>droogloopmat</t>
  </si>
  <si>
    <t>1.1</t>
  </si>
  <si>
    <t>hal</t>
  </si>
  <si>
    <t>natuursteen</t>
  </si>
  <si>
    <t>1.2</t>
  </si>
  <si>
    <t>wachtruimte</t>
  </si>
  <si>
    <t>natuursteen (samengevoegd met een deel van 1.6)</t>
  </si>
  <si>
    <t>1.3a</t>
  </si>
  <si>
    <t>kantoor</t>
  </si>
  <si>
    <t>1.3b</t>
  </si>
  <si>
    <t>receptie</t>
  </si>
  <si>
    <t>1.3c</t>
  </si>
  <si>
    <t>1.4</t>
  </si>
  <si>
    <t>1.5</t>
  </si>
  <si>
    <t>1.6</t>
  </si>
  <si>
    <t>verkeersruimte</t>
  </si>
  <si>
    <t>onderverdeeld bij 1.2 en 1.9</t>
  </si>
  <si>
    <t>1.7</t>
  </si>
  <si>
    <t>toilet (wc)</t>
  </si>
  <si>
    <t>1.8</t>
  </si>
  <si>
    <t>toilet (urinoir)</t>
  </si>
  <si>
    <t>1.9</t>
  </si>
  <si>
    <t>pantry</t>
  </si>
  <si>
    <t>natuursteen / laminaat</t>
  </si>
  <si>
    <t>T1</t>
  </si>
  <si>
    <t>1.10</t>
  </si>
  <si>
    <t>trappenhuis</t>
  </si>
  <si>
    <t>2.0</t>
  </si>
  <si>
    <t>bordes trappenhuis 2</t>
  </si>
  <si>
    <t>2.1</t>
  </si>
  <si>
    <t>overloop</t>
  </si>
  <si>
    <t>2.3</t>
  </si>
  <si>
    <t>2.4</t>
  </si>
  <si>
    <t>2.5</t>
  </si>
  <si>
    <t>2.6</t>
  </si>
  <si>
    <t>2.7</t>
  </si>
  <si>
    <t>voorportaal</t>
  </si>
  <si>
    <t>toilet</t>
  </si>
  <si>
    <t>3.0</t>
  </si>
  <si>
    <t>bordes trappenhuis 3</t>
  </si>
  <si>
    <t>3.1</t>
  </si>
  <si>
    <t>3.2</t>
  </si>
  <si>
    <t>3.3</t>
  </si>
  <si>
    <t>3.4</t>
  </si>
  <si>
    <t>3.5</t>
  </si>
  <si>
    <t>3.6</t>
  </si>
  <si>
    <t>serverruimte</t>
  </si>
  <si>
    <t>CSG het Noordik</t>
  </si>
  <si>
    <t>Diversen</t>
  </si>
  <si>
    <t>CSGN-EA-RT-2014</t>
  </si>
  <si>
    <t>Soort Glas</t>
  </si>
  <si>
    <t>M2 prijs</t>
  </si>
  <si>
    <t>Gevelglas buitenzijde</t>
  </si>
  <si>
    <t>M2</t>
  </si>
  <si>
    <t>Separatieglas, dubelzijdig</t>
  </si>
  <si>
    <t>Vriezenveen</t>
  </si>
  <si>
    <t>Begane grond</t>
  </si>
  <si>
    <t>01</t>
  </si>
  <si>
    <t>Hal / entree</t>
  </si>
  <si>
    <t>Inloopmat</t>
  </si>
  <si>
    <t>02</t>
  </si>
  <si>
    <t xml:space="preserve">Hal </t>
  </si>
  <si>
    <t>Steen</t>
  </si>
  <si>
    <t>03</t>
  </si>
  <si>
    <t>Garderobe / kluisjes</t>
  </si>
  <si>
    <t>04</t>
  </si>
  <si>
    <t>Garderobe</t>
  </si>
  <si>
    <t>05</t>
  </si>
  <si>
    <t>Miva</t>
  </si>
  <si>
    <t>06</t>
  </si>
  <si>
    <t>Heren toilet</t>
  </si>
  <si>
    <t>07</t>
  </si>
  <si>
    <t>Dames toilet</t>
  </si>
  <si>
    <t>08</t>
  </si>
  <si>
    <t>Werkkast</t>
  </si>
  <si>
    <t>09</t>
  </si>
  <si>
    <t>Lift</t>
  </si>
  <si>
    <t>Linoleum</t>
  </si>
  <si>
    <t>10</t>
  </si>
  <si>
    <t>11</t>
  </si>
  <si>
    <t>Hal</t>
  </si>
  <si>
    <t>12</t>
  </si>
  <si>
    <t>13</t>
  </si>
  <si>
    <t>Gang</t>
  </si>
  <si>
    <t>14</t>
  </si>
  <si>
    <t>15</t>
  </si>
  <si>
    <t>Leslokaal 6</t>
  </si>
  <si>
    <t>Pvc</t>
  </si>
  <si>
    <t>16</t>
  </si>
  <si>
    <t>Leslokaal 3</t>
  </si>
  <si>
    <t>17</t>
  </si>
  <si>
    <t>Leslokaal 5</t>
  </si>
  <si>
    <t>18</t>
  </si>
  <si>
    <t>19</t>
  </si>
  <si>
    <t>Kantoor docent</t>
  </si>
  <si>
    <t>Flotex</t>
  </si>
  <si>
    <t>20</t>
  </si>
  <si>
    <t>Leslokaal 4</t>
  </si>
  <si>
    <t>21</t>
  </si>
  <si>
    <t>Keuken</t>
  </si>
  <si>
    <t>22</t>
  </si>
  <si>
    <t>Opslag</t>
  </si>
  <si>
    <t>23</t>
  </si>
  <si>
    <t xml:space="preserve">Kantoor </t>
  </si>
  <si>
    <t>24</t>
  </si>
  <si>
    <t>Leslokaal</t>
  </si>
  <si>
    <t>25</t>
  </si>
  <si>
    <t>26</t>
  </si>
  <si>
    <t>Toilet</t>
  </si>
  <si>
    <t>27</t>
  </si>
  <si>
    <t>28</t>
  </si>
  <si>
    <t>Leslokaal 2</t>
  </si>
  <si>
    <t>29</t>
  </si>
  <si>
    <t>Leslokaal 1</t>
  </si>
  <si>
    <t>30</t>
  </si>
  <si>
    <t>Entree (achter)</t>
  </si>
  <si>
    <t>31</t>
  </si>
  <si>
    <t>Kantine</t>
  </si>
  <si>
    <t>32</t>
  </si>
  <si>
    <t>Podium</t>
  </si>
  <si>
    <t>33</t>
  </si>
  <si>
    <t>Voorraadkast</t>
  </si>
  <si>
    <t>34</t>
  </si>
  <si>
    <t>35</t>
  </si>
  <si>
    <t>36</t>
  </si>
  <si>
    <t>37</t>
  </si>
  <si>
    <t>38</t>
  </si>
  <si>
    <t>39</t>
  </si>
  <si>
    <t>Leslokaal 10</t>
  </si>
  <si>
    <t>40</t>
  </si>
  <si>
    <t>Leslokaal 9</t>
  </si>
  <si>
    <t>41</t>
  </si>
  <si>
    <t>Handenarbeidlokaal 8</t>
  </si>
  <si>
    <t>42</t>
  </si>
  <si>
    <t>Handenarbeidlokaal</t>
  </si>
  <si>
    <t>43</t>
  </si>
  <si>
    <t>Muzieklokaal 7</t>
  </si>
  <si>
    <t>44</t>
  </si>
  <si>
    <t>45</t>
  </si>
  <si>
    <t>Opslag / magazijn</t>
  </si>
  <si>
    <t>46</t>
  </si>
  <si>
    <t>Repro</t>
  </si>
  <si>
    <t>47</t>
  </si>
  <si>
    <t>Conciërge</t>
  </si>
  <si>
    <t>48</t>
  </si>
  <si>
    <t>Trap (voor)</t>
  </si>
  <si>
    <t>Begane grond noodgebouw</t>
  </si>
  <si>
    <t>Entree</t>
  </si>
  <si>
    <t>Toiletten</t>
  </si>
  <si>
    <t>Lokaal 1</t>
  </si>
  <si>
    <t>Tapijt</t>
  </si>
  <si>
    <t>Lokaal 2</t>
  </si>
  <si>
    <t>Lokaal 3</t>
  </si>
  <si>
    <t>Eerste verdieping</t>
  </si>
  <si>
    <t xml:space="preserve">Administratie </t>
  </si>
  <si>
    <t>Kantoor coördinator</t>
  </si>
  <si>
    <t>Kantoor F</t>
  </si>
  <si>
    <t>Kantoor E</t>
  </si>
  <si>
    <t>Docentenkamer G</t>
  </si>
  <si>
    <t>Metroflor</t>
  </si>
  <si>
    <t>Gang / hal</t>
  </si>
  <si>
    <t>Rookruimte</t>
  </si>
  <si>
    <t>Kantoor J</t>
  </si>
  <si>
    <t>Lokaal 11</t>
  </si>
  <si>
    <t xml:space="preserve">Mediatheek </t>
  </si>
  <si>
    <t>Lokaal 12</t>
  </si>
  <si>
    <t>Lokaal 16</t>
  </si>
  <si>
    <t>Lokaal 13</t>
  </si>
  <si>
    <t>Lokaal 15</t>
  </si>
  <si>
    <t>Lokaal olc</t>
  </si>
  <si>
    <t>Lokaal 14</t>
  </si>
  <si>
    <t>Techniek lokaal</t>
  </si>
  <si>
    <t>Magazijn techniek</t>
  </si>
  <si>
    <t>Kantoor K</t>
  </si>
  <si>
    <t>Trap</t>
  </si>
  <si>
    <t>Leisteen</t>
  </si>
  <si>
    <t>Boeken</t>
  </si>
  <si>
    <t>Lokaal 17</t>
  </si>
  <si>
    <t>Rubber/Linoleum</t>
  </si>
  <si>
    <t>Kabinet</t>
  </si>
  <si>
    <t>Lokaal 18</t>
  </si>
  <si>
    <t>Trappenhuis</t>
  </si>
  <si>
    <t>Toiletten D</t>
  </si>
  <si>
    <t>Plavuis</t>
  </si>
  <si>
    <t>Toiletten H</t>
  </si>
  <si>
    <t>ICT ruimte</t>
  </si>
  <si>
    <t>Opslag ICT</t>
  </si>
  <si>
    <t>Lokaal 19</t>
  </si>
  <si>
    <t>Berging</t>
  </si>
  <si>
    <t>Vroomshoop</t>
  </si>
  <si>
    <t>Schoonloopmat</t>
  </si>
  <si>
    <t>Entree / hal</t>
  </si>
  <si>
    <t>Natuursteen</t>
  </si>
  <si>
    <t>Hal (links)</t>
  </si>
  <si>
    <t>Leslokaal 11</t>
  </si>
  <si>
    <t>Kabinet binas G0.05</t>
  </si>
  <si>
    <t>Leslokaal 12</t>
  </si>
  <si>
    <t xml:space="preserve">Magazijn </t>
  </si>
  <si>
    <t>Trap / hal</t>
  </si>
  <si>
    <t>Kantoor G0.07</t>
  </si>
  <si>
    <t>Leslokaal 8</t>
  </si>
  <si>
    <t>Leslokaal 7</t>
  </si>
  <si>
    <t>Praktijklokaal verzorging</t>
  </si>
  <si>
    <t>Kluisjes hal</t>
  </si>
  <si>
    <t>Werkkast G0.19</t>
  </si>
  <si>
    <t>Leslokaal 21</t>
  </si>
  <si>
    <t>Leslokaal 20</t>
  </si>
  <si>
    <t>Leslokaal 19</t>
  </si>
  <si>
    <t>Receptie</t>
  </si>
  <si>
    <t>Mediatheek 22</t>
  </si>
  <si>
    <t>Docenten werkruimte</t>
  </si>
  <si>
    <t>Lokaal</t>
  </si>
  <si>
    <t>Doucheruimte</t>
  </si>
  <si>
    <t>Keuken (praktijklokaal) 34</t>
  </si>
  <si>
    <t>Provisiekast</t>
  </si>
  <si>
    <t>Studielandschap</t>
  </si>
  <si>
    <t>49</t>
  </si>
  <si>
    <t>Leslokaal 33</t>
  </si>
  <si>
    <t>50</t>
  </si>
  <si>
    <t xml:space="preserve">Praktijklokaal 32  </t>
  </si>
  <si>
    <t>51</t>
  </si>
  <si>
    <t>Praktijklokaal 31</t>
  </si>
  <si>
    <t>52</t>
  </si>
  <si>
    <t>53</t>
  </si>
  <si>
    <t>Praktijklokaal 30</t>
  </si>
  <si>
    <t>54</t>
  </si>
  <si>
    <t>55</t>
  </si>
  <si>
    <t>Praktijklokaal houtbewerking 24</t>
  </si>
  <si>
    <t>Hout</t>
  </si>
  <si>
    <t>56</t>
  </si>
  <si>
    <t>Praktijklokaal houtbewerking 23</t>
  </si>
  <si>
    <t>57</t>
  </si>
  <si>
    <t>Praktijklokaal metselen 26</t>
  </si>
  <si>
    <t>58</t>
  </si>
  <si>
    <t>Praktijklokaal metselen 27</t>
  </si>
  <si>
    <t>Beton</t>
  </si>
  <si>
    <t>59</t>
  </si>
  <si>
    <t>Kantoor / magazijn</t>
  </si>
  <si>
    <t>60</t>
  </si>
  <si>
    <t>Praktijklokaal tekenen 25</t>
  </si>
  <si>
    <t>61</t>
  </si>
  <si>
    <t>62</t>
  </si>
  <si>
    <t>Praktijklokaal metaal 28</t>
  </si>
  <si>
    <t>63</t>
  </si>
  <si>
    <t>Theorielokaal tekenen 28a</t>
  </si>
  <si>
    <t>64</t>
  </si>
  <si>
    <t>65</t>
  </si>
  <si>
    <t>66</t>
  </si>
  <si>
    <t xml:space="preserve">Keuken G023  </t>
  </si>
  <si>
    <t>67</t>
  </si>
  <si>
    <t>Handel en administratie 18</t>
  </si>
  <si>
    <t>68</t>
  </si>
  <si>
    <t>Personeelskamer G027</t>
  </si>
  <si>
    <t>69</t>
  </si>
  <si>
    <t xml:space="preserve">Garderobe </t>
  </si>
  <si>
    <t>70</t>
  </si>
  <si>
    <t>71</t>
  </si>
  <si>
    <t>Werkruimte docenten G026</t>
  </si>
  <si>
    <t>72</t>
  </si>
  <si>
    <t>73</t>
  </si>
  <si>
    <t>74</t>
  </si>
  <si>
    <t>75</t>
  </si>
  <si>
    <t>76</t>
  </si>
  <si>
    <t>77</t>
  </si>
  <si>
    <t>Muzieklokaal 17</t>
  </si>
  <si>
    <t>78</t>
  </si>
  <si>
    <t>Kantoor rooster</t>
  </si>
  <si>
    <t>79</t>
  </si>
  <si>
    <t>80</t>
  </si>
  <si>
    <t>81</t>
  </si>
  <si>
    <t>Kantoor afdelingsleider</t>
  </si>
  <si>
    <t>82</t>
  </si>
  <si>
    <t>83</t>
  </si>
  <si>
    <t>84</t>
  </si>
  <si>
    <t>Administratie</t>
  </si>
  <si>
    <t xml:space="preserve">Gang </t>
  </si>
  <si>
    <t>Leslokaal 13</t>
  </si>
  <si>
    <t>Leslokaal 14</t>
  </si>
  <si>
    <t>Leslokaal 15</t>
  </si>
  <si>
    <t>Leslokaal 16</t>
  </si>
  <si>
    <t>Almelo, Noordikslaan</t>
  </si>
  <si>
    <t/>
  </si>
  <si>
    <t>Entreehal</t>
  </si>
  <si>
    <t>Tegels</t>
  </si>
  <si>
    <t>Lino</t>
  </si>
  <si>
    <t>0.52</t>
  </si>
  <si>
    <t>0.53</t>
  </si>
  <si>
    <t>0.54</t>
  </si>
  <si>
    <t>0.55</t>
  </si>
  <si>
    <t>Personeelstoilet</t>
  </si>
  <si>
    <t>0.56</t>
  </si>
  <si>
    <t>Kleedruimte</t>
  </si>
  <si>
    <t>Docentenruimte</t>
  </si>
  <si>
    <t>Gymzaal</t>
  </si>
  <si>
    <t>Sportvloer</t>
  </si>
  <si>
    <t>0.05</t>
  </si>
  <si>
    <t>Praktijklokaal</t>
  </si>
  <si>
    <t>Magazijn</t>
  </si>
  <si>
    <t>Invalidetoilet</t>
  </si>
  <si>
    <t>0.06</t>
  </si>
  <si>
    <t>Werkplaats</t>
  </si>
  <si>
    <t>0.08</t>
  </si>
  <si>
    <t>Spreekkamer</t>
  </si>
  <si>
    <t>0.07</t>
  </si>
  <si>
    <t>0.09</t>
  </si>
  <si>
    <t>0.11</t>
  </si>
  <si>
    <t>0.13</t>
  </si>
  <si>
    <t>0.16</t>
  </si>
  <si>
    <t>0.29</t>
  </si>
  <si>
    <t>0.28</t>
  </si>
  <si>
    <t>0.25</t>
  </si>
  <si>
    <t>0.24</t>
  </si>
  <si>
    <t>0.21</t>
  </si>
  <si>
    <t>0.20</t>
  </si>
  <si>
    <t>1e verdieping</t>
  </si>
  <si>
    <t>1.56</t>
  </si>
  <si>
    <t>1.55</t>
  </si>
  <si>
    <t>1.54</t>
  </si>
  <si>
    <t>1.53a</t>
  </si>
  <si>
    <t>1.53b</t>
  </si>
  <si>
    <t>1.52</t>
  </si>
  <si>
    <t>Noppenvloer</t>
  </si>
  <si>
    <t>Muziek</t>
  </si>
  <si>
    <t>Kast</t>
  </si>
  <si>
    <t>1.43</t>
  </si>
  <si>
    <t>1.40</t>
  </si>
  <si>
    <t>1.15</t>
  </si>
  <si>
    <t>Toneel</t>
  </si>
  <si>
    <t>Aula</t>
  </si>
  <si>
    <t>1.18</t>
  </si>
  <si>
    <t>1.19</t>
  </si>
  <si>
    <t>1.31</t>
  </si>
  <si>
    <t>1.32</t>
  </si>
  <si>
    <t>1.33</t>
  </si>
  <si>
    <t>1.34</t>
  </si>
  <si>
    <t>1.35</t>
  </si>
  <si>
    <t>1.36</t>
  </si>
  <si>
    <t>1.37</t>
  </si>
  <si>
    <t>Loopbrug</t>
  </si>
  <si>
    <t>1.01</t>
  </si>
  <si>
    <t>Bibliotheek</t>
  </si>
  <si>
    <t>1.06</t>
  </si>
  <si>
    <t>1.08</t>
  </si>
  <si>
    <t>1.09</t>
  </si>
  <si>
    <t>1.11</t>
  </si>
  <si>
    <t>1.12</t>
  </si>
  <si>
    <t>1.13</t>
  </si>
  <si>
    <t>1.14</t>
  </si>
  <si>
    <t>1.28</t>
  </si>
  <si>
    <t>1.29</t>
  </si>
  <si>
    <t>1.20</t>
  </si>
  <si>
    <t>1.21</t>
  </si>
  <si>
    <t>1.24</t>
  </si>
  <si>
    <t>1.25</t>
  </si>
  <si>
    <t>2e verdieping</t>
  </si>
  <si>
    <t>2.52</t>
  </si>
  <si>
    <t>2.53</t>
  </si>
  <si>
    <t>Stortbak</t>
  </si>
  <si>
    <t>2.54</t>
  </si>
  <si>
    <t>2.55</t>
  </si>
  <si>
    <t>2.56</t>
  </si>
  <si>
    <t>2.47</t>
  </si>
  <si>
    <t>2.13</t>
  </si>
  <si>
    <t>2.14</t>
  </si>
  <si>
    <t>2.12</t>
  </si>
  <si>
    <t>2.09</t>
  </si>
  <si>
    <t>2.10</t>
  </si>
  <si>
    <t>2.07</t>
  </si>
  <si>
    <t>2.08</t>
  </si>
  <si>
    <t>2.06</t>
  </si>
  <si>
    <t>2.01</t>
  </si>
  <si>
    <t>2.17</t>
  </si>
  <si>
    <t>2.43</t>
  </si>
  <si>
    <t>Personeelskamer</t>
  </si>
  <si>
    <t>Copyruimte</t>
  </si>
  <si>
    <t>Antislip</t>
  </si>
  <si>
    <t>Computerruimte</t>
  </si>
  <si>
    <t>Studiezaal</t>
  </si>
  <si>
    <t>2.28</t>
  </si>
  <si>
    <t>2.25</t>
  </si>
  <si>
    <t>2.24</t>
  </si>
  <si>
    <t>2.21</t>
  </si>
  <si>
    <t>2.20</t>
  </si>
  <si>
    <t>Almelo, Stafbureau</t>
  </si>
  <si>
    <t>Hoogwerkerkosten per beurt tbv glasbewassing buitenzijde</t>
  </si>
  <si>
    <t>Boeidelen</t>
  </si>
  <si>
    <t>Sportveld</t>
  </si>
  <si>
    <t>Sanitairgroep</t>
  </si>
  <si>
    <t>5 x per week/52 wk</t>
  </si>
  <si>
    <t>5 x per week/42 wk</t>
  </si>
  <si>
    <t>5 x per week/40 wk</t>
  </si>
  <si>
    <t>Leslokalen</t>
  </si>
  <si>
    <t>3 x per week/42 wk</t>
  </si>
  <si>
    <t>Pantry/keuken</t>
  </si>
  <si>
    <t>Leslokalen praktijk</t>
  </si>
  <si>
    <t>nieuwe kantine uitbreiding</t>
  </si>
  <si>
    <t>5 x per week buitensport periode</t>
  </si>
  <si>
    <t>Sportzaal/gymzaal</t>
  </si>
  <si>
    <t>L</t>
  </si>
  <si>
    <t>Contractblad jaarprijs schoonmaak</t>
  </si>
  <si>
    <t>3 x per week/40 wk</t>
  </si>
  <si>
    <t>2 x per dag/40 wk</t>
  </si>
  <si>
    <t>Kosten per lcoatie</t>
  </si>
  <si>
    <t>UREN LEIDING PER JAAR</t>
  </si>
  <si>
    <t>PERCENTAGE VAN GEHEEL</t>
  </si>
  <si>
    <t>UREN PRODUCTIE PER JAAR</t>
  </si>
  <si>
    <t>PRIJS PER JAAR LEIDING</t>
  </si>
  <si>
    <t>MACHINE-        KOSTEN</t>
  </si>
  <si>
    <t>PRIJS PER JAAR SCHOONMAAK EXCL BTW</t>
  </si>
  <si>
    <t>PRIJS PER MAAND EXCL BTW</t>
  </si>
  <si>
    <t>PRIJS PER JAAR PRODUCTIE</t>
  </si>
  <si>
    <t>dagelijks van maandag t/m vrijdag 42 weken per jaar</t>
  </si>
  <si>
    <t>dagelijks van maandag t/m vrijdag 40 weken per jaar</t>
  </si>
  <si>
    <t>1 x per week 42 weken per jaar</t>
  </si>
  <si>
    <t>3 x per week, 42 weken per jaar</t>
  </si>
  <si>
    <t>dagelijks 2x per dag, van maandag t/m vrijdag, 40 weken per jaar</t>
  </si>
  <si>
    <t>in mindering op contract</t>
  </si>
  <si>
    <t>TOEZICHT-UREN MAANDAG-VRIJDAG incl. toezicht op eigendienst medewerker</t>
  </si>
  <si>
    <t>UREN EIGEN DIENST PER JAAR</t>
  </si>
  <si>
    <t>Uren per jaar</t>
  </si>
  <si>
    <t>Gemiddelde prest</t>
  </si>
  <si>
    <t xml:space="preserve"> Werkkamer</t>
  </si>
  <si>
    <t>Conciergeloge</t>
  </si>
  <si>
    <t>Linoleum/kunststof</t>
  </si>
  <si>
    <t>Rubber</t>
  </si>
  <si>
    <t>Rubber/steen</t>
  </si>
  <si>
    <t>Kunststof</t>
  </si>
  <si>
    <t>UITVOERING DOOR EIGEN DIENST</t>
  </si>
  <si>
    <t>eigendienst</t>
  </si>
  <si>
    <t>Kleinschaligheidstoeslag naloop sanitair</t>
  </si>
  <si>
    <t>PRIJS PER JAAR KLEIN SCHALIGHEIDS TOESLAG</t>
  </si>
  <si>
    <t>Ruimten onderhouden door eigendienstmedewerker</t>
  </si>
  <si>
    <t>Totaal kosten per jaar</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</si>
</sst>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0_-;_-* #,##0\-;_-* &quot;-&quot;_-;_-@_-"/>
    <numFmt numFmtId="167" formatCode="_-&quot;€&quot;\ * #,##0.00_-;_-&quot;€&quot;\ * #,##0.00\-;_-&quot;€&quot;\ * &quot;-&quot;??_-;_-@_-"/>
    <numFmt numFmtId="168" formatCode="_-* #,##0.00_-;_-* #,##0.00\-;_-* &quot;-&quot;??_-;_-@_-"/>
    <numFmt numFmtId="169" formatCode="_(&quot;€&quot;* #,##0.00_);_(&quot;€&quot;* \(#,##0.00\);_(&quot;€&quot;* &quot;-&quot;??_);_(@_)"/>
    <numFmt numFmtId="170" formatCode="_(&quot;ƒ&quot;* #,##0.00_);_(&quot;ƒ&quot;* \(#,##0.00\);_(&quot;ƒ&quot;* &quot;-&quot;??_);_(@_)"/>
    <numFmt numFmtId="171" formatCode="_-* #,##0.00_-;\-* #,##0.00_-;_-* &quot;-&quot;??_-;_-@_-"/>
    <numFmt numFmtId="172" formatCode="&quot;Fl.&quot;#,##0.00_);[Red]\(&quot;Fl.&quot;#,##0.00\)"/>
    <numFmt numFmtId="173" formatCode="_(&quot;Fl.&quot;* #,##0_);_(&quot;Fl.&quot;* \(#,##0\);_(&quot;Fl.&quot;* &quot;-&quot;_);_(@_)"/>
    <numFmt numFmtId="174" formatCode="_(&quot;Fl.&quot;* #,##0.00_);_(&quot;Fl.&quot;* \(#,##0.00\);_(&quot;Fl.&quot;* &quot;-&quot;??_);_(@_)"/>
    <numFmt numFmtId="175" formatCode="0_)"/>
    <numFmt numFmtId="176" formatCode="General_)"/>
    <numFmt numFmtId="177" formatCode="0.00_)"/>
    <numFmt numFmtId="178" formatCode="0.000"/>
    <numFmt numFmtId="179" formatCode="_-* #,##0_-;_-* #,##0\-;_-* &quot;-&quot;??_-;_-@_-"/>
    <numFmt numFmtId="180" formatCode="000"/>
    <numFmt numFmtId="181" formatCode="00,000"/>
    <numFmt numFmtId="182" formatCode="0.0%"/>
    <numFmt numFmtId="183" formatCode="0.0"/>
    <numFmt numFmtId="184" formatCode="0.000%"/>
    <numFmt numFmtId="185" formatCode="_-* #,##0.00000_-;\-* #,##0.00000_-;_-* &quot;-&quot;??_-;_-@_-"/>
    <numFmt numFmtId="186" formatCode="&quot;€.&quot;#,##0.00_);[Red]\(&quot;€.&quot;#,##0.00\)"/>
    <numFmt numFmtId="187" formatCode="_-[$€-2]\ * #,##0.00_ ;_-[$€-2]\ * \-#,##0.00\ ;_-[$€-2]\ * &quot;-&quot;??_ ;_-@_ "/>
    <numFmt numFmtId="188" formatCode="_([$€-2]\ * #,##0.00_);_([$€-2]\ * \(#,##0.00\);_([$€-2]\ * &quot;-&quot;??_);_(@_)"/>
    <numFmt numFmtId="189" formatCode="_([$€-2]\ * #,##0.000_);_([$€-2]\ * \(#,##0.000\);_([$€-2]\ * &quot;-&quot;??_);_(@_)"/>
    <numFmt numFmtId="190" formatCode="_ [$€-413]\ * #,##0.00_ ;_ [$€-413]\ * \-#,##0.00_ ;_ [$€-413]\ * &quot;-&quot;??_ ;_ @_ "/>
    <numFmt numFmtId="191" formatCode="&quot;€&quot;\ #,##0.00"/>
    <numFmt numFmtId="192" formatCode="_-* #,##0.0000_-;_-* #,##0.0000\-;_-* &quot;-&quot;??_-;_-@_-"/>
    <numFmt numFmtId="193" formatCode="0.0000000"/>
  </numFmts>
  <fonts count="54">
    <font>
      <sz val="10"/>
      <name val="MS Sans Serif"/>
    </font>
    <font>
      <sz val="10"/>
      <name val="MS Sans Serif"/>
      <family val="2"/>
    </font>
    <font>
      <sz val="10"/>
      <name val="Helv"/>
    </font>
    <font>
      <sz val="10"/>
      <name val="Geneva"/>
    </font>
    <font>
      <sz val="10"/>
      <name val="Times"/>
    </font>
    <font>
      <sz val="10"/>
      <name val="Arial"/>
      <family val="2"/>
    </font>
    <font>
      <sz val="10"/>
      <name val="Courier"/>
      <family val="3"/>
    </font>
    <font>
      <sz val="8"/>
      <name val="Helv"/>
    </font>
    <font>
      <sz val="8"/>
      <name val="MS Sans Serif"/>
      <family val="2"/>
    </font>
    <font>
      <sz val="9"/>
      <name val="Geneva"/>
    </font>
    <font>
      <sz val="12"/>
      <name val="Times"/>
    </font>
    <font>
      <sz val="8"/>
      <name val="Geneva"/>
    </font>
    <font>
      <sz val="8"/>
      <name val="Verdana"/>
      <family val="2"/>
    </font>
    <font>
      <u/>
      <sz val="10"/>
      <color indexed="36"/>
      <name val="Arial"/>
      <family val="2"/>
    </font>
    <font>
      <b/>
      <sz val="9"/>
      <color indexed="18"/>
      <name val="Tahoma"/>
      <family val="2"/>
    </font>
    <font>
      <sz val="10"/>
      <color indexed="8"/>
      <name val="Tahoma"/>
      <family val="2"/>
    </font>
    <font>
      <sz val="10"/>
      <color indexed="18"/>
      <name val="Tahoma"/>
      <family val="2"/>
    </font>
    <font>
      <b/>
      <sz val="10"/>
      <color indexed="18"/>
      <name val="Tahoma"/>
      <family val="2"/>
    </font>
    <font>
      <sz val="10"/>
      <color indexed="10"/>
      <name val="Tahoma"/>
      <family val="2"/>
    </font>
    <font>
      <sz val="10"/>
      <name val="Tahoma"/>
      <family val="2"/>
    </font>
    <font>
      <b/>
      <sz val="10"/>
      <color indexed="10"/>
      <name val="Tahoma"/>
      <family val="2"/>
    </font>
    <font>
      <b/>
      <sz val="10"/>
      <name val="Tahoma"/>
      <family val="2"/>
    </font>
    <font>
      <b/>
      <sz val="14"/>
      <color indexed="18"/>
      <name val="Tahoma"/>
      <family val="2"/>
    </font>
    <font>
      <sz val="12"/>
      <name val="Tahoma"/>
      <family val="2"/>
    </font>
    <font>
      <b/>
      <sz val="10"/>
      <color indexed="20"/>
      <name val="Tahoma"/>
      <family val="2"/>
    </font>
    <font>
      <b/>
      <sz val="12"/>
      <color indexed="18"/>
      <name val="Tahoma"/>
      <family val="2"/>
    </font>
    <font>
      <b/>
      <sz val="10"/>
      <color indexed="8"/>
      <name val="Tahoma"/>
      <family val="2"/>
    </font>
    <font>
      <sz val="12"/>
      <color indexed="18"/>
      <name val="Tahoma"/>
      <family val="2"/>
    </font>
    <font>
      <sz val="9"/>
      <name val="Tahoma"/>
      <family val="2"/>
    </font>
    <font>
      <b/>
      <sz val="9"/>
      <name val="Tahoma"/>
      <family val="2"/>
    </font>
    <font>
      <sz val="9"/>
      <color indexed="10"/>
      <name val="Tahoma"/>
      <family val="2"/>
    </font>
    <font>
      <b/>
      <sz val="9"/>
      <color indexed="20"/>
      <name val="Tahoma"/>
      <family val="2"/>
    </font>
    <font>
      <b/>
      <sz val="12"/>
      <color indexed="20"/>
      <name val="Tahoma"/>
      <family val="2"/>
    </font>
    <font>
      <b/>
      <sz val="12"/>
      <color indexed="10"/>
      <name val="Tahoma"/>
      <family val="2"/>
    </font>
    <font>
      <b/>
      <sz val="9"/>
      <color indexed="10"/>
      <name val="Tahoma"/>
      <family val="2"/>
    </font>
    <font>
      <sz val="14"/>
      <name val="Tahoma"/>
      <family val="2"/>
    </font>
    <font>
      <b/>
      <sz val="8"/>
      <color indexed="18"/>
      <name val="Tahoma"/>
      <family val="2"/>
    </font>
    <font>
      <sz val="9"/>
      <color indexed="8"/>
      <name val="Tahoma"/>
      <family val="2"/>
    </font>
    <font>
      <sz val="9"/>
      <color indexed="23"/>
      <name val="Tahoma"/>
      <family val="2"/>
    </font>
    <font>
      <i/>
      <sz val="10"/>
      <color indexed="10"/>
      <name val="Tahoma"/>
      <family val="2"/>
    </font>
    <font>
      <sz val="11"/>
      <name val="Tahoma"/>
      <family val="2"/>
    </font>
    <font>
      <sz val="8"/>
      <name val="Tahoma"/>
      <family val="2"/>
    </font>
    <font>
      <b/>
      <sz val="8"/>
      <name val="Tahoma"/>
      <family val="2"/>
    </font>
    <font>
      <b/>
      <sz val="12"/>
      <name val="Tahoma"/>
      <family val="2"/>
    </font>
    <font>
      <sz val="10"/>
      <color indexed="62"/>
      <name val="Tahoma"/>
      <family val="2"/>
    </font>
    <font>
      <sz val="10"/>
      <name val="Verdana"/>
      <family val="2"/>
    </font>
    <font>
      <b/>
      <sz val="10"/>
      <color indexed="18"/>
      <name val="Verdana"/>
      <family val="2"/>
    </font>
    <font>
      <sz val="10"/>
      <color indexed="8"/>
      <name val="Verdana"/>
      <family val="2"/>
    </font>
    <font>
      <b/>
      <sz val="10"/>
      <color indexed="8"/>
      <name val="Verdana"/>
      <family val="2"/>
    </font>
    <font>
      <b/>
      <sz val="10"/>
      <name val="Verdana"/>
      <family val="2"/>
    </font>
    <font>
      <vertAlign val="superscript"/>
      <sz val="10"/>
      <name val="Tahoma"/>
      <family val="2"/>
    </font>
    <font>
      <b/>
      <sz val="10"/>
      <color indexed="10"/>
      <name val="Verdana"/>
      <family val="2"/>
    </font>
    <font>
      <b/>
      <sz val="10"/>
      <color theme="3"/>
      <name val="Tahoma"/>
      <family val="2"/>
    </font>
    <font>
      <sz val="10"/>
      <color rgb="FFFF0000"/>
      <name val="Tahoma"/>
      <family val="2"/>
    </font>
  </fonts>
  <fills count="10">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4"/>
        <bgColor indexed="24"/>
      </patternFill>
    </fill>
    <fill>
      <patternFill patternType="solid">
        <fgColor indexed="10"/>
        <bgColor indexed="64"/>
      </patternFill>
    </fill>
    <fill>
      <patternFill patternType="solid">
        <fgColor indexed="42"/>
        <bgColor indexed="24"/>
      </patternFill>
    </fill>
    <fill>
      <patternFill patternType="solid">
        <fgColor rgb="FF3366FF"/>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9"/>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s>
  <cellStyleXfs count="26">
    <xf numFmtId="0" fontId="0" fillId="0" borderId="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1"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9" fontId="10" fillId="0" borderId="0" applyFont="0" applyFill="0" applyBorder="0" applyAlignment="0" applyProtection="0"/>
    <xf numFmtId="0" fontId="13" fillId="0" borderId="0" applyNumberFormat="0" applyFill="0" applyBorder="0" applyAlignment="0" applyProtection="0">
      <alignment vertical="top"/>
      <protection locked="0"/>
    </xf>
    <xf numFmtId="168" fontId="1" fillId="0" borderId="0" applyFont="0" applyFill="0" applyBorder="0" applyAlignment="0" applyProtection="0"/>
    <xf numFmtId="166" fontId="1" fillId="0" borderId="0" applyFont="0" applyFill="0" applyBorder="0" applyAlignment="0" applyProtection="0"/>
    <xf numFmtId="0" fontId="5" fillId="0" borderId="0"/>
    <xf numFmtId="0" fontId="2" fillId="0" borderId="0"/>
    <xf numFmtId="0" fontId="9" fillId="0" borderId="0"/>
    <xf numFmtId="0" fontId="4" fillId="0" borderId="0"/>
    <xf numFmtId="0" fontId="2" fillId="0" borderId="0"/>
    <xf numFmtId="0" fontId="10" fillId="0" borderId="0"/>
    <xf numFmtId="0" fontId="3" fillId="0" borderId="0"/>
    <xf numFmtId="0" fontId="2" fillId="0" borderId="0"/>
    <xf numFmtId="0" fontId="2" fillId="0" borderId="0"/>
    <xf numFmtId="0" fontId="6" fillId="0" borderId="0"/>
    <xf numFmtId="9" fontId="1" fillId="0" borderId="0" applyFont="0" applyFill="0" applyBorder="0" applyAlignment="0" applyProtection="0"/>
    <xf numFmtId="0" fontId="2" fillId="0" borderId="0"/>
    <xf numFmtId="167" fontId="1" fillId="0" borderId="0" applyFont="0" applyFill="0" applyBorder="0" applyAlignment="0" applyProtection="0"/>
  </cellStyleXfs>
  <cellXfs count="674">
    <xf numFmtId="0" fontId="0" fillId="0" borderId="0" xfId="0"/>
    <xf numFmtId="171" fontId="15" fillId="0" borderId="1" xfId="4" applyFont="1" applyFill="1" applyBorder="1" applyAlignment="1" applyProtection="1">
      <protection hidden="1"/>
    </xf>
    <xf numFmtId="191" fontId="15" fillId="4" borderId="1" xfId="4" applyNumberFormat="1" applyFont="1" applyFill="1" applyBorder="1" applyAlignment="1" applyProtection="1">
      <protection locked="0"/>
    </xf>
    <xf numFmtId="182" fontId="16" fillId="0" borderId="12" xfId="0" applyNumberFormat="1" applyFont="1" applyFill="1" applyBorder="1" applyAlignment="1">
      <alignment horizontal="center" vertical="center"/>
    </xf>
    <xf numFmtId="171" fontId="15" fillId="4" borderId="1" xfId="4" applyFont="1" applyFill="1" applyBorder="1" applyAlignment="1" applyProtection="1">
      <protection locked="0"/>
    </xf>
    <xf numFmtId="171" fontId="15" fillId="0" borderId="1" xfId="4" applyFont="1" applyFill="1" applyBorder="1" applyAlignment="1" applyProtection="1">
      <protection locked="0"/>
    </xf>
    <xf numFmtId="188" fontId="17" fillId="0" borderId="1" xfId="4" applyNumberFormat="1" applyFont="1" applyFill="1" applyBorder="1" applyAlignment="1" applyProtection="1">
      <protection hidden="1"/>
    </xf>
    <xf numFmtId="2" fontId="15" fillId="0" borderId="1" xfId="4" applyNumberFormat="1" applyFont="1" applyFill="1" applyBorder="1" applyAlignment="1" applyProtection="1">
      <protection hidden="1"/>
    </xf>
    <xf numFmtId="0" fontId="16" fillId="0" borderId="10" xfId="0" applyFont="1" applyFill="1" applyBorder="1" applyAlignment="1">
      <alignment horizontal="center" vertical="center"/>
    </xf>
    <xf numFmtId="188" fontId="17" fillId="0" borderId="10" xfId="7" applyNumberFormat="1" applyFont="1" applyFill="1" applyBorder="1" applyAlignment="1" applyProtection="1">
      <protection hidden="1"/>
    </xf>
    <xf numFmtId="0" fontId="19" fillId="0" borderId="0" xfId="0" applyFont="1" applyFill="1" applyBorder="1"/>
    <xf numFmtId="182" fontId="19" fillId="0" borderId="0" xfId="0" applyNumberFormat="1" applyFont="1" applyFill="1" applyBorder="1"/>
    <xf numFmtId="188" fontId="20" fillId="0" borderId="1" xfId="7" applyNumberFormat="1" applyFont="1" applyFill="1" applyBorder="1" applyAlignment="1" applyProtection="1">
      <protection hidden="1"/>
    </xf>
    <xf numFmtId="188" fontId="18" fillId="0" borderId="0" xfId="0" applyNumberFormat="1" applyFont="1" applyFill="1" applyAlignment="1"/>
    <xf numFmtId="0" fontId="18" fillId="0" borderId="0" xfId="0" applyFont="1" applyFill="1" applyBorder="1" applyAlignment="1"/>
    <xf numFmtId="0" fontId="18" fillId="0" borderId="0" xfId="0" applyFont="1" applyFill="1" applyAlignment="1"/>
    <xf numFmtId="0" fontId="18" fillId="0" borderId="0" xfId="0" applyFont="1"/>
    <xf numFmtId="182" fontId="18" fillId="0" borderId="0" xfId="0" applyNumberFormat="1" applyFont="1"/>
    <xf numFmtId="188" fontId="18" fillId="0" borderId="0" xfId="0" applyNumberFormat="1" applyFont="1" applyAlignment="1"/>
    <xf numFmtId="0" fontId="18" fillId="0" borderId="0" xfId="0" applyFont="1" applyAlignment="1"/>
    <xf numFmtId="184" fontId="19" fillId="3" borderId="1" xfId="16" applyNumberFormat="1" applyFont="1" applyFill="1" applyBorder="1" applyAlignment="1" applyProtection="1">
      <alignment vertical="center"/>
      <protection hidden="1"/>
    </xf>
    <xf numFmtId="184" fontId="21" fillId="0" borderId="1" xfId="16" applyNumberFormat="1" applyFont="1" applyFill="1" applyBorder="1" applyAlignment="1" applyProtection="1">
      <alignment vertical="center"/>
      <protection hidden="1"/>
    </xf>
    <xf numFmtId="10" fontId="21" fillId="0" borderId="7" xfId="0" applyNumberFormat="1" applyFont="1" applyFill="1" applyBorder="1" applyAlignment="1"/>
    <xf numFmtId="184" fontId="17" fillId="0" borderId="0" xfId="0" applyNumberFormat="1" applyFont="1" applyFill="1" applyBorder="1" applyAlignment="1"/>
    <xf numFmtId="0" fontId="17" fillId="0" borderId="0" xfId="20" applyFont="1" applyFill="1" applyBorder="1" applyAlignment="1" applyProtection="1">
      <alignment horizontal="left" vertical="center"/>
      <protection hidden="1"/>
    </xf>
    <xf numFmtId="2" fontId="19" fillId="2" borderId="6" xfId="16" applyNumberFormat="1" applyFont="1" applyFill="1" applyBorder="1" applyProtection="1">
      <protection hidden="1"/>
    </xf>
    <xf numFmtId="2" fontId="19" fillId="0" borderId="0" xfId="16" applyNumberFormat="1" applyFont="1" applyFill="1" applyBorder="1" applyProtection="1">
      <protection hidden="1"/>
    </xf>
    <xf numFmtId="2" fontId="21" fillId="0" borderId="1" xfId="16" applyNumberFormat="1" applyFont="1" applyFill="1" applyBorder="1" applyAlignment="1" applyProtection="1">
      <alignment horizontal="center"/>
      <protection hidden="1"/>
    </xf>
    <xf numFmtId="167" fontId="15" fillId="3" borderId="1" xfId="25" applyFont="1" applyFill="1" applyBorder="1" applyAlignment="1" applyProtection="1">
      <alignment horizontal="right" vertical="center"/>
      <protection hidden="1"/>
    </xf>
    <xf numFmtId="188" fontId="15" fillId="0" borderId="13" xfId="20" applyNumberFormat="1" applyFont="1" applyFill="1" applyBorder="1" applyAlignment="1" applyProtection="1">
      <alignment horizontal="left" vertical="center"/>
      <protection hidden="1"/>
    </xf>
    <xf numFmtId="10" fontId="19" fillId="3" borderId="1" xfId="16" applyNumberFormat="1" applyFont="1" applyFill="1" applyBorder="1" applyAlignment="1" applyProtection="1">
      <alignment vertical="center"/>
      <protection hidden="1"/>
    </xf>
    <xf numFmtId="10" fontId="17" fillId="0" borderId="1" xfId="23" applyNumberFormat="1" applyFont="1" applyFill="1" applyBorder="1" applyAlignment="1"/>
    <xf numFmtId="2" fontId="22" fillId="0" borderId="0" xfId="0" applyNumberFormat="1" applyFont="1"/>
    <xf numFmtId="0" fontId="19" fillId="0" borderId="0" xfId="20" applyFont="1" applyFill="1" applyProtection="1">
      <protection hidden="1"/>
    </xf>
    <xf numFmtId="0" fontId="19" fillId="0" borderId="0" xfId="20" applyFont="1" applyFill="1" applyBorder="1" applyProtection="1">
      <protection hidden="1"/>
    </xf>
    <xf numFmtId="0" fontId="19" fillId="0" borderId="0" xfId="0" applyFont="1"/>
    <xf numFmtId="0" fontId="19" fillId="0" borderId="0" xfId="20" applyFont="1" applyFill="1" applyBorder="1" applyAlignment="1" applyProtection="1">
      <alignment vertical="center"/>
      <protection hidden="1"/>
    </xf>
    <xf numFmtId="2" fontId="23" fillId="0" borderId="0" xfId="16" applyNumberFormat="1" applyFont="1" applyFill="1" applyBorder="1" applyProtection="1">
      <protection hidden="1"/>
    </xf>
    <xf numFmtId="0" fontId="24" fillId="0" borderId="0" xfId="20" applyFont="1" applyFill="1" applyBorder="1" applyAlignment="1" applyProtection="1">
      <alignment horizontal="center" vertical="center"/>
      <protection hidden="1"/>
    </xf>
    <xf numFmtId="0" fontId="24" fillId="0" borderId="0" xfId="20" applyFont="1" applyFill="1" applyBorder="1" applyAlignment="1" applyProtection="1">
      <alignment horizontal="right" vertical="center"/>
      <protection hidden="1"/>
    </xf>
    <xf numFmtId="0" fontId="23" fillId="0" borderId="0" xfId="0" applyFont="1" applyFill="1" applyBorder="1"/>
    <xf numFmtId="184" fontId="19" fillId="0" borderId="0" xfId="16" applyNumberFormat="1" applyFont="1" applyFill="1" applyBorder="1" applyAlignment="1" applyProtection="1">
      <alignment vertical="center"/>
      <protection hidden="1"/>
    </xf>
    <xf numFmtId="184" fontId="18" fillId="3" borderId="1" xfId="16" applyNumberFormat="1" applyFont="1" applyFill="1" applyBorder="1" applyAlignment="1" applyProtection="1">
      <alignment vertical="center"/>
      <protection hidden="1"/>
    </xf>
    <xf numFmtId="184" fontId="18" fillId="0" borderId="0" xfId="16" applyNumberFormat="1" applyFont="1" applyFill="1" applyBorder="1" applyAlignment="1" applyProtection="1">
      <alignment vertical="center"/>
      <protection hidden="1"/>
    </xf>
    <xf numFmtId="0" fontId="19" fillId="0" borderId="0" xfId="0" applyFont="1" applyFill="1" applyBorder="1" applyAlignment="1">
      <alignment vertical="center"/>
    </xf>
    <xf numFmtId="183" fontId="15" fillId="0" borderId="0" xfId="20" applyNumberFormat="1" applyFont="1" applyFill="1" applyBorder="1" applyAlignment="1" applyProtection="1">
      <alignment vertical="center"/>
      <protection hidden="1"/>
    </xf>
    <xf numFmtId="183" fontId="19" fillId="0" borderId="0" xfId="20" applyNumberFormat="1" applyFont="1" applyFill="1" applyBorder="1" applyAlignment="1" applyProtection="1">
      <alignment vertical="center"/>
      <protection hidden="1"/>
    </xf>
    <xf numFmtId="0" fontId="15" fillId="0" borderId="0" xfId="20" applyFont="1" applyFill="1" applyBorder="1" applyAlignment="1" applyProtection="1">
      <alignment vertical="center"/>
      <protection hidden="1"/>
    </xf>
    <xf numFmtId="2" fontId="19" fillId="0" borderId="0" xfId="0" applyNumberFormat="1" applyFont="1" applyFill="1" applyBorder="1" applyAlignment="1">
      <alignment vertical="center"/>
    </xf>
    <xf numFmtId="183" fontId="16" fillId="0" borderId="0" xfId="20" applyNumberFormat="1" applyFont="1" applyFill="1" applyBorder="1" applyAlignment="1" applyProtection="1">
      <alignment vertical="center"/>
      <protection hidden="1"/>
    </xf>
    <xf numFmtId="0" fontId="26" fillId="0" borderId="0" xfId="20" applyFont="1" applyFill="1" applyBorder="1" applyAlignment="1" applyProtection="1">
      <alignment vertical="center"/>
      <protection hidden="1"/>
    </xf>
    <xf numFmtId="10" fontId="15" fillId="0" borderId="0" xfId="23" applyNumberFormat="1" applyFont="1" applyFill="1" applyBorder="1" applyAlignment="1" applyProtection="1">
      <alignment vertical="center"/>
      <protection hidden="1"/>
    </xf>
    <xf numFmtId="184" fontId="15" fillId="0" borderId="0" xfId="23" applyNumberFormat="1" applyFont="1" applyFill="1" applyBorder="1" applyAlignment="1" applyProtection="1">
      <alignment vertical="center"/>
      <protection hidden="1"/>
    </xf>
    <xf numFmtId="184" fontId="15" fillId="0" borderId="0" xfId="20" applyNumberFormat="1" applyFont="1" applyFill="1" applyBorder="1" applyAlignment="1" applyProtection="1">
      <alignment vertical="center"/>
      <protection hidden="1"/>
    </xf>
    <xf numFmtId="184" fontId="19" fillId="0" borderId="0" xfId="23" applyNumberFormat="1" applyFont="1" applyFill="1" applyBorder="1" applyAlignment="1" applyProtection="1">
      <alignment vertical="center"/>
      <protection hidden="1"/>
    </xf>
    <xf numFmtId="184" fontId="19" fillId="0" borderId="0" xfId="20" applyNumberFormat="1" applyFont="1" applyFill="1" applyBorder="1" applyAlignment="1" applyProtection="1">
      <alignment horizontal="right" vertical="center"/>
      <protection hidden="1"/>
    </xf>
    <xf numFmtId="0" fontId="17" fillId="0" borderId="0" xfId="20" applyFont="1" applyFill="1" applyBorder="1" applyAlignment="1" applyProtection="1">
      <alignment vertical="center"/>
      <protection hidden="1"/>
    </xf>
    <xf numFmtId="10" fontId="17" fillId="0" borderId="0" xfId="23" applyNumberFormat="1" applyFont="1" applyFill="1" applyBorder="1" applyAlignment="1" applyProtection="1">
      <alignment vertical="center"/>
      <protection hidden="1"/>
    </xf>
    <xf numFmtId="184" fontId="17" fillId="0" borderId="0" xfId="0" applyNumberFormat="1" applyFont="1" applyFill="1" applyBorder="1"/>
    <xf numFmtId="0" fontId="19" fillId="0" borderId="0" xfId="20" applyFont="1" applyFill="1" applyBorder="1" applyAlignment="1" applyProtection="1">
      <alignment horizontal="right" vertical="center"/>
      <protection hidden="1"/>
    </xf>
    <xf numFmtId="0" fontId="21" fillId="0" borderId="0" xfId="20" applyFont="1" applyFill="1" applyBorder="1" applyAlignment="1" applyProtection="1">
      <alignment vertical="center"/>
      <protection hidden="1"/>
    </xf>
    <xf numFmtId="184" fontId="17" fillId="0" borderId="0" xfId="20" applyNumberFormat="1" applyFont="1" applyFill="1" applyBorder="1" applyAlignment="1" applyProtection="1">
      <alignment vertical="center"/>
      <protection hidden="1"/>
    </xf>
    <xf numFmtId="10" fontId="17" fillId="0" borderId="0" xfId="0" applyNumberFormat="1" applyFont="1" applyFill="1" applyBorder="1" applyAlignment="1"/>
    <xf numFmtId="0" fontId="20" fillId="0" borderId="0" xfId="20" applyFont="1" applyFill="1" applyBorder="1" applyAlignment="1" applyProtection="1">
      <protection hidden="1"/>
    </xf>
    <xf numFmtId="0" fontId="20" fillId="0" borderId="0" xfId="20" applyFont="1" applyFill="1" applyBorder="1" applyProtection="1">
      <protection hidden="1"/>
    </xf>
    <xf numFmtId="0" fontId="18" fillId="0" borderId="0" xfId="20" applyFont="1" applyFill="1" applyBorder="1" applyAlignment="1" applyProtection="1">
      <protection hidden="1"/>
    </xf>
    <xf numFmtId="0" fontId="19" fillId="0" borderId="0" xfId="20" applyFont="1" applyFill="1" applyBorder="1" applyAlignment="1" applyProtection="1">
      <protection hidden="1"/>
    </xf>
    <xf numFmtId="0" fontId="19" fillId="0" borderId="0" xfId="0" applyFont="1" applyAlignment="1"/>
    <xf numFmtId="0" fontId="19" fillId="0" borderId="0" xfId="0" applyFont="1" applyFill="1" applyAlignment="1"/>
    <xf numFmtId="0" fontId="19" fillId="0" borderId="0" xfId="20" applyFont="1" applyFill="1" applyAlignment="1" applyProtection="1">
      <protection hidden="1"/>
    </xf>
    <xf numFmtId="0" fontId="19" fillId="0" borderId="0" xfId="0" applyFont="1" applyFill="1"/>
    <xf numFmtId="2" fontId="25" fillId="0" borderId="0" xfId="17" applyNumberFormat="1" applyFont="1" applyFill="1" applyBorder="1" applyAlignment="1"/>
    <xf numFmtId="2" fontId="27" fillId="0" borderId="0" xfId="17" applyNumberFormat="1" applyFont="1" applyFill="1" applyBorder="1" applyAlignment="1"/>
    <xf numFmtId="2" fontId="28" fillId="0" borderId="0" xfId="15" applyNumberFormat="1" applyFont="1" applyFill="1"/>
    <xf numFmtId="2" fontId="25" fillId="0" borderId="0" xfId="15" applyNumberFormat="1" applyFont="1" applyFill="1" applyBorder="1" applyAlignment="1">
      <alignment vertical="center"/>
    </xf>
    <xf numFmtId="2" fontId="25" fillId="0" borderId="0" xfId="15" applyNumberFormat="1" applyFont="1" applyFill="1" applyBorder="1" applyAlignment="1">
      <alignment horizontal="right" vertical="center"/>
    </xf>
    <xf numFmtId="1" fontId="27" fillId="0" borderId="0" xfId="17" applyNumberFormat="1" applyFont="1" applyFill="1" applyBorder="1" applyAlignment="1">
      <alignment horizontal="left"/>
    </xf>
    <xf numFmtId="2" fontId="27" fillId="0" borderId="0" xfId="15" applyNumberFormat="1" applyFont="1" applyFill="1" applyBorder="1" applyAlignment="1">
      <alignment vertical="center"/>
    </xf>
    <xf numFmtId="0" fontId="16" fillId="0" borderId="0" xfId="21" applyFont="1" applyFill="1" applyBorder="1"/>
    <xf numFmtId="2" fontId="16" fillId="0" borderId="0" xfId="21" applyNumberFormat="1" applyFont="1" applyFill="1" applyBorder="1"/>
    <xf numFmtId="0" fontId="25" fillId="2" borderId="5" xfId="14" applyNumberFormat="1" applyFont="1" applyFill="1" applyBorder="1" applyAlignment="1" applyProtection="1">
      <alignment horizontal="left" vertical="center"/>
      <protection hidden="1"/>
    </xf>
    <xf numFmtId="0" fontId="19" fillId="2" borderId="6" xfId="15" applyFont="1" applyFill="1" applyBorder="1"/>
    <xf numFmtId="0" fontId="28" fillId="2" borderId="6" xfId="15" applyFont="1" applyFill="1" applyBorder="1"/>
    <xf numFmtId="0" fontId="28" fillId="2" borderId="7" xfId="15" applyFont="1" applyFill="1" applyBorder="1"/>
    <xf numFmtId="0" fontId="16" fillId="0" borderId="5" xfId="14" applyFont="1" applyFill="1" applyBorder="1" applyAlignment="1" applyProtection="1">
      <alignment horizontal="left"/>
      <protection hidden="1"/>
    </xf>
    <xf numFmtId="0" fontId="16" fillId="0" borderId="7" xfId="14" applyFont="1" applyFill="1" applyBorder="1" applyAlignment="1" applyProtection="1">
      <alignment horizontal="left"/>
      <protection hidden="1"/>
    </xf>
    <xf numFmtId="0" fontId="16" fillId="0" borderId="1" xfId="14" applyFont="1" applyFill="1" applyBorder="1" applyAlignment="1" applyProtection="1">
      <alignment horizontal="left"/>
      <protection hidden="1"/>
    </xf>
    <xf numFmtId="0" fontId="16" fillId="0" borderId="1" xfId="14" applyFont="1" applyFill="1" applyBorder="1" applyAlignment="1" applyProtection="1">
      <alignment horizontal="center"/>
      <protection hidden="1"/>
    </xf>
    <xf numFmtId="0" fontId="16" fillId="0" borderId="1" xfId="0" applyFont="1" applyBorder="1" applyAlignment="1">
      <alignment horizontal="center"/>
    </xf>
    <xf numFmtId="0" fontId="19" fillId="0" borderId="1" xfId="15" applyFont="1" applyFill="1" applyBorder="1"/>
    <xf numFmtId="0" fontId="19" fillId="3" borderId="1" xfId="15" applyFont="1" applyFill="1" applyBorder="1"/>
    <xf numFmtId="188" fontId="28" fillId="3" borderId="1" xfId="15" applyNumberFormat="1" applyFont="1" applyFill="1" applyBorder="1"/>
    <xf numFmtId="0" fontId="15" fillId="0" borderId="1" xfId="14" applyNumberFormat="1" applyFont="1" applyFill="1" applyBorder="1" applyAlignment="1" applyProtection="1">
      <alignment horizontal="left"/>
      <protection hidden="1"/>
    </xf>
    <xf numFmtId="0" fontId="19" fillId="0" borderId="1" xfId="15" applyFont="1" applyFill="1" applyBorder="1" applyAlignment="1"/>
    <xf numFmtId="0" fontId="19" fillId="0" borderId="0" xfId="15" applyFont="1" applyFill="1" applyBorder="1" applyAlignment="1"/>
    <xf numFmtId="0" fontId="28" fillId="0" borderId="0" xfId="15" applyFont="1" applyFill="1" applyBorder="1" applyAlignment="1"/>
    <xf numFmtId="0" fontId="25" fillId="2" borderId="11" xfId="14" applyNumberFormat="1" applyFont="1" applyFill="1" applyBorder="1" applyAlignment="1" applyProtection="1">
      <alignment horizontal="left" vertical="center"/>
      <protection hidden="1"/>
    </xf>
    <xf numFmtId="0" fontId="26" fillId="2" borderId="8" xfId="14" applyFont="1" applyFill="1" applyBorder="1" applyAlignment="1" applyProtection="1">
      <alignment horizontal="left"/>
      <protection hidden="1"/>
    </xf>
    <xf numFmtId="0" fontId="29" fillId="2" borderId="8" xfId="15" applyFont="1" applyFill="1" applyBorder="1"/>
    <xf numFmtId="0" fontId="29" fillId="2" borderId="9" xfId="15" applyFont="1" applyFill="1" applyBorder="1"/>
    <xf numFmtId="0" fontId="17" fillId="2" borderId="14" xfId="14" applyFont="1" applyFill="1" applyBorder="1" applyAlignment="1" applyProtection="1">
      <alignment horizontal="left"/>
      <protection hidden="1"/>
    </xf>
    <xf numFmtId="0" fontId="17" fillId="2" borderId="2" xfId="14" applyFont="1" applyFill="1" applyBorder="1" applyAlignment="1" applyProtection="1">
      <alignment horizontal="left"/>
      <protection hidden="1"/>
    </xf>
    <xf numFmtId="0" fontId="29" fillId="2" borderId="2" xfId="15" applyFont="1" applyFill="1" applyBorder="1"/>
    <xf numFmtId="0" fontId="29" fillId="2" borderId="13" xfId="15" applyFont="1" applyFill="1" applyBorder="1"/>
    <xf numFmtId="0" fontId="17" fillId="0" borderId="0" xfId="14" applyFont="1" applyFill="1" applyBorder="1" applyAlignment="1" applyProtection="1">
      <alignment horizontal="left"/>
      <protection hidden="1"/>
    </xf>
    <xf numFmtId="0" fontId="21" fillId="0" borderId="0" xfId="0" applyFont="1"/>
    <xf numFmtId="0" fontId="17" fillId="0" borderId="5" xfId="14" applyFont="1" applyFill="1" applyBorder="1" applyAlignment="1" applyProtection="1">
      <alignment horizontal="left"/>
      <protection hidden="1"/>
    </xf>
    <xf numFmtId="0" fontId="17" fillId="0" borderId="7" xfId="14" applyFont="1" applyFill="1" applyBorder="1" applyAlignment="1" applyProtection="1">
      <alignment horizontal="left"/>
      <protection hidden="1"/>
    </xf>
    <xf numFmtId="0" fontId="16" fillId="0" borderId="0" xfId="0" applyFont="1"/>
    <xf numFmtId="0" fontId="15" fillId="0" borderId="1" xfId="14" applyNumberFormat="1" applyFont="1" applyFill="1" applyBorder="1" applyAlignment="1" applyProtection="1">
      <protection hidden="1"/>
    </xf>
    <xf numFmtId="0" fontId="15" fillId="3" borderId="1" xfId="14" applyFont="1" applyFill="1" applyBorder="1" applyAlignment="1" applyProtection="1">
      <alignment horizontal="left"/>
      <protection hidden="1"/>
    </xf>
    <xf numFmtId="17" fontId="15" fillId="3" borderId="1" xfId="14" quotePrefix="1" applyNumberFormat="1" applyFont="1" applyFill="1" applyBorder="1" applyAlignment="1" applyProtection="1">
      <alignment horizontal="left"/>
      <protection hidden="1"/>
    </xf>
    <xf numFmtId="0" fontId="15" fillId="0" borderId="0" xfId="14" applyNumberFormat="1" applyFont="1" applyFill="1" applyBorder="1" applyAlignment="1" applyProtection="1">
      <alignment horizontal="center"/>
      <protection hidden="1"/>
    </xf>
    <xf numFmtId="0" fontId="15" fillId="0" borderId="0" xfId="14" applyFont="1" applyFill="1" applyBorder="1" applyAlignment="1" applyProtection="1">
      <alignment horizontal="left"/>
      <protection hidden="1"/>
    </xf>
    <xf numFmtId="0" fontId="15" fillId="0" borderId="0" xfId="14" applyFont="1" applyFill="1" applyBorder="1" applyAlignment="1" applyProtection="1">
      <alignment horizontal="center"/>
      <protection hidden="1"/>
    </xf>
    <xf numFmtId="0" fontId="19" fillId="2" borderId="6" xfId="15" applyFont="1" applyFill="1" applyBorder="1" applyAlignment="1"/>
    <xf numFmtId="0" fontId="19" fillId="2" borderId="7" xfId="15" applyFont="1" applyFill="1" applyBorder="1" applyAlignment="1"/>
    <xf numFmtId="0" fontId="17" fillId="0" borderId="0" xfId="14" applyNumberFormat="1" applyFont="1" applyFill="1" applyBorder="1" applyAlignment="1" applyProtection="1">
      <alignment horizontal="left" vertical="center"/>
      <protection hidden="1"/>
    </xf>
    <xf numFmtId="0" fontId="17" fillId="0" borderId="1" xfId="14" applyFont="1" applyFill="1" applyBorder="1" applyAlignment="1" applyProtection="1">
      <alignment horizontal="left"/>
      <protection hidden="1"/>
    </xf>
    <xf numFmtId="0" fontId="19" fillId="0" borderId="6" xfId="15" applyFont="1" applyFill="1" applyBorder="1" applyAlignment="1"/>
    <xf numFmtId="0" fontId="16" fillId="0" borderId="1" xfId="14" applyFont="1" applyFill="1" applyBorder="1" applyAlignment="1" applyProtection="1">
      <alignment horizontal="right"/>
      <protection hidden="1"/>
    </xf>
    <xf numFmtId="0" fontId="19" fillId="3" borderId="2" xfId="15" applyFont="1" applyFill="1" applyBorder="1" applyAlignment="1"/>
    <xf numFmtId="188" fontId="28" fillId="3" borderId="1" xfId="15" applyNumberFormat="1" applyFont="1" applyFill="1" applyBorder="1" applyAlignment="1"/>
    <xf numFmtId="0" fontId="19" fillId="3" borderId="6" xfId="15" applyFont="1" applyFill="1" applyBorder="1" applyAlignment="1"/>
    <xf numFmtId="0" fontId="19" fillId="0" borderId="0" xfId="0" applyFont="1" applyBorder="1"/>
    <xf numFmtId="0" fontId="16" fillId="0" borderId="5" xfId="14" applyFont="1" applyFill="1" applyBorder="1" applyAlignment="1" applyProtection="1">
      <alignment horizontal="left" vertical="top"/>
      <protection hidden="1"/>
    </xf>
    <xf numFmtId="0" fontId="15" fillId="0" borderId="6" xfId="14" applyFont="1" applyFill="1" applyBorder="1" applyAlignment="1" applyProtection="1">
      <alignment horizontal="left" vertical="top"/>
      <protection hidden="1"/>
    </xf>
    <xf numFmtId="0" fontId="15" fillId="0" borderId="7" xfId="14" applyFont="1" applyFill="1" applyBorder="1" applyAlignment="1" applyProtection="1">
      <alignment horizontal="center" vertical="top"/>
      <protection hidden="1"/>
    </xf>
    <xf numFmtId="0" fontId="16" fillId="0" borderId="1" xfId="14" applyFont="1" applyFill="1" applyBorder="1" applyAlignment="1" applyProtection="1">
      <alignment horizontal="left" wrapText="1"/>
      <protection hidden="1"/>
    </xf>
    <xf numFmtId="0" fontId="16" fillId="0" borderId="7" xfId="14" applyFont="1" applyFill="1" applyBorder="1" applyAlignment="1" applyProtection="1">
      <alignment horizontal="left" wrapText="1"/>
      <protection hidden="1"/>
    </xf>
    <xf numFmtId="0" fontId="19" fillId="3" borderId="1" xfId="15" applyFont="1" applyFill="1" applyBorder="1" applyAlignment="1"/>
    <xf numFmtId="0" fontId="19" fillId="3" borderId="5" xfId="15" applyFont="1" applyFill="1" applyBorder="1" applyAlignment="1"/>
    <xf numFmtId="0" fontId="25" fillId="0" borderId="0" xfId="14" applyNumberFormat="1" applyFont="1" applyFill="1" applyBorder="1" applyAlignment="1" applyProtection="1">
      <alignment horizontal="left" vertical="center"/>
      <protection hidden="1"/>
    </xf>
    <xf numFmtId="0" fontId="30" fillId="3" borderId="1" xfId="15" applyFont="1" applyFill="1" applyBorder="1"/>
    <xf numFmtId="0" fontId="28" fillId="0" borderId="0" xfId="15" applyFont="1" applyBorder="1" applyAlignment="1"/>
    <xf numFmtId="0" fontId="28" fillId="0" borderId="0" xfId="15" applyFont="1" applyFill="1" applyBorder="1"/>
    <xf numFmtId="188" fontId="28" fillId="0" borderId="0" xfId="15" applyNumberFormat="1" applyFont="1" applyFill="1" applyBorder="1"/>
    <xf numFmtId="2" fontId="25" fillId="0" borderId="0" xfId="0" applyNumberFormat="1" applyFont="1" applyAlignment="1">
      <alignment horizontal="left"/>
    </xf>
    <xf numFmtId="2" fontId="27" fillId="0" borderId="0" xfId="0" applyNumberFormat="1" applyFont="1" applyAlignment="1">
      <alignment horizontal="left"/>
    </xf>
    <xf numFmtId="2" fontId="19" fillId="0" borderId="0" xfId="14" applyNumberFormat="1" applyFont="1" applyFill="1" applyAlignment="1" applyProtection="1">
      <alignment horizontal="center"/>
      <protection hidden="1"/>
    </xf>
    <xf numFmtId="1" fontId="27" fillId="0" borderId="0" xfId="0" applyNumberFormat="1" applyFont="1" applyAlignment="1">
      <alignment horizontal="left"/>
    </xf>
    <xf numFmtId="2" fontId="19" fillId="0" borderId="0" xfId="14" applyNumberFormat="1" applyFont="1" applyFill="1" applyProtection="1">
      <protection hidden="1"/>
    </xf>
    <xf numFmtId="2" fontId="25" fillId="2" borderId="5" xfId="14" applyNumberFormat="1" applyFont="1" applyFill="1" applyBorder="1" applyAlignment="1" applyProtection="1">
      <alignment horizontal="left"/>
      <protection hidden="1"/>
    </xf>
    <xf numFmtId="2" fontId="17" fillId="2" borderId="6" xfId="14" applyNumberFormat="1" applyFont="1" applyFill="1" applyBorder="1" applyAlignment="1" applyProtection="1">
      <alignment horizontal="left"/>
      <protection hidden="1"/>
    </xf>
    <xf numFmtId="0" fontId="17" fillId="2" borderId="7" xfId="14" applyNumberFormat="1" applyFont="1" applyFill="1" applyBorder="1" applyAlignment="1" applyProtection="1">
      <alignment horizontal="left"/>
      <protection hidden="1"/>
    </xf>
    <xf numFmtId="0" fontId="16" fillId="0" borderId="0" xfId="14" applyFont="1" applyFill="1" applyProtection="1">
      <protection hidden="1"/>
    </xf>
    <xf numFmtId="0" fontId="17" fillId="0" borderId="5" xfId="14" applyNumberFormat="1" applyFont="1" applyFill="1" applyBorder="1" applyAlignment="1" applyProtection="1">
      <alignment horizontal="left"/>
      <protection hidden="1"/>
    </xf>
    <xf numFmtId="3" fontId="15" fillId="3" borderId="5" xfId="14" applyNumberFormat="1" applyFont="1" applyFill="1" applyBorder="1" applyAlignment="1" applyProtection="1">
      <alignment horizontal="left" wrapText="1"/>
      <protection hidden="1"/>
    </xf>
    <xf numFmtId="2" fontId="25" fillId="3" borderId="6" xfId="0" applyNumberFormat="1" applyFont="1" applyFill="1" applyBorder="1" applyAlignment="1">
      <alignment horizontal="left"/>
    </xf>
    <xf numFmtId="2" fontId="25" fillId="3" borderId="7" xfId="0" applyNumberFormat="1" applyFont="1" applyFill="1" applyBorder="1" applyAlignment="1">
      <alignment horizontal="left"/>
    </xf>
    <xf numFmtId="0" fontId="17" fillId="0" borderId="11" xfId="14" applyNumberFormat="1" applyFont="1" applyFill="1" applyBorder="1" applyAlignment="1" applyProtection="1">
      <alignment horizontal="left" vertical="top"/>
      <protection hidden="1"/>
    </xf>
    <xf numFmtId="3" fontId="15" fillId="3" borderId="11" xfId="14" applyNumberFormat="1" applyFont="1" applyFill="1" applyBorder="1" applyAlignment="1" applyProtection="1">
      <alignment horizontal="left" vertical="top" wrapText="1"/>
      <protection hidden="1"/>
    </xf>
    <xf numFmtId="2" fontId="25" fillId="3" borderId="8" xfId="0" applyNumberFormat="1" applyFont="1" applyFill="1" applyBorder="1" applyAlignment="1">
      <alignment horizontal="left"/>
    </xf>
    <xf numFmtId="2" fontId="25" fillId="3" borderId="9" xfId="0" applyNumberFormat="1" applyFont="1" applyFill="1" applyBorder="1" applyAlignment="1">
      <alignment horizontal="left"/>
    </xf>
    <xf numFmtId="0" fontId="15" fillId="0" borderId="5" xfId="14" applyNumberFormat="1" applyFont="1" applyFill="1" applyBorder="1" applyAlignment="1" applyProtection="1">
      <alignment horizontal="left"/>
      <protection hidden="1"/>
    </xf>
    <xf numFmtId="0" fontId="15" fillId="0" borderId="6" xfId="14" applyFont="1" applyFill="1" applyBorder="1" applyAlignment="1" applyProtection="1">
      <alignment horizontal="left"/>
      <protection hidden="1"/>
    </xf>
    <xf numFmtId="0" fontId="15" fillId="0" borderId="6" xfId="14" applyFont="1" applyFill="1" applyBorder="1" applyAlignment="1" applyProtection="1">
      <alignment horizontal="center"/>
      <protection hidden="1"/>
    </xf>
    <xf numFmtId="0" fontId="15" fillId="0" borderId="7" xfId="14" applyFont="1" applyFill="1" applyBorder="1" applyAlignment="1" applyProtection="1">
      <alignment horizontal="center"/>
      <protection hidden="1"/>
    </xf>
    <xf numFmtId="0" fontId="17" fillId="0" borderId="1" xfId="14" applyNumberFormat="1" applyFont="1" applyFill="1" applyBorder="1" applyAlignment="1" applyProtection="1">
      <alignment horizontal="left"/>
      <protection hidden="1"/>
    </xf>
    <xf numFmtId="0" fontId="15" fillId="0" borderId="5" xfId="14" applyFont="1" applyFill="1" applyBorder="1" applyAlignment="1" applyProtection="1">
      <alignment horizontal="left"/>
      <protection hidden="1"/>
    </xf>
    <xf numFmtId="0" fontId="23" fillId="0" borderId="7" xfId="18" applyFont="1" applyFill="1" applyBorder="1" applyProtection="1">
      <protection hidden="1"/>
    </xf>
    <xf numFmtId="169" fontId="17" fillId="0" borderId="10" xfId="9" applyFont="1" applyFill="1" applyBorder="1" applyAlignment="1" applyProtection="1">
      <alignment horizontal="right"/>
      <protection hidden="1"/>
    </xf>
    <xf numFmtId="0" fontId="15" fillId="0" borderId="7" xfId="14" applyFont="1" applyFill="1" applyBorder="1" applyAlignment="1" applyProtection="1">
      <alignment horizontal="left"/>
      <protection hidden="1"/>
    </xf>
    <xf numFmtId="188" fontId="15" fillId="3" borderId="1" xfId="14" applyNumberFormat="1" applyFont="1" applyFill="1" applyBorder="1" applyAlignment="1" applyProtection="1">
      <alignment horizontal="center"/>
      <protection hidden="1"/>
    </xf>
    <xf numFmtId="188" fontId="15" fillId="0" borderId="1" xfId="14" applyNumberFormat="1" applyFont="1" applyFill="1" applyBorder="1" applyAlignment="1" applyProtection="1">
      <alignment horizontal="center"/>
      <protection hidden="1"/>
    </xf>
    <xf numFmtId="3" fontId="15" fillId="3" borderId="1" xfId="14" applyNumberFormat="1" applyFont="1" applyFill="1" applyBorder="1" applyAlignment="1" applyProtection="1">
      <alignment horizontal="center"/>
      <protection hidden="1"/>
    </xf>
    <xf numFmtId="4" fontId="15" fillId="0" borderId="1" xfId="14" applyNumberFormat="1" applyFont="1" applyFill="1" applyBorder="1" applyAlignment="1" applyProtection="1">
      <alignment horizontal="center"/>
      <protection hidden="1"/>
    </xf>
    <xf numFmtId="10" fontId="15" fillId="3" borderId="1" xfId="23" applyNumberFormat="1" applyFont="1" applyFill="1" applyBorder="1" applyAlignment="1" applyProtection="1">
      <alignment horizontal="center"/>
      <protection locked="0"/>
    </xf>
    <xf numFmtId="188" fontId="17" fillId="0" borderId="1" xfId="14" applyNumberFormat="1" applyFont="1" applyFill="1" applyBorder="1" applyAlignment="1" applyProtection="1">
      <alignment horizontal="center"/>
      <protection hidden="1"/>
    </xf>
    <xf numFmtId="0" fontId="15" fillId="3" borderId="1" xfId="14" applyFont="1" applyFill="1" applyBorder="1" applyAlignment="1" applyProtection="1">
      <alignment horizontal="center"/>
      <protection hidden="1"/>
    </xf>
    <xf numFmtId="0" fontId="15" fillId="0" borderId="0" xfId="14" applyNumberFormat="1" applyFont="1" applyFill="1" applyBorder="1" applyAlignment="1" applyProtection="1">
      <alignment horizontal="left"/>
      <protection hidden="1"/>
    </xf>
    <xf numFmtId="4" fontId="15" fillId="0" borderId="0" xfId="14" applyNumberFormat="1" applyFont="1" applyFill="1" applyBorder="1" applyAlignment="1" applyProtection="1">
      <alignment horizontal="center"/>
      <protection hidden="1"/>
    </xf>
    <xf numFmtId="0" fontId="23" fillId="0" borderId="0" xfId="18" applyFont="1" applyFill="1" applyAlignment="1"/>
    <xf numFmtId="0" fontId="19" fillId="0" borderId="0" xfId="18" applyFont="1" applyFill="1" applyAlignment="1"/>
    <xf numFmtId="0" fontId="19" fillId="0" borderId="0" xfId="18" applyFont="1" applyFill="1" applyBorder="1" applyAlignment="1"/>
    <xf numFmtId="0" fontId="20" fillId="0" borderId="0" xfId="0" applyFont="1" applyFill="1" applyAlignment="1">
      <alignment horizontal="left"/>
    </xf>
    <xf numFmtId="0" fontId="30" fillId="0" borderId="0" xfId="0" applyFont="1" applyFill="1" applyBorder="1"/>
    <xf numFmtId="2" fontId="31" fillId="0" borderId="0" xfId="20" applyNumberFormat="1" applyFont="1" applyFill="1" applyBorder="1" applyAlignment="1" applyProtection="1">
      <alignment horizontal="center"/>
      <protection hidden="1"/>
    </xf>
    <xf numFmtId="2" fontId="19" fillId="0" borderId="0" xfId="19" applyNumberFormat="1" applyFont="1" applyFill="1" applyBorder="1" applyProtection="1">
      <protection hidden="1"/>
    </xf>
    <xf numFmtId="2" fontId="19" fillId="0" borderId="0" xfId="0" applyNumberFormat="1" applyFont="1" applyFill="1" applyBorder="1"/>
    <xf numFmtId="2" fontId="14" fillId="0" borderId="0" xfId="20" applyNumberFormat="1" applyFont="1" applyFill="1" applyBorder="1" applyAlignment="1" applyProtection="1">
      <alignment horizontal="center" vertical="center"/>
      <protection hidden="1"/>
    </xf>
    <xf numFmtId="2" fontId="19" fillId="0" borderId="0" xfId="19" applyNumberFormat="1" applyFont="1" applyFill="1" applyBorder="1" applyAlignment="1" applyProtection="1">
      <alignment vertical="center"/>
      <protection hidden="1"/>
    </xf>
    <xf numFmtId="2" fontId="32" fillId="0" borderId="0" xfId="20" applyNumberFormat="1" applyFont="1" applyFill="1" applyBorder="1" applyAlignment="1" applyProtection="1">
      <alignment horizontal="left" vertical="center"/>
      <protection hidden="1"/>
    </xf>
    <xf numFmtId="0" fontId="30" fillId="0" borderId="0" xfId="0" applyFont="1" applyFill="1" applyBorder="1" applyAlignment="1">
      <alignment vertical="center"/>
    </xf>
    <xf numFmtId="0" fontId="19" fillId="0" borderId="0" xfId="0" applyFont="1" applyFill="1" applyAlignment="1">
      <alignment vertical="center"/>
    </xf>
    <xf numFmtId="2" fontId="30" fillId="0" borderId="0" xfId="0" applyNumberFormat="1" applyFont="1" applyFill="1" applyBorder="1"/>
    <xf numFmtId="2" fontId="19" fillId="0" borderId="0" xfId="19" applyNumberFormat="1" applyFont="1" applyFill="1" applyProtection="1">
      <protection hidden="1"/>
    </xf>
    <xf numFmtId="0" fontId="19" fillId="0" borderId="0" xfId="19" applyFont="1" applyFill="1" applyProtection="1">
      <protection hidden="1"/>
    </xf>
    <xf numFmtId="1" fontId="33" fillId="0" borderId="0" xfId="0" applyNumberFormat="1" applyFont="1" applyAlignment="1">
      <alignment horizontal="left"/>
    </xf>
    <xf numFmtId="2" fontId="25" fillId="2" borderId="6" xfId="19" applyNumberFormat="1" applyFont="1" applyFill="1" applyBorder="1" applyAlignment="1" applyProtection="1">
      <alignment horizontal="centerContinuous" vertical="center"/>
      <protection hidden="1"/>
    </xf>
    <xf numFmtId="0" fontId="25" fillId="2" borderId="6" xfId="19" applyFont="1" applyFill="1" applyBorder="1" applyAlignment="1" applyProtection="1">
      <alignment horizontal="centerContinuous" vertical="center"/>
      <protection hidden="1"/>
    </xf>
    <xf numFmtId="0" fontId="25" fillId="2" borderId="7" xfId="19" applyFont="1" applyFill="1" applyBorder="1" applyAlignment="1" applyProtection="1">
      <alignment horizontal="right" vertical="top"/>
      <protection hidden="1"/>
    </xf>
    <xf numFmtId="0" fontId="19" fillId="0" borderId="0" xfId="19" applyFont="1" applyFill="1" applyBorder="1" applyAlignment="1" applyProtection="1">
      <protection hidden="1"/>
    </xf>
    <xf numFmtId="2" fontId="34" fillId="0" borderId="4" xfId="19" applyNumberFormat="1" applyFont="1" applyFill="1" applyBorder="1" applyAlignment="1" applyProtection="1">
      <alignment horizontal="center"/>
      <protection hidden="1"/>
    </xf>
    <xf numFmtId="2" fontId="34" fillId="0" borderId="9" xfId="19" applyNumberFormat="1" applyFont="1" applyFill="1" applyBorder="1" applyAlignment="1" applyProtection="1">
      <alignment horizontal="center"/>
      <protection hidden="1"/>
    </xf>
    <xf numFmtId="2" fontId="17" fillId="0" borderId="1" xfId="19" applyNumberFormat="1" applyFont="1" applyFill="1" applyBorder="1" applyAlignment="1" applyProtection="1">
      <alignment horizontal="left"/>
      <protection hidden="1"/>
    </xf>
    <xf numFmtId="2" fontId="17" fillId="0" borderId="1" xfId="19" applyNumberFormat="1" applyFont="1" applyFill="1" applyBorder="1" applyAlignment="1" applyProtection="1">
      <alignment horizontal="center"/>
      <protection hidden="1"/>
    </xf>
    <xf numFmtId="0" fontId="17" fillId="0" borderId="1" xfId="19" applyFont="1" applyFill="1" applyBorder="1" applyAlignment="1" applyProtection="1">
      <alignment horizontal="center"/>
      <protection hidden="1"/>
    </xf>
    <xf numFmtId="0" fontId="19" fillId="0" borderId="0" xfId="19" applyFont="1" applyFill="1" applyBorder="1" applyProtection="1">
      <protection hidden="1"/>
    </xf>
    <xf numFmtId="2" fontId="30" fillId="0" borderId="15" xfId="19" applyNumberFormat="1" applyFont="1" applyFill="1" applyBorder="1" applyAlignment="1" applyProtection="1">
      <alignment horizontal="center"/>
      <protection hidden="1"/>
    </xf>
    <xf numFmtId="188" fontId="30" fillId="0" borderId="12" xfId="4" applyNumberFormat="1" applyFont="1" applyFill="1" applyBorder="1" applyAlignment="1" applyProtection="1">
      <protection hidden="1"/>
    </xf>
    <xf numFmtId="2" fontId="15" fillId="0" borderId="1" xfId="19" applyNumberFormat="1" applyFont="1" applyFill="1" applyBorder="1" applyAlignment="1" applyProtection="1">
      <alignment horizontal="left"/>
      <protection hidden="1"/>
    </xf>
    <xf numFmtId="188" fontId="19" fillId="0" borderId="1" xfId="4" applyNumberFormat="1" applyFont="1" applyFill="1" applyBorder="1" applyAlignment="1" applyProtection="1">
      <protection hidden="1"/>
    </xf>
    <xf numFmtId="2" fontId="30" fillId="0" borderId="10" xfId="19" applyNumberFormat="1" applyFont="1" applyFill="1" applyBorder="1" applyAlignment="1" applyProtection="1">
      <alignment horizontal="center"/>
      <protection hidden="1"/>
    </xf>
    <xf numFmtId="2" fontId="30" fillId="0" borderId="13" xfId="19" applyNumberFormat="1" applyFont="1" applyFill="1" applyBorder="1" applyAlignment="1" applyProtection="1">
      <alignment horizontal="center"/>
      <protection hidden="1"/>
    </xf>
    <xf numFmtId="0" fontId="15" fillId="0" borderId="0" xfId="19" applyFont="1" applyFill="1" applyBorder="1" applyAlignment="1" applyProtection="1">
      <alignment horizontal="left"/>
      <protection hidden="1"/>
    </xf>
    <xf numFmtId="172" fontId="15" fillId="0" borderId="0" xfId="19" applyNumberFormat="1" applyFont="1" applyFill="1" applyBorder="1" applyAlignment="1" applyProtection="1">
      <protection hidden="1"/>
    </xf>
    <xf numFmtId="2" fontId="30" fillId="0" borderId="0" xfId="19" applyNumberFormat="1" applyFont="1" applyFill="1" applyBorder="1" applyAlignment="1" applyProtection="1">
      <alignment horizontal="center"/>
      <protection hidden="1"/>
    </xf>
    <xf numFmtId="0" fontId="19" fillId="0" borderId="0" xfId="19" applyFont="1" applyFill="1" applyBorder="1" applyAlignment="1" applyProtection="1">
      <alignment horizontal="left"/>
      <protection hidden="1"/>
    </xf>
    <xf numFmtId="2" fontId="19" fillId="0" borderId="0" xfId="19" applyNumberFormat="1" applyFont="1" applyFill="1" applyAlignment="1" applyProtection="1">
      <alignment horizontal="left"/>
      <protection hidden="1"/>
    </xf>
    <xf numFmtId="0" fontId="30" fillId="0" borderId="0" xfId="19" applyFont="1" applyFill="1" applyBorder="1" applyAlignment="1" applyProtection="1">
      <alignment horizontal="center"/>
      <protection hidden="1"/>
    </xf>
    <xf numFmtId="2" fontId="17" fillId="2" borderId="6" xfId="19" applyNumberFormat="1" applyFont="1" applyFill="1" applyBorder="1" applyAlignment="1" applyProtection="1">
      <alignment horizontal="centerContinuous" vertical="center" wrapText="1"/>
      <protection hidden="1"/>
    </xf>
    <xf numFmtId="0" fontId="17" fillId="2" borderId="6" xfId="19" applyFont="1" applyFill="1" applyBorder="1" applyAlignment="1" applyProtection="1">
      <alignment horizontal="centerContinuous" vertical="center" wrapText="1"/>
      <protection hidden="1"/>
    </xf>
    <xf numFmtId="186" fontId="15" fillId="0" borderId="0" xfId="19" applyNumberFormat="1" applyFont="1" applyFill="1" applyBorder="1" applyAlignment="1" applyProtection="1">
      <protection hidden="1"/>
    </xf>
    <xf numFmtId="188" fontId="30" fillId="0" borderId="15" xfId="4" applyNumberFormat="1" applyFont="1" applyFill="1" applyBorder="1" applyAlignment="1" applyProtection="1">
      <protection hidden="1"/>
    </xf>
    <xf numFmtId="188" fontId="30" fillId="0" borderId="10" xfId="4" applyNumberFormat="1" applyFont="1" applyFill="1" applyBorder="1" applyAlignment="1" applyProtection="1">
      <protection hidden="1"/>
    </xf>
    <xf numFmtId="2" fontId="25" fillId="2" borderId="5" xfId="19" applyNumberFormat="1" applyFont="1" applyFill="1" applyBorder="1" applyAlignment="1" applyProtection="1">
      <alignment horizontal="left" vertical="top"/>
      <protection hidden="1"/>
    </xf>
    <xf numFmtId="0" fontId="25" fillId="2" borderId="7" xfId="0" applyFont="1" applyFill="1" applyBorder="1" applyAlignment="1" applyProtection="1">
      <alignment horizontal="right" vertical="top"/>
      <protection hidden="1"/>
    </xf>
    <xf numFmtId="0" fontId="17" fillId="0" borderId="1" xfId="0" applyFont="1" applyBorder="1" applyAlignment="1" applyProtection="1">
      <alignment horizontal="center"/>
      <protection hidden="1"/>
    </xf>
    <xf numFmtId="186" fontId="15" fillId="0" borderId="0" xfId="0" applyNumberFormat="1" applyFont="1" applyProtection="1">
      <protection hidden="1"/>
    </xf>
    <xf numFmtId="0" fontId="23" fillId="0" borderId="0" xfId="19" applyFont="1" applyFill="1" applyBorder="1" applyAlignment="1" applyProtection="1">
      <protection hidden="1"/>
    </xf>
    <xf numFmtId="2" fontId="33" fillId="0" borderId="4" xfId="19" applyNumberFormat="1" applyFont="1" applyFill="1" applyBorder="1" applyAlignment="1" applyProtection="1">
      <alignment horizontal="center"/>
      <protection hidden="1"/>
    </xf>
    <xf numFmtId="0" fontId="23" fillId="0" borderId="0" xfId="0" applyFont="1" applyFill="1"/>
    <xf numFmtId="2" fontId="33" fillId="2" borderId="5" xfId="19" applyNumberFormat="1" applyFont="1" applyFill="1" applyBorder="1" applyAlignment="1" applyProtection="1">
      <alignment horizontal="left" vertical="top"/>
      <protection hidden="1"/>
    </xf>
    <xf numFmtId="2" fontId="33" fillId="2" borderId="6" xfId="19" applyNumberFormat="1" applyFont="1" applyFill="1" applyBorder="1" applyAlignment="1" applyProtection="1">
      <alignment horizontal="centerContinuous" vertical="center"/>
      <protection hidden="1"/>
    </xf>
    <xf numFmtId="0" fontId="33" fillId="2" borderId="6" xfId="19" applyFont="1" applyFill="1" applyBorder="1" applyAlignment="1" applyProtection="1">
      <alignment horizontal="centerContinuous" vertical="center"/>
      <protection hidden="1"/>
    </xf>
    <xf numFmtId="0" fontId="33" fillId="2" borderId="7" xfId="19" applyFont="1" applyFill="1" applyBorder="1" applyAlignment="1" applyProtection="1">
      <alignment horizontal="right" vertical="top"/>
      <protection hidden="1"/>
    </xf>
    <xf numFmtId="2" fontId="20" fillId="0" borderId="7" xfId="19" applyNumberFormat="1" applyFont="1" applyFill="1" applyBorder="1" applyAlignment="1" applyProtection="1">
      <alignment horizontal="left"/>
      <protection hidden="1"/>
    </xf>
    <xf numFmtId="2" fontId="20" fillId="0" borderId="1" xfId="19" applyNumberFormat="1" applyFont="1" applyFill="1" applyBorder="1" applyAlignment="1" applyProtection="1">
      <alignment horizontal="center"/>
      <protection hidden="1"/>
    </xf>
    <xf numFmtId="0" fontId="20" fillId="0" borderId="1" xfId="19" applyFont="1" applyFill="1" applyBorder="1" applyAlignment="1" applyProtection="1">
      <alignment horizontal="center"/>
      <protection hidden="1"/>
    </xf>
    <xf numFmtId="2" fontId="18" fillId="0" borderId="7" xfId="19" applyNumberFormat="1" applyFont="1" applyFill="1" applyBorder="1" applyAlignment="1" applyProtection="1">
      <alignment horizontal="left"/>
      <protection hidden="1"/>
    </xf>
    <xf numFmtId="9" fontId="18" fillId="0" borderId="1" xfId="23" applyFont="1" applyFill="1" applyBorder="1" applyAlignment="1" applyProtection="1">
      <protection hidden="1"/>
    </xf>
    <xf numFmtId="0" fontId="18" fillId="0" borderId="7" xfId="19" applyFont="1" applyFill="1" applyBorder="1" applyAlignment="1" applyProtection="1">
      <alignment horizontal="left"/>
      <protection hidden="1"/>
    </xf>
    <xf numFmtId="0" fontId="18" fillId="0" borderId="0" xfId="0" applyFont="1" applyFill="1"/>
    <xf numFmtId="0" fontId="19" fillId="0" borderId="0" xfId="0" applyFont="1" applyFill="1" applyAlignment="1">
      <alignment horizontal="left"/>
    </xf>
    <xf numFmtId="0" fontId="31" fillId="0" borderId="0" xfId="20" applyFont="1" applyFill="1" applyBorder="1" applyAlignment="1" applyProtection="1">
      <protection hidden="1"/>
    </xf>
    <xf numFmtId="0" fontId="31" fillId="0" borderId="0" xfId="20" applyFont="1" applyFill="1" applyBorder="1" applyAlignment="1" applyProtection="1">
      <alignment horizontal="center"/>
      <protection hidden="1"/>
    </xf>
    <xf numFmtId="0" fontId="31" fillId="0" borderId="0" xfId="20" applyFont="1" applyFill="1" applyBorder="1" applyAlignment="1" applyProtection="1">
      <alignment horizontal="right"/>
      <protection hidden="1"/>
    </xf>
    <xf numFmtId="171" fontId="31" fillId="0" borderId="0" xfId="4" applyFont="1" applyFill="1" applyBorder="1" applyAlignment="1" applyProtection="1">
      <alignment horizontal="center"/>
      <protection hidden="1"/>
    </xf>
    <xf numFmtId="182" fontId="31" fillId="0" borderId="0" xfId="4" applyNumberFormat="1" applyFont="1" applyFill="1" applyBorder="1" applyAlignment="1" applyProtection="1">
      <alignment horizontal="center"/>
      <protection hidden="1"/>
    </xf>
    <xf numFmtId="2" fontId="25" fillId="0" borderId="0" xfId="0" applyNumberFormat="1" applyFont="1" applyAlignment="1"/>
    <xf numFmtId="2" fontId="27" fillId="0" borderId="0" xfId="0" applyNumberFormat="1" applyFont="1"/>
    <xf numFmtId="0" fontId="35" fillId="0" borderId="0" xfId="0" applyFont="1" applyFill="1" applyBorder="1" applyAlignment="1">
      <alignment horizontal="center" vertical="center"/>
    </xf>
    <xf numFmtId="182" fontId="35" fillId="0" borderId="0" xfId="0" applyNumberFormat="1" applyFont="1" applyFill="1" applyBorder="1" applyAlignment="1">
      <alignment horizontal="center" vertical="center"/>
    </xf>
    <xf numFmtId="2" fontId="14" fillId="0" borderId="0" xfId="20" applyNumberFormat="1" applyFont="1" applyFill="1" applyBorder="1" applyAlignment="1" applyProtection="1">
      <alignment horizontal="right"/>
      <protection hidden="1"/>
    </xf>
    <xf numFmtId="2" fontId="14" fillId="0" borderId="0" xfId="20" applyNumberFormat="1" applyFont="1" applyFill="1" applyBorder="1" applyAlignment="1" applyProtection="1">
      <alignment horizontal="center"/>
      <protection hidden="1"/>
    </xf>
    <xf numFmtId="2" fontId="16" fillId="0" borderId="0" xfId="0" applyNumberFormat="1" applyFont="1" applyFill="1" applyBorder="1" applyAlignment="1">
      <alignment horizontal="center" vertical="center"/>
    </xf>
    <xf numFmtId="182"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2" fontId="25" fillId="2" borderId="5" xfId="20" applyNumberFormat="1" applyFont="1" applyFill="1" applyBorder="1" applyAlignment="1" applyProtection="1">
      <alignment horizontal="left" vertical="center" wrapText="1"/>
      <protection hidden="1"/>
    </xf>
    <xf numFmtId="2" fontId="14" fillId="2" borderId="6" xfId="20" applyNumberFormat="1" applyFont="1" applyFill="1" applyBorder="1" applyAlignment="1" applyProtection="1">
      <alignment horizontal="center" wrapText="1"/>
      <protection hidden="1"/>
    </xf>
    <xf numFmtId="2" fontId="14" fillId="2" borderId="7" xfId="20" applyNumberFormat="1" applyFont="1" applyFill="1" applyBorder="1" applyAlignment="1" applyProtection="1">
      <alignment horizontal="right" wrapText="1"/>
      <protection hidden="1"/>
    </xf>
    <xf numFmtId="2" fontId="14" fillId="0" borderId="0" xfId="20" applyNumberFormat="1" applyFont="1" applyFill="1" applyBorder="1" applyAlignment="1" applyProtection="1">
      <alignment horizontal="center" wrapText="1"/>
      <protection hidden="1"/>
    </xf>
    <xf numFmtId="0" fontId="19" fillId="0" borderId="0" xfId="0" applyFont="1" applyAlignment="1">
      <alignment horizontal="center" wrapText="1"/>
    </xf>
    <xf numFmtId="171" fontId="31" fillId="0" borderId="0" xfId="4" applyFont="1" applyFill="1" applyBorder="1" applyAlignment="1" applyProtection="1">
      <alignment horizontal="center" wrapText="1"/>
      <protection hidden="1"/>
    </xf>
    <xf numFmtId="2" fontId="19" fillId="0" borderId="5" xfId="20" applyNumberFormat="1" applyFont="1" applyFill="1" applyBorder="1" applyAlignment="1" applyProtection="1">
      <protection hidden="1"/>
    </xf>
    <xf numFmtId="2" fontId="36" fillId="0" borderId="6" xfId="4" applyNumberFormat="1" applyFont="1" applyFill="1" applyBorder="1" applyAlignment="1" applyProtection="1">
      <alignment horizontal="center" vertical="center"/>
      <protection hidden="1"/>
    </xf>
    <xf numFmtId="2" fontId="36" fillId="0" borderId="7" xfId="4" applyNumberFormat="1" applyFont="1" applyFill="1" applyBorder="1" applyAlignment="1" applyProtection="1">
      <alignment horizontal="right" vertical="center"/>
      <protection hidden="1"/>
    </xf>
    <xf numFmtId="182" fontId="16" fillId="0" borderId="9" xfId="0" applyNumberFormat="1" applyFont="1" applyFill="1" applyBorder="1" applyAlignment="1">
      <alignment horizontal="center" vertical="center"/>
    </xf>
    <xf numFmtId="2" fontId="31" fillId="0" borderId="6" xfId="4" applyNumberFormat="1" applyFont="1" applyFill="1" applyBorder="1" applyAlignment="1" applyProtection="1">
      <alignment horizontal="center" vertical="center"/>
      <protection hidden="1"/>
    </xf>
    <xf numFmtId="2" fontId="31" fillId="0" borderId="7" xfId="4" applyNumberFormat="1" applyFont="1" applyFill="1" applyBorder="1" applyAlignment="1" applyProtection="1">
      <alignment horizontal="right" vertical="center"/>
      <protection hidden="1"/>
    </xf>
    <xf numFmtId="171" fontId="15" fillId="6" borderId="1" xfId="4" applyFont="1" applyFill="1" applyBorder="1" applyAlignment="1" applyProtection="1">
      <protection locked="0"/>
    </xf>
    <xf numFmtId="171" fontId="15" fillId="2" borderId="1" xfId="4" applyFont="1" applyFill="1" applyBorder="1" applyAlignment="1" applyProtection="1">
      <protection locked="0"/>
    </xf>
    <xf numFmtId="2" fontId="37" fillId="0" borderId="6" xfId="20" applyNumberFormat="1" applyFont="1" applyFill="1" applyBorder="1" applyAlignment="1" applyProtection="1">
      <protection hidden="1"/>
    </xf>
    <xf numFmtId="10" fontId="30" fillId="0" borderId="7" xfId="23" applyNumberFormat="1" applyFont="1" applyFill="1" applyBorder="1" applyAlignment="1" applyProtection="1">
      <alignment horizontal="right"/>
      <protection hidden="1"/>
    </xf>
    <xf numFmtId="171" fontId="15" fillId="3" borderId="1" xfId="4" applyFont="1" applyFill="1" applyBorder="1" applyAlignment="1" applyProtection="1">
      <protection locked="0"/>
    </xf>
    <xf numFmtId="0" fontId="19" fillId="0" borderId="5" xfId="20" applyFont="1" applyFill="1" applyBorder="1" applyAlignment="1" applyProtection="1">
      <protection hidden="1"/>
    </xf>
    <xf numFmtId="0" fontId="37" fillId="0" borderId="6" xfId="20" applyFont="1" applyFill="1" applyBorder="1" applyAlignment="1" applyProtection="1">
      <protection hidden="1"/>
    </xf>
    <xf numFmtId="0" fontId="37" fillId="0" borderId="7" xfId="20" applyFont="1" applyFill="1" applyBorder="1" applyAlignment="1" applyProtection="1">
      <alignment horizontal="right"/>
      <protection hidden="1"/>
    </xf>
    <xf numFmtId="0" fontId="17" fillId="0" borderId="5" xfId="20" applyFont="1" applyFill="1" applyBorder="1" applyAlignment="1" applyProtection="1">
      <protection hidden="1"/>
    </xf>
    <xf numFmtId="0" fontId="30" fillId="0" borderId="6" xfId="20" applyFont="1" applyFill="1" applyBorder="1" applyAlignment="1" applyProtection="1">
      <alignment horizontal="right"/>
      <protection hidden="1"/>
    </xf>
    <xf numFmtId="0" fontId="30" fillId="0" borderId="7" xfId="20" applyFont="1" applyFill="1" applyBorder="1" applyAlignment="1" applyProtection="1">
      <alignment horizontal="right"/>
      <protection hidden="1"/>
    </xf>
    <xf numFmtId="0" fontId="15" fillId="0" borderId="5" xfId="20" applyNumberFormat="1" applyFont="1" applyFill="1" applyBorder="1" applyAlignment="1" applyProtection="1">
      <protection hidden="1"/>
    </xf>
    <xf numFmtId="10" fontId="30" fillId="0" borderId="6" xfId="20" applyNumberFormat="1" applyFont="1" applyFill="1" applyBorder="1" applyAlignment="1" applyProtection="1">
      <alignment horizontal="right"/>
      <protection hidden="1"/>
    </xf>
    <xf numFmtId="10" fontId="37" fillId="3" borderId="1" xfId="23" applyNumberFormat="1" applyFont="1" applyFill="1" applyBorder="1" applyAlignment="1" applyProtection="1">
      <alignment horizontal="right"/>
      <protection hidden="1"/>
    </xf>
    <xf numFmtId="0" fontId="37" fillId="0" borderId="6" xfId="20" applyFont="1" applyFill="1" applyBorder="1" applyAlignment="1" applyProtection="1">
      <alignment horizontal="center"/>
      <protection hidden="1"/>
    </xf>
    <xf numFmtId="182" fontId="38" fillId="0" borderId="1" xfId="23" applyNumberFormat="1" applyFont="1" applyFill="1" applyBorder="1" applyAlignment="1" applyProtection="1">
      <alignment horizontal="center"/>
      <protection hidden="1"/>
    </xf>
    <xf numFmtId="0" fontId="39" fillId="0" borderId="5" xfId="20" applyNumberFormat="1" applyFont="1" applyFill="1" applyBorder="1" applyAlignment="1" applyProtection="1">
      <protection hidden="1"/>
    </xf>
    <xf numFmtId="2" fontId="34" fillId="0" borderId="0" xfId="20" applyNumberFormat="1" applyFont="1" applyFill="1" applyBorder="1" applyAlignment="1" applyProtection="1">
      <alignment horizontal="center"/>
      <protection hidden="1"/>
    </xf>
    <xf numFmtId="171" fontId="39" fillId="3" borderId="1" xfId="4" applyFont="1" applyFill="1" applyBorder="1" applyAlignment="1" applyProtection="1">
      <alignment horizontal="right"/>
      <protection locked="0"/>
    </xf>
    <xf numFmtId="182" fontId="18" fillId="0" borderId="12" xfId="0" applyNumberFormat="1" applyFont="1" applyFill="1" applyBorder="1" applyAlignment="1">
      <alignment horizontal="center" vertical="center"/>
    </xf>
    <xf numFmtId="171" fontId="34" fillId="0" borderId="0" xfId="4" applyFont="1" applyFill="1" applyBorder="1" applyAlignment="1" applyProtection="1">
      <alignment horizontal="center"/>
      <protection hidden="1"/>
    </xf>
    <xf numFmtId="182" fontId="37" fillId="0" borderId="7" xfId="23" applyNumberFormat="1" applyFont="1" applyFill="1" applyBorder="1" applyAlignment="1" applyProtection="1">
      <alignment horizontal="right"/>
      <protection hidden="1"/>
    </xf>
    <xf numFmtId="171" fontId="37" fillId="0" borderId="6" xfId="20" applyNumberFormat="1" applyFont="1" applyFill="1" applyBorder="1" applyAlignment="1" applyProtection="1">
      <alignment horizontal="center"/>
      <protection hidden="1"/>
    </xf>
    <xf numFmtId="185" fontId="31" fillId="0" borderId="0" xfId="4" applyNumberFormat="1" applyFont="1" applyFill="1" applyBorder="1" applyAlignment="1" applyProtection="1">
      <alignment horizontal="center"/>
      <protection hidden="1"/>
    </xf>
    <xf numFmtId="165" fontId="37" fillId="0" borderId="6" xfId="20" applyNumberFormat="1" applyFont="1" applyFill="1" applyBorder="1" applyAlignment="1" applyProtection="1">
      <alignment horizontal="center"/>
      <protection hidden="1"/>
    </xf>
    <xf numFmtId="2" fontId="15" fillId="0" borderId="1" xfId="4" applyNumberFormat="1" applyFont="1" applyFill="1" applyBorder="1" applyAlignment="1" applyProtection="1">
      <alignment horizontal="right"/>
      <protection locked="0"/>
    </xf>
    <xf numFmtId="0" fontId="19" fillId="3" borderId="5" xfId="20" applyFont="1" applyFill="1" applyBorder="1" applyAlignment="1" applyProtection="1">
      <protection hidden="1"/>
    </xf>
    <xf numFmtId="168" fontId="37" fillId="0" borderId="7" xfId="11" applyFont="1" applyFill="1" applyBorder="1" applyAlignment="1" applyProtection="1">
      <alignment horizontal="right"/>
      <protection hidden="1"/>
    </xf>
    <xf numFmtId="9" fontId="16" fillId="0" borderId="12" xfId="23" applyFont="1" applyFill="1" applyBorder="1" applyAlignment="1">
      <alignment horizontal="center" vertical="center"/>
    </xf>
    <xf numFmtId="10" fontId="37" fillId="0" borderId="7" xfId="23" applyNumberFormat="1" applyFont="1" applyFill="1" applyBorder="1" applyAlignment="1" applyProtection="1">
      <alignment horizontal="right"/>
      <protection hidden="1"/>
    </xf>
    <xf numFmtId="182" fontId="19" fillId="0" borderId="12" xfId="0" applyNumberFormat="1" applyFont="1" applyBorder="1"/>
    <xf numFmtId="182" fontId="19" fillId="0" borderId="12" xfId="0" applyNumberFormat="1" applyFont="1" applyFill="1" applyBorder="1"/>
    <xf numFmtId="171" fontId="37" fillId="0" borderId="6" xfId="20" applyNumberFormat="1" applyFont="1" applyFill="1" applyBorder="1" applyAlignment="1" applyProtection="1">
      <protection hidden="1"/>
    </xf>
    <xf numFmtId="171" fontId="37" fillId="0" borderId="7" xfId="20" applyNumberFormat="1" applyFont="1" applyFill="1" applyBorder="1" applyAlignment="1" applyProtection="1">
      <alignment horizontal="right"/>
      <protection hidden="1"/>
    </xf>
    <xf numFmtId="182" fontId="16" fillId="0" borderId="13" xfId="0" applyNumberFormat="1" applyFont="1" applyFill="1" applyBorder="1" applyAlignment="1">
      <alignment horizontal="center" vertical="center"/>
    </xf>
    <xf numFmtId="0" fontId="19" fillId="0" borderId="0" xfId="0" applyFont="1" applyFill="1" applyBorder="1" applyAlignment="1"/>
    <xf numFmtId="0" fontId="28" fillId="0" borderId="0" xfId="0" applyFont="1" applyFill="1" applyBorder="1"/>
    <xf numFmtId="0" fontId="28" fillId="0" borderId="9" xfId="0" applyFont="1" applyFill="1" applyBorder="1" applyAlignment="1">
      <alignment horizontal="right"/>
    </xf>
    <xf numFmtId="0" fontId="20" fillId="0" borderId="5" xfId="20" applyFont="1" applyFill="1" applyBorder="1" applyAlignment="1" applyProtection="1">
      <protection hidden="1"/>
    </xf>
    <xf numFmtId="171" fontId="30" fillId="0" borderId="6" xfId="20" applyNumberFormat="1" applyFont="1" applyFill="1" applyBorder="1" applyAlignment="1" applyProtection="1">
      <protection hidden="1"/>
    </xf>
    <xf numFmtId="171" fontId="30" fillId="0" borderId="7" xfId="20" applyNumberFormat="1" applyFont="1" applyFill="1" applyBorder="1" applyAlignment="1" applyProtection="1">
      <alignment horizontal="right"/>
      <protection hidden="1"/>
    </xf>
    <xf numFmtId="0" fontId="30" fillId="0" borderId="0" xfId="0" applyFont="1" applyFill="1" applyBorder="1" applyAlignment="1"/>
    <xf numFmtId="0" fontId="30" fillId="0" borderId="12" xfId="0" applyFont="1" applyFill="1" applyBorder="1" applyAlignment="1">
      <alignment horizontal="right"/>
    </xf>
    <xf numFmtId="0" fontId="30" fillId="0" borderId="0" xfId="0" applyFont="1"/>
    <xf numFmtId="0" fontId="30" fillId="0" borderId="0" xfId="0" applyFont="1" applyAlignment="1">
      <alignment horizontal="right"/>
    </xf>
    <xf numFmtId="182" fontId="18" fillId="0" borderId="0" xfId="0" applyNumberFormat="1" applyFont="1" applyFill="1"/>
    <xf numFmtId="0" fontId="30" fillId="0" borderId="0" xfId="0" applyFont="1" applyAlignment="1"/>
    <xf numFmtId="0" fontId="18" fillId="0" borderId="0" xfId="0" applyFont="1" applyAlignment="1">
      <alignment horizontal="right"/>
    </xf>
    <xf numFmtId="189" fontId="18" fillId="0" borderId="0" xfId="0" applyNumberFormat="1" applyFont="1"/>
    <xf numFmtId="0" fontId="21" fillId="0" borderId="0" xfId="0" applyFont="1" applyAlignment="1">
      <alignment horizontal="center"/>
    </xf>
    <xf numFmtId="0" fontId="19" fillId="0" borderId="0" xfId="20" applyFont="1" applyFill="1" applyAlignment="1" applyProtection="1">
      <alignment vertical="center"/>
      <protection hidden="1"/>
    </xf>
    <xf numFmtId="2" fontId="19" fillId="0" borderId="0" xfId="0" applyNumberFormat="1" applyFont="1" applyFill="1" applyAlignment="1">
      <alignment vertical="center"/>
    </xf>
    <xf numFmtId="2" fontId="19" fillId="0" borderId="0" xfId="20" applyNumberFormat="1" applyFont="1" applyFill="1" applyAlignment="1" applyProtection="1">
      <alignment vertical="center"/>
      <protection hidden="1"/>
    </xf>
    <xf numFmtId="2" fontId="21" fillId="0" borderId="0" xfId="0" applyNumberFormat="1" applyFont="1" applyAlignment="1">
      <alignment horizontal="center"/>
    </xf>
    <xf numFmtId="2" fontId="21" fillId="0" borderId="0" xfId="0" applyNumberFormat="1" applyFont="1" applyFill="1" applyBorder="1" applyAlignment="1">
      <alignment horizontal="center"/>
    </xf>
    <xf numFmtId="2" fontId="19" fillId="0" borderId="0" xfId="20" applyNumberFormat="1" applyFont="1" applyFill="1" applyBorder="1" applyAlignment="1" applyProtection="1">
      <alignment vertical="center"/>
      <protection hidden="1"/>
    </xf>
    <xf numFmtId="1" fontId="33" fillId="0" borderId="0" xfId="17" applyNumberFormat="1" applyFont="1" applyFill="1" applyBorder="1" applyAlignment="1">
      <alignment horizontal="left"/>
    </xf>
    <xf numFmtId="2" fontId="25" fillId="0" borderId="0" xfId="20" applyNumberFormat="1" applyFont="1" applyFill="1" applyBorder="1" applyAlignment="1" applyProtection="1">
      <alignment vertical="center"/>
      <protection locked="0"/>
    </xf>
    <xf numFmtId="2" fontId="22" fillId="2" borderId="5" xfId="20" applyNumberFormat="1" applyFont="1" applyFill="1" applyBorder="1" applyAlignment="1" applyProtection="1">
      <alignment horizontal="left" vertical="center"/>
      <protection hidden="1"/>
    </xf>
    <xf numFmtId="2" fontId="19" fillId="2" borderId="7" xfId="16" applyNumberFormat="1" applyFont="1" applyFill="1" applyBorder="1" applyProtection="1">
      <protection hidden="1"/>
    </xf>
    <xf numFmtId="2" fontId="19" fillId="0" borderId="3" xfId="16" applyNumberFormat="1" applyFont="1" applyFill="1" applyBorder="1" applyProtection="1">
      <protection hidden="1"/>
    </xf>
    <xf numFmtId="2" fontId="19" fillId="0" borderId="5" xfId="16" applyNumberFormat="1" applyFont="1" applyFill="1" applyBorder="1" applyProtection="1">
      <protection hidden="1"/>
    </xf>
    <xf numFmtId="0" fontId="19" fillId="0" borderId="7" xfId="0" applyFont="1" applyBorder="1"/>
    <xf numFmtId="2" fontId="19" fillId="0" borderId="7" xfId="16" applyNumberFormat="1" applyFont="1" applyFill="1" applyBorder="1" applyProtection="1">
      <protection hidden="1"/>
    </xf>
    <xf numFmtId="0" fontId="19" fillId="0" borderId="5" xfId="0" applyFont="1" applyFill="1" applyBorder="1"/>
    <xf numFmtId="0" fontId="19" fillId="0" borderId="7" xfId="0" applyFont="1" applyFill="1" applyBorder="1"/>
    <xf numFmtId="0" fontId="21" fillId="0" borderId="5" xfId="0" applyFont="1" applyFill="1" applyBorder="1"/>
    <xf numFmtId="0" fontId="21" fillId="0" borderId="7" xfId="0" applyFont="1" applyFill="1" applyBorder="1"/>
    <xf numFmtId="0" fontId="17" fillId="0" borderId="3" xfId="20" applyFont="1" applyFill="1" applyBorder="1" applyAlignment="1" applyProtection="1">
      <alignment horizontal="left" vertical="center"/>
      <protection hidden="1"/>
    </xf>
    <xf numFmtId="2" fontId="21" fillId="0" borderId="0" xfId="16" applyNumberFormat="1" applyFont="1" applyFill="1" applyBorder="1" applyAlignment="1" applyProtection="1">
      <alignment horizontal="center"/>
      <protection hidden="1"/>
    </xf>
    <xf numFmtId="188" fontId="15" fillId="0" borderId="0" xfId="20" applyNumberFormat="1" applyFont="1" applyFill="1" applyBorder="1" applyAlignment="1" applyProtection="1">
      <alignment horizontal="left" vertical="center"/>
      <protection hidden="1"/>
    </xf>
    <xf numFmtId="0" fontId="19" fillId="0" borderId="5" xfId="16" applyFont="1" applyFill="1" applyBorder="1" applyAlignment="1" applyProtection="1">
      <alignment vertical="center"/>
      <protection hidden="1"/>
    </xf>
    <xf numFmtId="0" fontId="19" fillId="0" borderId="2" xfId="0" applyFont="1" applyBorder="1"/>
    <xf numFmtId="10" fontId="15" fillId="0" borderId="0" xfId="23" applyNumberFormat="1" applyFont="1" applyFill="1" applyBorder="1" applyAlignment="1" applyProtection="1">
      <alignment horizontal="right" vertical="center"/>
      <protection hidden="1"/>
    </xf>
    <xf numFmtId="0" fontId="19" fillId="0" borderId="6" xfId="0" applyFont="1" applyBorder="1"/>
    <xf numFmtId="0" fontId="17" fillId="0" borderId="5" xfId="20" applyFont="1" applyFill="1" applyBorder="1" applyAlignment="1" applyProtection="1">
      <alignment vertical="center"/>
      <protection hidden="1"/>
    </xf>
    <xf numFmtId="10" fontId="17" fillId="0" borderId="0" xfId="23" applyNumberFormat="1" applyFont="1" applyFill="1" applyBorder="1" applyAlignment="1"/>
    <xf numFmtId="188" fontId="19" fillId="0" borderId="0" xfId="20" applyNumberFormat="1" applyFont="1" applyFill="1" applyBorder="1" applyAlignment="1" applyProtection="1">
      <alignment vertical="center"/>
      <protection hidden="1"/>
    </xf>
    <xf numFmtId="168" fontId="17" fillId="0" borderId="0" xfId="11" applyFont="1" applyFill="1" applyBorder="1" applyAlignment="1"/>
    <xf numFmtId="192" fontId="19" fillId="0" borderId="0" xfId="11" applyNumberFormat="1" applyFont="1"/>
    <xf numFmtId="168" fontId="19" fillId="0" borderId="0" xfId="11" applyFont="1" applyFill="1" applyBorder="1" applyProtection="1">
      <protection hidden="1"/>
    </xf>
    <xf numFmtId="0" fontId="22" fillId="2" borderId="5" xfId="20" applyFont="1" applyFill="1" applyBorder="1" applyAlignment="1" applyProtection="1">
      <alignment horizontal="left" vertical="center"/>
      <protection hidden="1"/>
    </xf>
    <xf numFmtId="0" fontId="32" fillId="2" borderId="6" xfId="20" applyFont="1" applyFill="1" applyBorder="1" applyAlignment="1" applyProtection="1">
      <alignment horizontal="left" vertical="center"/>
      <protection hidden="1"/>
    </xf>
    <xf numFmtId="9" fontId="15" fillId="2" borderId="6" xfId="20" applyNumberFormat="1" applyFont="1" applyFill="1" applyBorder="1" applyAlignment="1" applyProtection="1">
      <alignment vertical="center"/>
      <protection hidden="1"/>
    </xf>
    <xf numFmtId="0" fontId="15" fillId="2" borderId="6" xfId="20" applyFont="1" applyFill="1" applyBorder="1" applyAlignment="1" applyProtection="1">
      <alignment vertical="center"/>
      <protection hidden="1"/>
    </xf>
    <xf numFmtId="0" fontId="15" fillId="2" borderId="7" xfId="20" applyFont="1" applyFill="1" applyBorder="1" applyAlignment="1" applyProtection="1">
      <alignment vertical="center"/>
      <protection hidden="1"/>
    </xf>
    <xf numFmtId="0" fontId="17" fillId="0" borderId="1" xfId="20" applyFont="1" applyFill="1" applyBorder="1" applyAlignment="1" applyProtection="1">
      <alignment horizontal="left" vertical="center"/>
      <protection hidden="1"/>
    </xf>
    <xf numFmtId="0" fontId="17" fillId="0" borderId="7" xfId="20" applyFont="1" applyFill="1" applyBorder="1" applyAlignment="1" applyProtection="1">
      <alignment horizontal="left" vertical="center"/>
      <protection hidden="1"/>
    </xf>
    <xf numFmtId="0" fontId="15" fillId="0" borderId="1" xfId="20" applyFont="1" applyFill="1" applyBorder="1" applyAlignment="1" applyProtection="1">
      <alignment horizontal="left" vertical="center"/>
      <protection hidden="1"/>
    </xf>
    <xf numFmtId="2" fontId="15" fillId="3" borderId="14" xfId="20" applyNumberFormat="1" applyFont="1" applyFill="1" applyBorder="1" applyAlignment="1" applyProtection="1">
      <alignment horizontal="right" vertical="center"/>
      <protection hidden="1"/>
    </xf>
    <xf numFmtId="2" fontId="19" fillId="0" borderId="10" xfId="0" applyNumberFormat="1" applyFont="1" applyFill="1" applyBorder="1" applyAlignment="1">
      <alignment vertical="center"/>
    </xf>
    <xf numFmtId="2" fontId="19" fillId="0" borderId="1" xfId="0" applyNumberFormat="1" applyFont="1" applyFill="1" applyBorder="1" applyAlignment="1">
      <alignment vertical="center"/>
    </xf>
    <xf numFmtId="2" fontId="15" fillId="3" borderId="1" xfId="20" applyNumberFormat="1" applyFont="1" applyFill="1" applyBorder="1" applyAlignment="1" applyProtection="1">
      <alignment horizontal="right" vertical="center"/>
      <protection hidden="1"/>
    </xf>
    <xf numFmtId="0" fontId="17" fillId="0" borderId="1" xfId="20" applyFont="1" applyFill="1" applyBorder="1" applyAlignment="1" applyProtection="1">
      <alignment vertical="center"/>
      <protection hidden="1"/>
    </xf>
    <xf numFmtId="2" fontId="17" fillId="0" borderId="1" xfId="20" applyNumberFormat="1" applyFont="1" applyFill="1" applyBorder="1" applyAlignment="1" applyProtection="1">
      <alignment vertical="center"/>
      <protection hidden="1"/>
    </xf>
    <xf numFmtId="0" fontId="19" fillId="0" borderId="1" xfId="0" applyFont="1" applyFill="1" applyBorder="1" applyAlignment="1">
      <alignment vertical="center"/>
    </xf>
    <xf numFmtId="0" fontId="26" fillId="0" borderId="1" xfId="20" applyFont="1" applyFill="1" applyBorder="1" applyAlignment="1" applyProtection="1">
      <alignment vertical="center"/>
      <protection hidden="1"/>
    </xf>
    <xf numFmtId="0" fontId="19" fillId="0" borderId="1" xfId="20" applyFont="1" applyFill="1" applyBorder="1" applyAlignment="1" applyProtection="1">
      <alignment vertical="center"/>
      <protection hidden="1"/>
    </xf>
    <xf numFmtId="10" fontId="15" fillId="0" borderId="1" xfId="23" applyNumberFormat="1" applyFont="1" applyFill="1" applyBorder="1" applyAlignment="1" applyProtection="1">
      <alignment vertical="center"/>
      <protection hidden="1"/>
    </xf>
    <xf numFmtId="10" fontId="17" fillId="0" borderId="1" xfId="23" applyNumberFormat="1" applyFont="1" applyFill="1" applyBorder="1" applyAlignment="1" applyProtection="1">
      <alignment vertical="center"/>
      <protection hidden="1"/>
    </xf>
    <xf numFmtId="0" fontId="18" fillId="3" borderId="1" xfId="20" applyFont="1" applyFill="1" applyBorder="1" applyAlignment="1" applyProtection="1">
      <protection hidden="1"/>
    </xf>
    <xf numFmtId="0" fontId="18" fillId="0" borderId="0" xfId="20" applyFont="1" applyFill="1" applyAlignment="1" applyProtection="1">
      <protection hidden="1"/>
    </xf>
    <xf numFmtId="0" fontId="40" fillId="0" borderId="0" xfId="0" applyFont="1" applyFill="1" applyAlignment="1">
      <alignment horizontal="left" indent="3"/>
    </xf>
    <xf numFmtId="0" fontId="40" fillId="0" borderId="0" xfId="0" applyFont="1" applyFill="1"/>
    <xf numFmtId="0" fontId="40" fillId="0" borderId="0" xfId="0" applyFont="1" applyFill="1" applyAlignment="1">
      <alignment horizontal="left" indent="1"/>
    </xf>
    <xf numFmtId="190" fontId="40" fillId="0" borderId="0" xfId="0" applyNumberFormat="1" applyFont="1" applyFill="1"/>
    <xf numFmtId="188" fontId="40" fillId="0" borderId="0" xfId="0" applyNumberFormat="1" applyFont="1" applyFill="1"/>
    <xf numFmtId="0" fontId="18" fillId="3" borderId="0" xfId="0" applyFont="1" applyFill="1" applyAlignment="1">
      <alignment horizontal="center"/>
    </xf>
    <xf numFmtId="0" fontId="20" fillId="0" borderId="0" xfId="0" applyFont="1"/>
    <xf numFmtId="0" fontId="19" fillId="0" borderId="0" xfId="0" applyFont="1" applyAlignment="1">
      <alignment horizontal="center"/>
    </xf>
    <xf numFmtId="0" fontId="19" fillId="0" borderId="0" xfId="0" applyFont="1" applyAlignment="1">
      <alignment horizontal="left"/>
    </xf>
    <xf numFmtId="1" fontId="19" fillId="0" borderId="0" xfId="0" applyNumberFormat="1" applyFont="1" applyAlignment="1">
      <alignment horizontal="center"/>
    </xf>
    <xf numFmtId="0" fontId="19" fillId="0" borderId="0" xfId="0" applyFont="1" applyFill="1" applyAlignment="1">
      <alignment horizontal="center"/>
    </xf>
    <xf numFmtId="168" fontId="19" fillId="0" borderId="0" xfId="11" applyFont="1"/>
    <xf numFmtId="1" fontId="19" fillId="0" borderId="0" xfId="0" applyNumberFormat="1" applyFont="1" applyFill="1"/>
    <xf numFmtId="0" fontId="41" fillId="0" borderId="0" xfId="0" applyFont="1"/>
    <xf numFmtId="0" fontId="18" fillId="0" borderId="0" xfId="0" applyFont="1" applyAlignment="1">
      <alignment horizontal="center"/>
    </xf>
    <xf numFmtId="2" fontId="20" fillId="0" borderId="0" xfId="0" applyNumberFormat="1" applyFont="1"/>
    <xf numFmtId="2" fontId="21" fillId="0" borderId="0" xfId="0" applyNumberFormat="1" applyFont="1"/>
    <xf numFmtId="1" fontId="21" fillId="0" borderId="0" xfId="0" applyNumberFormat="1" applyFont="1" applyAlignment="1">
      <alignment horizontal="center"/>
    </xf>
    <xf numFmtId="0" fontId="21" fillId="0" borderId="0" xfId="0" applyFont="1" applyFill="1" applyAlignment="1">
      <alignment horizontal="center"/>
    </xf>
    <xf numFmtId="0" fontId="21" fillId="0" borderId="0" xfId="0" applyFont="1" applyFill="1"/>
    <xf numFmtId="168" fontId="21" fillId="0" borderId="0" xfId="11" applyFont="1"/>
    <xf numFmtId="2" fontId="21" fillId="0" borderId="0" xfId="0" applyNumberFormat="1" applyFont="1" applyFill="1"/>
    <xf numFmtId="0" fontId="42" fillId="0" borderId="0" xfId="0" applyFont="1"/>
    <xf numFmtId="2" fontId="19" fillId="2" borderId="4" xfId="0" applyNumberFormat="1" applyFont="1" applyFill="1" applyBorder="1" applyAlignment="1">
      <alignment vertical="top" wrapText="1"/>
    </xf>
    <xf numFmtId="2" fontId="19" fillId="2" borderId="4" xfId="0" applyNumberFormat="1" applyFont="1" applyFill="1" applyBorder="1" applyAlignment="1">
      <alignment horizontal="center" vertical="top" wrapText="1"/>
    </xf>
    <xf numFmtId="0" fontId="19" fillId="2" borderId="4" xfId="0" applyFont="1" applyFill="1" applyBorder="1" applyAlignment="1">
      <alignment vertical="top" wrapText="1"/>
    </xf>
    <xf numFmtId="1" fontId="19" fillId="2" borderId="4" xfId="0" applyNumberFormat="1" applyFont="1" applyFill="1" applyBorder="1" applyAlignment="1">
      <alignment horizontal="left" vertical="top" wrapText="1"/>
    </xf>
    <xf numFmtId="0" fontId="19" fillId="2" borderId="4" xfId="0" applyFont="1" applyFill="1" applyBorder="1" applyAlignment="1">
      <alignment horizontal="center" vertical="top" wrapText="1"/>
    </xf>
    <xf numFmtId="168" fontId="18" fillId="2" borderId="4" xfId="11" applyFont="1" applyFill="1" applyBorder="1" applyAlignment="1">
      <alignment horizontal="center" vertical="top" wrapText="1"/>
    </xf>
    <xf numFmtId="2" fontId="18" fillId="2" borderId="4" xfId="0" applyNumberFormat="1" applyFont="1" applyFill="1" applyBorder="1" applyAlignment="1">
      <alignment vertical="top" wrapText="1"/>
    </xf>
    <xf numFmtId="2" fontId="19" fillId="0" borderId="1" xfId="0" applyNumberFormat="1" applyFont="1" applyFill="1" applyBorder="1"/>
    <xf numFmtId="0" fontId="19" fillId="0" borderId="1" xfId="0" applyFont="1" applyFill="1" applyBorder="1"/>
    <xf numFmtId="1" fontId="18" fillId="0" borderId="1" xfId="0" applyNumberFormat="1" applyFont="1" applyFill="1" applyBorder="1" applyAlignment="1">
      <alignment horizontal="center"/>
    </xf>
    <xf numFmtId="168" fontId="18" fillId="0" borderId="1" xfId="11" applyFont="1" applyFill="1" applyBorder="1" applyAlignment="1">
      <alignment horizontal="center"/>
    </xf>
    <xf numFmtId="2" fontId="18" fillId="0" borderId="1" xfId="11" applyNumberFormat="1" applyFont="1" applyFill="1" applyBorder="1" applyAlignment="1">
      <alignment horizontal="center"/>
    </xf>
    <xf numFmtId="0" fontId="18" fillId="0" borderId="1" xfId="0" applyFont="1" applyFill="1" applyBorder="1"/>
    <xf numFmtId="0" fontId="19" fillId="0" borderId="1" xfId="0" applyFont="1" applyBorder="1"/>
    <xf numFmtId="1" fontId="19" fillId="0" borderId="0" xfId="24" applyNumberFormat="1" applyFont="1" applyAlignment="1">
      <alignment horizontal="center"/>
    </xf>
    <xf numFmtId="168" fontId="19" fillId="0" borderId="0" xfId="11" applyFont="1" applyAlignment="1">
      <alignment horizontal="left"/>
    </xf>
    <xf numFmtId="178" fontId="19" fillId="0" borderId="0" xfId="24" applyNumberFormat="1" applyFont="1" applyAlignment="1">
      <alignment horizontal="center"/>
    </xf>
    <xf numFmtId="3" fontId="19" fillId="0" borderId="0" xfId="24" applyNumberFormat="1" applyFont="1" applyAlignment="1">
      <alignment horizontal="right"/>
    </xf>
    <xf numFmtId="3" fontId="19" fillId="0" borderId="0" xfId="11" applyNumberFormat="1" applyFont="1" applyAlignment="1">
      <alignment horizontal="right"/>
    </xf>
    <xf numFmtId="168" fontId="19" fillId="0" borderId="0" xfId="11" applyFont="1" applyAlignment="1">
      <alignment horizontal="right"/>
    </xf>
    <xf numFmtId="168" fontId="19" fillId="0" borderId="0" xfId="11" applyFont="1" applyAlignment="1">
      <alignment horizontal="center"/>
    </xf>
    <xf numFmtId="0" fontId="19" fillId="0" borderId="0" xfId="24" applyFont="1" applyAlignment="1">
      <alignment horizontal="center"/>
    </xf>
    <xf numFmtId="0" fontId="19" fillId="0" borderId="0" xfId="24" applyFont="1"/>
    <xf numFmtId="0" fontId="27" fillId="0" borderId="0" xfId="17" applyFont="1" applyFill="1" applyAlignment="1"/>
    <xf numFmtId="178" fontId="27" fillId="0" borderId="0" xfId="17" applyNumberFormat="1" applyFont="1" applyFill="1" applyAlignment="1"/>
    <xf numFmtId="3" fontId="27" fillId="0" borderId="0" xfId="17" applyNumberFormat="1" applyFont="1" applyFill="1" applyAlignment="1">
      <alignment horizontal="right"/>
    </xf>
    <xf numFmtId="0" fontId="27" fillId="0" borderId="0" xfId="17" applyFont="1" applyFill="1" applyAlignment="1">
      <alignment horizontal="right"/>
    </xf>
    <xf numFmtId="2" fontId="27" fillId="0" borderId="0" xfId="17" applyNumberFormat="1" applyFont="1" applyFill="1" applyAlignment="1"/>
    <xf numFmtId="0" fontId="19" fillId="0" borderId="0" xfId="24" applyFont="1" applyFill="1" applyAlignment="1">
      <alignment horizontal="center"/>
    </xf>
    <xf numFmtId="2" fontId="19" fillId="0" borderId="0" xfId="24" applyNumberFormat="1" applyFont="1" applyAlignment="1">
      <alignment horizontal="center"/>
    </xf>
    <xf numFmtId="2" fontId="19" fillId="0" borderId="0" xfId="11" applyNumberFormat="1" applyFont="1" applyAlignment="1">
      <alignment horizontal="left"/>
    </xf>
    <xf numFmtId="175" fontId="19" fillId="2" borderId="1" xfId="0" applyNumberFormat="1" applyFont="1" applyFill="1" applyBorder="1" applyAlignment="1" applyProtection="1">
      <alignment horizontal="left" vertical="top" wrapText="1"/>
    </xf>
    <xf numFmtId="2" fontId="19" fillId="2" borderId="1" xfId="0" applyNumberFormat="1" applyFont="1" applyFill="1" applyBorder="1" applyAlignment="1">
      <alignment vertical="top" wrapText="1"/>
    </xf>
    <xf numFmtId="2" fontId="19" fillId="2" borderId="1" xfId="11" applyNumberFormat="1" applyFont="1" applyFill="1" applyBorder="1" applyAlignment="1" applyProtection="1">
      <alignment horizontal="left" vertical="top" wrapText="1"/>
    </xf>
    <xf numFmtId="2" fontId="19" fillId="2" borderId="1" xfId="0" applyNumberFormat="1" applyFont="1" applyFill="1" applyBorder="1" applyAlignment="1" applyProtection="1">
      <alignment horizontal="left" vertical="top" wrapText="1"/>
    </xf>
    <xf numFmtId="178" fontId="19" fillId="2" borderId="1" xfId="0" applyNumberFormat="1" applyFont="1" applyFill="1" applyBorder="1" applyAlignment="1" applyProtection="1">
      <alignment horizontal="center" vertical="top" wrapText="1"/>
    </xf>
    <xf numFmtId="3" fontId="18" fillId="2" borderId="1" xfId="0" applyNumberFormat="1" applyFont="1" applyFill="1" applyBorder="1" applyAlignment="1" applyProtection="1">
      <alignment horizontal="right" vertical="top" wrapText="1"/>
    </xf>
    <xf numFmtId="177" fontId="18" fillId="2" borderId="1" xfId="0" applyNumberFormat="1" applyFont="1" applyFill="1" applyBorder="1" applyAlignment="1" applyProtection="1">
      <alignment horizontal="right" vertical="top" wrapText="1"/>
    </xf>
    <xf numFmtId="177" fontId="19" fillId="2" borderId="1" xfId="0" applyNumberFormat="1" applyFont="1" applyFill="1" applyBorder="1" applyAlignment="1" applyProtection="1">
      <alignment horizontal="center" vertical="top" wrapText="1"/>
    </xf>
    <xf numFmtId="0" fontId="19" fillId="0" borderId="1" xfId="0" applyNumberFormat="1" applyFont="1" applyFill="1" applyBorder="1" applyAlignment="1">
      <alignment horizontal="center"/>
    </xf>
    <xf numFmtId="0" fontId="19" fillId="0" borderId="1" xfId="12" quotePrefix="1" applyNumberFormat="1" applyFont="1" applyFill="1" applyBorder="1" applyAlignment="1">
      <alignment horizontal="center"/>
    </xf>
    <xf numFmtId="0" fontId="19" fillId="0" borderId="1" xfId="0" applyNumberFormat="1" applyFont="1" applyFill="1" applyBorder="1" applyAlignment="1">
      <alignment horizontal="left"/>
    </xf>
    <xf numFmtId="178" fontId="19" fillId="0" borderId="1" xfId="0" applyNumberFormat="1" applyFont="1" applyFill="1" applyBorder="1" applyAlignment="1">
      <alignment horizontal="left"/>
    </xf>
    <xf numFmtId="3" fontId="18" fillId="0" borderId="1" xfId="0" applyNumberFormat="1" applyFont="1" applyFill="1" applyBorder="1" applyAlignment="1">
      <alignment horizontal="right"/>
    </xf>
    <xf numFmtId="3" fontId="18" fillId="0" borderId="1" xfId="0" applyNumberFormat="1" applyFont="1" applyFill="1" applyBorder="1" applyAlignment="1" applyProtection="1">
      <alignment horizontal="right"/>
    </xf>
    <xf numFmtId="177" fontId="18" fillId="0" borderId="7" xfId="0" applyNumberFormat="1" applyFont="1" applyFill="1" applyBorder="1" applyAlignment="1" applyProtection="1">
      <alignment horizontal="right"/>
    </xf>
    <xf numFmtId="177" fontId="19" fillId="0" borderId="1" xfId="0" applyNumberFormat="1" applyFont="1" applyFill="1" applyBorder="1" applyAlignment="1" applyProtection="1">
      <alignment horizontal="center"/>
    </xf>
    <xf numFmtId="176" fontId="19" fillId="0" borderId="1" xfId="0" applyNumberFormat="1" applyFont="1" applyFill="1" applyBorder="1" applyAlignment="1" applyProtection="1">
      <alignment horizontal="center"/>
    </xf>
    <xf numFmtId="0" fontId="15" fillId="0" borderId="0" xfId="24" applyFont="1"/>
    <xf numFmtId="0" fontId="15" fillId="0" borderId="0" xfId="0" applyFont="1"/>
    <xf numFmtId="181" fontId="19" fillId="0" borderId="1" xfId="0" applyNumberFormat="1" applyFont="1" applyBorder="1" applyAlignment="1">
      <alignment horizontal="center"/>
    </xf>
    <xf numFmtId="1" fontId="19" fillId="0" borderId="1" xfId="0" applyNumberFormat="1" applyFont="1" applyBorder="1" applyAlignment="1">
      <alignment horizontal="center"/>
    </xf>
    <xf numFmtId="2" fontId="19" fillId="0" borderId="1" xfId="0" applyNumberFormat="1" applyFont="1" applyBorder="1"/>
    <xf numFmtId="2" fontId="19" fillId="0" borderId="1" xfId="0" applyNumberFormat="1" applyFont="1" applyFill="1" applyBorder="1" applyAlignment="1">
      <alignment horizontal="left"/>
    </xf>
    <xf numFmtId="178" fontId="19" fillId="3" borderId="1" xfId="0" applyNumberFormat="1" applyFont="1" applyFill="1" applyBorder="1" applyAlignment="1">
      <alignment horizontal="center"/>
    </xf>
    <xf numFmtId="3" fontId="18" fillId="0" borderId="1" xfId="11" applyNumberFormat="1" applyFont="1" applyFill="1" applyBorder="1" applyAlignment="1">
      <alignment horizontal="right"/>
    </xf>
    <xf numFmtId="182" fontId="18" fillId="0" borderId="1" xfId="0" applyNumberFormat="1" applyFont="1" applyFill="1" applyBorder="1" applyAlignment="1" applyProtection="1">
      <alignment horizontal="right"/>
    </xf>
    <xf numFmtId="0" fontId="19" fillId="0" borderId="1" xfId="0" applyFont="1" applyFill="1" applyBorder="1" applyAlignment="1">
      <alignment horizontal="left"/>
    </xf>
    <xf numFmtId="181" fontId="19" fillId="0" borderId="4" xfId="0" applyNumberFormat="1" applyFont="1" applyBorder="1" applyAlignment="1">
      <alignment horizontal="center"/>
    </xf>
    <xf numFmtId="1" fontId="19" fillId="0" borderId="4" xfId="0" applyNumberFormat="1" applyFont="1" applyBorder="1" applyAlignment="1">
      <alignment horizontal="center"/>
    </xf>
    <xf numFmtId="0" fontId="19" fillId="0" borderId="4" xfId="0" applyFont="1" applyBorder="1"/>
    <xf numFmtId="0" fontId="19" fillId="0" borderId="4" xfId="0" applyFont="1" applyFill="1" applyBorder="1" applyAlignment="1">
      <alignment horizontal="left"/>
    </xf>
    <xf numFmtId="178" fontId="19" fillId="0" borderId="1" xfId="0" applyNumberFormat="1" applyFont="1" applyFill="1" applyBorder="1" applyAlignment="1">
      <alignment horizontal="center"/>
    </xf>
    <xf numFmtId="3" fontId="19" fillId="5" borderId="1" xfId="0" applyNumberFormat="1" applyFont="1" applyFill="1" applyBorder="1" applyAlignment="1" applyProtection="1">
      <alignment horizontal="right"/>
    </xf>
    <xf numFmtId="9" fontId="19" fillId="5" borderId="1" xfId="23" applyFont="1" applyFill="1" applyBorder="1" applyAlignment="1" applyProtection="1">
      <alignment horizontal="right"/>
    </xf>
    <xf numFmtId="3" fontId="19" fillId="0" borderId="0" xfId="11" applyNumberFormat="1" applyFont="1" applyFill="1" applyAlignment="1">
      <alignment horizontal="right"/>
    </xf>
    <xf numFmtId="168" fontId="19" fillId="0" borderId="0" xfId="11" applyFont="1" applyFill="1" applyAlignment="1">
      <alignment horizontal="right"/>
    </xf>
    <xf numFmtId="0" fontId="18" fillId="3" borderId="1" xfId="24" applyFont="1" applyFill="1" applyBorder="1" applyAlignment="1">
      <alignment horizontal="left"/>
    </xf>
    <xf numFmtId="0" fontId="19" fillId="0" borderId="0" xfId="24" applyFont="1" applyFill="1"/>
    <xf numFmtId="168" fontId="19" fillId="0" borderId="0" xfId="11" applyFont="1" applyFill="1" applyAlignment="1">
      <alignment horizontal="center"/>
    </xf>
    <xf numFmtId="0" fontId="17" fillId="0" borderId="0" xfId="0" applyFont="1" applyFill="1" applyAlignment="1"/>
    <xf numFmtId="0" fontId="19" fillId="0" borderId="0" xfId="24" applyFont="1" applyFill="1" applyAlignment="1"/>
    <xf numFmtId="49" fontId="20" fillId="4" borderId="0" xfId="14" applyNumberFormat="1" applyFont="1" applyFill="1" applyBorder="1" applyAlignment="1" applyProtection="1">
      <alignment horizontal="left" vertical="top"/>
      <protection hidden="1"/>
    </xf>
    <xf numFmtId="0" fontId="20" fillId="0" borderId="0" xfId="17" applyFont="1" applyFill="1" applyBorder="1" applyAlignment="1"/>
    <xf numFmtId="0" fontId="19" fillId="0" borderId="0" xfId="17" applyFont="1" applyFill="1" applyAlignment="1"/>
    <xf numFmtId="49" fontId="44" fillId="0" borderId="0" xfId="14" applyNumberFormat="1" applyFont="1" applyFill="1" applyBorder="1" applyAlignment="1" applyProtection="1">
      <alignment horizontal="left" vertical="top"/>
      <protection hidden="1"/>
    </xf>
    <xf numFmtId="49" fontId="25" fillId="0" borderId="0" xfId="17" applyNumberFormat="1" applyFont="1" applyFill="1" applyBorder="1" applyAlignment="1"/>
    <xf numFmtId="0" fontId="27" fillId="0" borderId="0" xfId="17" applyFont="1" applyFill="1" applyAlignment="1">
      <alignment horizontal="left"/>
    </xf>
    <xf numFmtId="49" fontId="27" fillId="0" borderId="0" xfId="17" applyNumberFormat="1" applyFont="1" applyFill="1" applyBorder="1" applyAlignment="1"/>
    <xf numFmtId="0" fontId="25" fillId="2" borderId="5" xfId="17" applyNumberFormat="1" applyFont="1" applyFill="1" applyBorder="1" applyAlignment="1"/>
    <xf numFmtId="0" fontId="25" fillId="2" borderId="6" xfId="17" applyNumberFormat="1" applyFont="1" applyFill="1" applyBorder="1" applyAlignment="1"/>
    <xf numFmtId="0" fontId="25" fillId="2" borderId="6" xfId="17" applyNumberFormat="1" applyFont="1" applyFill="1" applyBorder="1" applyAlignment="1">
      <alignment horizontal="left"/>
    </xf>
    <xf numFmtId="0" fontId="27" fillId="2" borderId="7" xfId="17" applyNumberFormat="1" applyFont="1" applyFill="1" applyBorder="1" applyAlignment="1">
      <alignment horizontal="left"/>
    </xf>
    <xf numFmtId="187" fontId="19" fillId="0" borderId="0" xfId="17" applyNumberFormat="1" applyFont="1" applyFill="1" applyAlignment="1">
      <alignment horizontal="right"/>
    </xf>
    <xf numFmtId="49" fontId="16" fillId="0" borderId="0" xfId="14" applyNumberFormat="1" applyFont="1" applyFill="1" applyBorder="1" applyAlignment="1" applyProtection="1">
      <alignment horizontal="left" vertical="top"/>
      <protection hidden="1"/>
    </xf>
    <xf numFmtId="0" fontId="16" fillId="0" borderId="0" xfId="14" applyFont="1" applyFill="1" applyBorder="1" applyAlignment="1" applyProtection="1">
      <alignment horizontal="center" vertical="justify"/>
      <protection hidden="1"/>
    </xf>
    <xf numFmtId="0" fontId="16" fillId="0" borderId="0" xfId="14" applyFont="1" applyFill="1" applyBorder="1" applyAlignment="1" applyProtection="1">
      <alignment horizontal="left" vertical="justify"/>
      <protection hidden="1"/>
    </xf>
    <xf numFmtId="0" fontId="19" fillId="0" borderId="0" xfId="17" applyFont="1" applyFill="1" applyAlignment="1">
      <alignment horizontal="left"/>
    </xf>
    <xf numFmtId="49" fontId="17" fillId="0" borderId="0" xfId="14" applyNumberFormat="1" applyFont="1" applyFill="1" applyBorder="1" applyAlignment="1" applyProtection="1">
      <alignment horizontal="left" vertical="top"/>
      <protection hidden="1"/>
    </xf>
    <xf numFmtId="0" fontId="17" fillId="0" borderId="0" xfId="14" applyNumberFormat="1" applyFont="1" applyFill="1" applyBorder="1" applyAlignment="1" applyProtection="1">
      <alignment horizontal="left" vertical="top"/>
      <protection hidden="1"/>
    </xf>
    <xf numFmtId="179" fontId="16" fillId="0" borderId="0" xfId="14" applyNumberFormat="1" applyFont="1" applyFill="1" applyBorder="1" applyAlignment="1" applyProtection="1">
      <alignment horizontal="left" vertical="top"/>
      <protection hidden="1"/>
    </xf>
    <xf numFmtId="179" fontId="19" fillId="0" borderId="0" xfId="14" applyNumberFormat="1" applyFont="1" applyFill="1" applyBorder="1" applyAlignment="1" applyProtection="1">
      <alignment horizontal="left" vertical="top"/>
      <protection hidden="1"/>
    </xf>
    <xf numFmtId="49" fontId="44" fillId="0" borderId="0" xfId="14" applyNumberFormat="1" applyFont="1" applyFill="1" applyBorder="1" applyAlignment="1" applyProtection="1">
      <alignment horizontal="left"/>
      <protection hidden="1"/>
    </xf>
    <xf numFmtId="187" fontId="19" fillId="0" borderId="0" xfId="17" applyNumberFormat="1" applyFont="1" applyFill="1" applyAlignment="1">
      <alignment horizontal="left"/>
    </xf>
    <xf numFmtId="49" fontId="15" fillId="0" borderId="0" xfId="14" applyNumberFormat="1" applyFont="1" applyFill="1" applyBorder="1" applyAlignment="1" applyProtection="1">
      <alignment horizontal="left"/>
      <protection hidden="1"/>
    </xf>
    <xf numFmtId="182" fontId="17" fillId="0" borderId="0" xfId="23" applyNumberFormat="1" applyFont="1" applyFill="1" applyBorder="1" applyAlignment="1" applyProtection="1">
      <alignment horizontal="center"/>
      <protection hidden="1"/>
    </xf>
    <xf numFmtId="10" fontId="19" fillId="3" borderId="1" xfId="23" applyNumberFormat="1" applyFont="1" applyFill="1" applyBorder="1" applyAlignment="1">
      <alignment horizontal="center"/>
    </xf>
    <xf numFmtId="1" fontId="19" fillId="0" borderId="0" xfId="3" applyNumberFormat="1" applyFont="1" applyFill="1" applyAlignment="1">
      <alignment horizontal="center"/>
    </xf>
    <xf numFmtId="165" fontId="19" fillId="0" borderId="0" xfId="3" applyFont="1" applyFill="1" applyAlignment="1"/>
    <xf numFmtId="187" fontId="19" fillId="0" borderId="0" xfId="8" applyNumberFormat="1" applyFont="1" applyFill="1" applyAlignment="1">
      <alignment horizontal="left"/>
    </xf>
    <xf numFmtId="165" fontId="19" fillId="0" borderId="0" xfId="17" applyNumberFormat="1" applyFont="1" applyFill="1" applyAlignment="1"/>
    <xf numFmtId="10" fontId="19" fillId="0" borderId="0" xfId="17" applyNumberFormat="1" applyFont="1" applyFill="1" applyAlignment="1">
      <alignment horizontal="center"/>
    </xf>
    <xf numFmtId="165" fontId="19" fillId="0" borderId="2" xfId="3" applyFont="1" applyFill="1" applyBorder="1" applyAlignment="1"/>
    <xf numFmtId="187" fontId="19" fillId="0" borderId="2" xfId="8" applyNumberFormat="1" applyFont="1" applyFill="1" applyBorder="1" applyAlignment="1">
      <alignment horizontal="left"/>
    </xf>
    <xf numFmtId="0" fontId="19" fillId="2" borderId="1" xfId="17" applyFont="1" applyFill="1" applyBorder="1" applyAlignment="1"/>
    <xf numFmtId="49" fontId="17" fillId="0" borderId="0" xfId="14" applyNumberFormat="1" applyFont="1" applyFill="1" applyBorder="1" applyAlignment="1" applyProtection="1">
      <alignment horizontal="left"/>
      <protection hidden="1"/>
    </xf>
    <xf numFmtId="10" fontId="17" fillId="0" borderId="0" xfId="23" applyNumberFormat="1" applyFont="1" applyFill="1" applyBorder="1" applyAlignment="1" applyProtection="1">
      <alignment horizontal="center"/>
      <protection hidden="1"/>
    </xf>
    <xf numFmtId="165" fontId="17" fillId="0" borderId="0" xfId="3" applyFont="1" applyFill="1" applyBorder="1" applyAlignment="1" applyProtection="1">
      <alignment horizontal="left"/>
      <protection hidden="1"/>
    </xf>
    <xf numFmtId="0" fontId="21" fillId="0" borderId="0" xfId="14" applyNumberFormat="1" applyFont="1" applyFill="1" applyBorder="1" applyAlignment="1" applyProtection="1">
      <alignment horizontal="left"/>
      <protection hidden="1"/>
    </xf>
    <xf numFmtId="188" fontId="17" fillId="0" borderId="0" xfId="3" applyNumberFormat="1" applyFont="1" applyFill="1" applyBorder="1" applyAlignment="1" applyProtection="1">
      <alignment horizontal="left"/>
      <protection hidden="1"/>
    </xf>
    <xf numFmtId="188" fontId="19" fillId="0" borderId="1" xfId="17" applyNumberFormat="1" applyFont="1" applyFill="1" applyBorder="1" applyAlignment="1"/>
    <xf numFmtId="187" fontId="17" fillId="0" borderId="0" xfId="14" applyNumberFormat="1" applyFont="1" applyFill="1" applyBorder="1" applyAlignment="1" applyProtection="1">
      <alignment horizontal="left"/>
      <protection hidden="1"/>
    </xf>
    <xf numFmtId="0" fontId="16" fillId="0" borderId="0" xfId="14" applyNumberFormat="1" applyFont="1" applyFill="1" applyBorder="1" applyAlignment="1" applyProtection="1">
      <alignment horizontal="left" vertical="top"/>
      <protection hidden="1"/>
    </xf>
    <xf numFmtId="0" fontId="17" fillId="0" borderId="0" xfId="14" applyNumberFormat="1" applyFont="1" applyFill="1" applyBorder="1" applyAlignment="1" applyProtection="1">
      <alignment horizontal="left"/>
      <protection hidden="1"/>
    </xf>
    <xf numFmtId="0" fontId="16" fillId="0" borderId="0" xfId="14" applyFont="1" applyFill="1" applyBorder="1" applyAlignment="1" applyProtection="1">
      <alignment horizontal="left"/>
      <protection hidden="1"/>
    </xf>
    <xf numFmtId="165" fontId="19" fillId="3" borderId="1" xfId="3" applyFont="1" applyFill="1" applyBorder="1" applyAlignment="1"/>
    <xf numFmtId="182" fontId="17" fillId="0" borderId="2" xfId="23" applyNumberFormat="1" applyFont="1" applyFill="1" applyBorder="1" applyAlignment="1" applyProtection="1">
      <alignment horizontal="center"/>
      <protection hidden="1"/>
    </xf>
    <xf numFmtId="49" fontId="17" fillId="0" borderId="0" xfId="17" applyNumberFormat="1" applyFont="1" applyFill="1" applyBorder="1" applyAlignment="1"/>
    <xf numFmtId="188" fontId="17" fillId="0" borderId="0" xfId="14" applyNumberFormat="1" applyFont="1" applyFill="1" applyBorder="1" applyAlignment="1" applyProtection="1">
      <alignment horizontal="left"/>
      <protection hidden="1"/>
    </xf>
    <xf numFmtId="49" fontId="19" fillId="0" borderId="0" xfId="17" applyNumberFormat="1" applyFont="1" applyFill="1" applyBorder="1" applyAlignment="1"/>
    <xf numFmtId="10" fontId="19" fillId="0" borderId="0" xfId="17" applyNumberFormat="1" applyFont="1" applyFill="1" applyAlignment="1">
      <alignment horizontal="left"/>
    </xf>
    <xf numFmtId="0" fontId="45" fillId="0" borderId="0" xfId="20" applyFont="1" applyFill="1" applyProtection="1">
      <protection hidden="1"/>
    </xf>
    <xf numFmtId="0" fontId="45" fillId="0" borderId="0" xfId="20" applyFont="1" applyFill="1" applyBorder="1" applyProtection="1">
      <protection hidden="1"/>
    </xf>
    <xf numFmtId="2" fontId="45" fillId="0" borderId="0" xfId="16" applyNumberFormat="1" applyFont="1" applyFill="1" applyBorder="1" applyProtection="1">
      <protection hidden="1"/>
    </xf>
    <xf numFmtId="0" fontId="45" fillId="0" borderId="0" xfId="20" applyFont="1" applyFill="1" applyBorder="1" applyAlignment="1" applyProtection="1">
      <alignment vertical="center"/>
      <protection hidden="1"/>
    </xf>
    <xf numFmtId="0" fontId="0" fillId="0" borderId="0" xfId="0" applyAlignment="1"/>
    <xf numFmtId="2" fontId="46" fillId="0" borderId="0" xfId="20" applyNumberFormat="1" applyFont="1" applyFill="1" applyBorder="1" applyAlignment="1" applyProtection="1">
      <alignment vertical="center"/>
      <protection hidden="1"/>
    </xf>
    <xf numFmtId="0" fontId="45" fillId="0" borderId="0" xfId="0" applyFont="1" applyFill="1" applyBorder="1" applyAlignment="1">
      <alignment vertical="center"/>
    </xf>
    <xf numFmtId="183" fontId="47" fillId="0" borderId="0" xfId="20" applyNumberFormat="1" applyFont="1" applyFill="1" applyBorder="1" applyAlignment="1" applyProtection="1">
      <alignment vertical="center"/>
      <protection hidden="1"/>
    </xf>
    <xf numFmtId="183" fontId="45" fillId="0" borderId="0" xfId="20" applyNumberFormat="1" applyFont="1" applyFill="1" applyBorder="1" applyAlignment="1" applyProtection="1">
      <alignment vertical="center"/>
      <protection hidden="1"/>
    </xf>
    <xf numFmtId="0" fontId="48" fillId="0" borderId="0" xfId="20" applyFont="1" applyFill="1" applyBorder="1" applyAlignment="1" applyProtection="1">
      <alignment vertical="center" wrapText="1"/>
      <protection hidden="1"/>
    </xf>
    <xf numFmtId="0" fontId="45" fillId="0" borderId="0" xfId="0" applyFont="1" applyFill="1" applyBorder="1" applyAlignment="1">
      <alignment vertical="center" wrapText="1"/>
    </xf>
    <xf numFmtId="183" fontId="47" fillId="0" borderId="0" xfId="20" applyNumberFormat="1" applyFont="1" applyFill="1" applyBorder="1" applyAlignment="1" applyProtection="1">
      <alignment vertical="center" wrapText="1"/>
      <protection hidden="1"/>
    </xf>
    <xf numFmtId="183" fontId="45" fillId="0" borderId="0" xfId="20" applyNumberFormat="1" applyFont="1" applyFill="1" applyBorder="1" applyAlignment="1" applyProtection="1">
      <alignment vertical="center" wrapText="1"/>
      <protection hidden="1"/>
    </xf>
    <xf numFmtId="0" fontId="0" fillId="0" borderId="0" xfId="0" applyAlignment="1">
      <alignment wrapText="1"/>
    </xf>
    <xf numFmtId="10" fontId="47" fillId="0" borderId="0" xfId="23" applyNumberFormat="1" applyFont="1" applyFill="1" applyBorder="1" applyAlignment="1" applyProtection="1">
      <alignment vertical="center" wrapText="1"/>
      <protection hidden="1"/>
    </xf>
    <xf numFmtId="10" fontId="47" fillId="0" borderId="0" xfId="23" applyNumberFormat="1" applyFont="1" applyFill="1" applyBorder="1" applyAlignment="1" applyProtection="1">
      <alignment vertical="center"/>
      <protection hidden="1"/>
    </xf>
    <xf numFmtId="0" fontId="21" fillId="7" borderId="16" xfId="0" applyFont="1" applyFill="1" applyBorder="1" applyAlignment="1">
      <alignment vertical="top" wrapText="1"/>
    </xf>
    <xf numFmtId="184" fontId="47" fillId="0" borderId="0" xfId="23" applyNumberFormat="1" applyFont="1" applyFill="1" applyBorder="1" applyAlignment="1" applyProtection="1">
      <alignment vertical="center"/>
      <protection hidden="1"/>
    </xf>
    <xf numFmtId="184" fontId="47" fillId="0" borderId="0" xfId="20" applyNumberFormat="1" applyFont="1" applyFill="1" applyBorder="1" applyAlignment="1" applyProtection="1">
      <alignment vertical="center"/>
      <protection hidden="1"/>
    </xf>
    <xf numFmtId="184" fontId="45" fillId="0" borderId="0" xfId="23" applyNumberFormat="1" applyFont="1" applyFill="1" applyBorder="1" applyAlignment="1" applyProtection="1">
      <alignment vertical="center"/>
      <protection hidden="1"/>
    </xf>
    <xf numFmtId="0" fontId="19" fillId="0" borderId="18" xfId="0" applyFont="1" applyBorder="1" applyAlignment="1">
      <alignment vertical="top" wrapText="1"/>
    </xf>
    <xf numFmtId="184" fontId="45" fillId="0" borderId="0" xfId="20" applyNumberFormat="1" applyFont="1" applyFill="1" applyBorder="1" applyAlignment="1" applyProtection="1">
      <alignment horizontal="right" vertical="center"/>
      <protection hidden="1"/>
    </xf>
    <xf numFmtId="10" fontId="46" fillId="0" borderId="0" xfId="23" applyNumberFormat="1" applyFont="1" applyFill="1" applyBorder="1" applyAlignment="1" applyProtection="1">
      <alignment vertical="center"/>
      <protection hidden="1"/>
    </xf>
    <xf numFmtId="184" fontId="46" fillId="0" borderId="0" xfId="0" applyNumberFormat="1" applyFont="1" applyFill="1" applyBorder="1"/>
    <xf numFmtId="0" fontId="45" fillId="0" borderId="0" xfId="20" applyFont="1" applyFill="1" applyBorder="1" applyAlignment="1" applyProtection="1">
      <alignment horizontal="right" vertical="center"/>
      <protection hidden="1"/>
    </xf>
    <xf numFmtId="0" fontId="49" fillId="0" borderId="0" xfId="20" applyFont="1" applyFill="1" applyBorder="1" applyAlignment="1" applyProtection="1">
      <alignment vertical="center"/>
      <protection hidden="1"/>
    </xf>
    <xf numFmtId="184" fontId="46" fillId="0" borderId="0" xfId="20" applyNumberFormat="1" applyFont="1" applyFill="1" applyBorder="1" applyAlignment="1" applyProtection="1">
      <alignment vertical="center"/>
      <protection hidden="1"/>
    </xf>
    <xf numFmtId="10" fontId="46" fillId="0" borderId="0" xfId="0" applyNumberFormat="1" applyFont="1" applyFill="1" applyBorder="1" applyAlignment="1"/>
    <xf numFmtId="0" fontId="51" fillId="0" borderId="0" xfId="20" applyFont="1" applyFill="1" applyBorder="1" applyAlignment="1" applyProtection="1">
      <protection hidden="1"/>
    </xf>
    <xf numFmtId="0" fontId="51" fillId="0" borderId="0" xfId="20" applyFont="1" applyFill="1" applyBorder="1" applyProtection="1">
      <protection hidden="1"/>
    </xf>
    <xf numFmtId="0" fontId="45" fillId="0" borderId="0" xfId="20" applyFont="1" applyFill="1" applyBorder="1" applyAlignment="1" applyProtection="1">
      <protection hidden="1"/>
    </xf>
    <xf numFmtId="0" fontId="45" fillId="0" borderId="0" xfId="0" applyFont="1" applyFill="1" applyAlignment="1"/>
    <xf numFmtId="0" fontId="45" fillId="0" borderId="0" xfId="20" applyFont="1" applyFill="1" applyAlignment="1" applyProtection="1">
      <protection hidden="1"/>
    </xf>
    <xf numFmtId="0" fontId="45" fillId="0" borderId="0" xfId="0" applyFont="1" applyFill="1"/>
    <xf numFmtId="0" fontId="45" fillId="0" borderId="0" xfId="0" applyFont="1" applyFill="1" applyBorder="1"/>
    <xf numFmtId="0" fontId="19" fillId="0" borderId="0" xfId="0" applyFont="1" applyAlignment="1">
      <alignment vertical="top" wrapText="1"/>
    </xf>
    <xf numFmtId="0" fontId="19" fillId="0" borderId="0" xfId="0" applyFont="1" applyBorder="1" applyAlignment="1">
      <alignment vertical="top" wrapText="1"/>
    </xf>
    <xf numFmtId="0" fontId="5" fillId="0" borderId="0" xfId="0" applyFont="1" applyAlignment="1">
      <alignment vertical="top" wrapText="1"/>
    </xf>
    <xf numFmtId="0" fontId="0" fillId="0" borderId="0" xfId="0" applyAlignment="1">
      <alignment vertical="top" wrapText="1"/>
    </xf>
    <xf numFmtId="0" fontId="19" fillId="0" borderId="23" xfId="0" applyFont="1" applyBorder="1" applyAlignment="1">
      <alignment vertical="top" wrapText="1"/>
    </xf>
    <xf numFmtId="0" fontId="19" fillId="0" borderId="16" xfId="0" applyFont="1" applyBorder="1" applyAlignment="1">
      <alignment vertical="top" wrapText="1"/>
    </xf>
    <xf numFmtId="0" fontId="19" fillId="0" borderId="21" xfId="0" applyFont="1" applyBorder="1" applyAlignment="1">
      <alignment vertical="top" wrapText="1"/>
    </xf>
    <xf numFmtId="0" fontId="0" fillId="0" borderId="0" xfId="0" applyBorder="1" applyAlignment="1">
      <alignment horizontal="left"/>
    </xf>
    <xf numFmtId="0" fontId="0" fillId="0" borderId="27" xfId="0" applyBorder="1" applyAlignment="1">
      <alignment horizontal="left"/>
    </xf>
    <xf numFmtId="0" fontId="19" fillId="0" borderId="20" xfId="0" applyFont="1" applyBorder="1" applyAlignment="1">
      <alignment horizontal="left" vertical="top"/>
    </xf>
    <xf numFmtId="184" fontId="19" fillId="8" borderId="0" xfId="16" applyNumberFormat="1" applyFont="1" applyFill="1" applyBorder="1" applyAlignment="1" applyProtection="1">
      <alignment vertical="center"/>
      <protection hidden="1"/>
    </xf>
    <xf numFmtId="171" fontId="15" fillId="6" borderId="1" xfId="4" applyNumberFormat="1" applyFont="1" applyFill="1" applyBorder="1" applyAlignment="1" applyProtection="1">
      <protection locked="0"/>
    </xf>
    <xf numFmtId="193" fontId="19" fillId="0" borderId="0" xfId="16" applyNumberFormat="1" applyFont="1" applyFill="1" applyBorder="1" applyProtection="1">
      <protection hidden="1"/>
    </xf>
    <xf numFmtId="192" fontId="18" fillId="0" borderId="0" xfId="11" applyNumberFormat="1" applyFont="1" applyFill="1"/>
    <xf numFmtId="190" fontId="30" fillId="0" borderId="13" xfId="19" applyNumberFormat="1" applyFont="1" applyFill="1" applyBorder="1" applyAlignment="1" applyProtection="1">
      <alignment horizontal="center"/>
      <protection hidden="1"/>
    </xf>
    <xf numFmtId="2"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left" vertical="top" wrapText="1"/>
    </xf>
    <xf numFmtId="0" fontId="19" fillId="2" borderId="1" xfId="0" applyNumberFormat="1" applyFont="1" applyFill="1" applyBorder="1" applyAlignment="1">
      <alignment vertical="top" wrapText="1"/>
    </xf>
    <xf numFmtId="2" fontId="19" fillId="0" borderId="1" xfId="0" applyNumberFormat="1" applyFont="1" applyFill="1" applyBorder="1" applyAlignment="1">
      <alignment vertical="top" wrapText="1"/>
    </xf>
    <xf numFmtId="2" fontId="19" fillId="0" borderId="1" xfId="0" applyNumberFormat="1" applyFont="1" applyFill="1" applyBorder="1" applyAlignment="1">
      <alignment horizontal="center" vertical="top" wrapText="1"/>
    </xf>
    <xf numFmtId="1" fontId="19" fillId="0" borderId="1" xfId="0" applyNumberFormat="1" applyFont="1" applyFill="1" applyBorder="1" applyAlignment="1">
      <alignment horizontal="right" vertical="top" wrapText="1"/>
    </xf>
    <xf numFmtId="44" fontId="19" fillId="0" borderId="1" xfId="0" applyNumberFormat="1" applyFont="1" applyFill="1" applyBorder="1" applyAlignment="1">
      <alignment vertical="top" wrapText="1"/>
    </xf>
    <xf numFmtId="44" fontId="19" fillId="0" borderId="1" xfId="0" applyNumberFormat="1" applyFont="1" applyFill="1" applyBorder="1"/>
    <xf numFmtId="2" fontId="43" fillId="0" borderId="0" xfId="0" applyNumberFormat="1" applyFont="1" applyAlignment="1">
      <alignment horizontal="center"/>
    </xf>
    <xf numFmtId="2" fontId="25" fillId="0" borderId="0" xfId="17" applyNumberFormat="1" applyFont="1" applyFill="1" applyBorder="1" applyAlignment="1">
      <alignment horizontal="center"/>
    </xf>
    <xf numFmtId="0" fontId="19" fillId="0" borderId="0" xfId="0" applyNumberFormat="1" applyFont="1" applyAlignment="1">
      <alignment horizontal="left"/>
    </xf>
    <xf numFmtId="0" fontId="21" fillId="0" borderId="0" xfId="0" applyNumberFormat="1" applyFont="1" applyAlignment="1">
      <alignment horizontal="left"/>
    </xf>
    <xf numFmtId="0" fontId="27" fillId="0" borderId="0" xfId="17" applyNumberFormat="1" applyFont="1" applyFill="1" applyBorder="1" applyAlignment="1">
      <alignment horizontal="left"/>
    </xf>
    <xf numFmtId="0" fontId="19" fillId="2" borderId="4" xfId="0" applyNumberFormat="1" applyFont="1" applyFill="1" applyBorder="1" applyAlignment="1">
      <alignment horizontal="left" vertical="top" wrapText="1"/>
    </xf>
    <xf numFmtId="167" fontId="19" fillId="0" borderId="0" xfId="25" applyFont="1"/>
    <xf numFmtId="167" fontId="19" fillId="0" borderId="1" xfId="25" applyFont="1" applyFill="1" applyBorder="1"/>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17" xfId="0" applyFont="1" applyBorder="1" applyAlignment="1">
      <alignment horizontal="left" vertical="top" wrapText="1"/>
    </xf>
    <xf numFmtId="0" fontId="19" fillId="2" borderId="1" xfId="0" applyNumberFormat="1" applyFont="1" applyFill="1" applyBorder="1" applyAlignment="1">
      <alignment horizontal="center" vertical="top" wrapText="1"/>
    </xf>
    <xf numFmtId="190" fontId="19" fillId="0" borderId="1" xfId="0" applyNumberFormat="1" applyFont="1" applyFill="1" applyBorder="1"/>
    <xf numFmtId="178" fontId="19" fillId="8" borderId="1" xfId="0" applyNumberFormat="1" applyFont="1" applyFill="1" applyBorder="1" applyAlignment="1">
      <alignment horizontal="center"/>
    </xf>
    <xf numFmtId="0" fontId="18" fillId="3" borderId="1" xfId="15" applyFont="1" applyFill="1" applyBorder="1"/>
    <xf numFmtId="2" fontId="17" fillId="0" borderId="0" xfId="17" applyNumberFormat="1" applyFont="1" applyFill="1" applyBorder="1" applyAlignment="1"/>
    <xf numFmtId="2" fontId="16" fillId="0" borderId="0" xfId="17" applyNumberFormat="1" applyFont="1" applyFill="1" applyBorder="1" applyAlignment="1"/>
    <xf numFmtId="2" fontId="19" fillId="0" borderId="0" xfId="15" applyNumberFormat="1" applyFont="1" applyFill="1"/>
    <xf numFmtId="2" fontId="17" fillId="0" borderId="0" xfId="15" applyNumberFormat="1" applyFont="1" applyFill="1" applyBorder="1" applyAlignment="1">
      <alignment vertical="center"/>
    </xf>
    <xf numFmtId="2" fontId="17" fillId="0" borderId="0" xfId="15" applyNumberFormat="1" applyFont="1" applyFill="1" applyBorder="1" applyAlignment="1">
      <alignment horizontal="right" vertical="center"/>
    </xf>
    <xf numFmtId="1" fontId="16" fillId="0" borderId="0" xfId="17" applyNumberFormat="1" applyFont="1" applyFill="1" applyBorder="1" applyAlignment="1">
      <alignment horizontal="left"/>
    </xf>
    <xf numFmtId="2" fontId="16" fillId="0" borderId="0" xfId="15" applyNumberFormat="1" applyFont="1" applyFill="1" applyBorder="1" applyAlignment="1">
      <alignment vertical="center"/>
    </xf>
    <xf numFmtId="0" fontId="19" fillId="2" borderId="1" xfId="15" applyFont="1" applyFill="1" applyBorder="1" applyAlignment="1">
      <alignment horizontal="center" vertical="top" wrapText="1"/>
    </xf>
    <xf numFmtId="0" fontId="19" fillId="0" borderId="0" xfId="15" applyFont="1" applyBorder="1" applyAlignment="1"/>
    <xf numFmtId="0" fontId="19" fillId="0" borderId="0" xfId="15" applyFont="1" applyFill="1" applyBorder="1"/>
    <xf numFmtId="188" fontId="19" fillId="0" borderId="0" xfId="15" applyNumberFormat="1" applyFont="1" applyFill="1" applyBorder="1"/>
    <xf numFmtId="168" fontId="19" fillId="0" borderId="1" xfId="11" applyFont="1" applyFill="1" applyBorder="1" applyAlignment="1">
      <alignment horizontal="center" vertical="top" wrapText="1"/>
    </xf>
    <xf numFmtId="168" fontId="19" fillId="8" borderId="1" xfId="11" applyFont="1" applyFill="1" applyBorder="1"/>
    <xf numFmtId="168" fontId="19" fillId="0" borderId="1" xfId="11" applyFont="1" applyFill="1" applyBorder="1" applyAlignment="1">
      <alignment vertical="top" wrapText="1"/>
    </xf>
    <xf numFmtId="2" fontId="21" fillId="0" borderId="1" xfId="0" applyNumberFormat="1" applyFont="1" applyFill="1" applyBorder="1" applyAlignment="1">
      <alignment vertical="top" wrapText="1"/>
    </xf>
    <xf numFmtId="168" fontId="21" fillId="0" borderId="1" xfId="11" applyFont="1" applyFill="1" applyBorder="1" applyAlignment="1">
      <alignment horizontal="center" vertical="top" wrapText="1"/>
    </xf>
    <xf numFmtId="9" fontId="21" fillId="0" borderId="1" xfId="23" applyFont="1" applyFill="1" applyBorder="1" applyAlignment="1">
      <alignment horizontal="center" vertical="top" wrapText="1"/>
    </xf>
    <xf numFmtId="9" fontId="19" fillId="0" borderId="1" xfId="23" applyFont="1" applyFill="1" applyBorder="1" applyAlignment="1">
      <alignment horizontal="center" vertical="top" wrapText="1"/>
    </xf>
    <xf numFmtId="9" fontId="19" fillId="8" borderId="1" xfId="23" applyFont="1" applyFill="1" applyBorder="1" applyAlignment="1">
      <alignment horizontal="center" vertical="top" wrapText="1"/>
    </xf>
    <xf numFmtId="167" fontId="21" fillId="0" borderId="1" xfId="25" applyFont="1" applyFill="1" applyBorder="1" applyAlignment="1">
      <alignment horizontal="center" vertical="top" wrapText="1"/>
    </xf>
    <xf numFmtId="188" fontId="19" fillId="0" borderId="0" xfId="17" applyNumberFormat="1" applyFont="1" applyFill="1" applyBorder="1" applyAlignment="1"/>
    <xf numFmtId="10" fontId="17" fillId="0" borderId="0" xfId="23" applyNumberFormat="1" applyFont="1" applyFill="1" applyBorder="1" applyAlignment="1" applyProtection="1">
      <alignment horizontal="right"/>
      <protection hidden="1"/>
    </xf>
    <xf numFmtId="1" fontId="52" fillId="0" borderId="0" xfId="3" applyNumberFormat="1" applyFont="1" applyFill="1" applyAlignment="1">
      <alignment horizontal="center"/>
    </xf>
    <xf numFmtId="165" fontId="52" fillId="0" borderId="0" xfId="3" applyFont="1" applyFill="1" applyAlignment="1"/>
    <xf numFmtId="187" fontId="52" fillId="0" borderId="0" xfId="8" applyNumberFormat="1" applyFont="1" applyFill="1" applyAlignment="1">
      <alignment horizontal="left"/>
    </xf>
    <xf numFmtId="49" fontId="17" fillId="0" borderId="0" xfId="14" applyNumberFormat="1" applyFont="1" applyFill="1" applyBorder="1" applyAlignment="1" applyProtection="1">
      <alignment horizontal="left" vertical="top" wrapText="1"/>
      <protection hidden="1"/>
    </xf>
    <xf numFmtId="167" fontId="21" fillId="8" borderId="1" xfId="25" applyFont="1" applyFill="1" applyBorder="1" applyAlignment="1">
      <alignment horizontal="center" vertical="top" wrapText="1"/>
    </xf>
    <xf numFmtId="168" fontId="19" fillId="0" borderId="0" xfId="0" applyNumberFormat="1" applyFont="1"/>
    <xf numFmtId="43" fontId="19" fillId="0" borderId="0" xfId="0" applyNumberFormat="1" applyFont="1"/>
    <xf numFmtId="0" fontId="53" fillId="0" borderId="1" xfId="0" applyFont="1" applyFill="1" applyBorder="1" applyAlignment="1">
      <alignment horizontal="center"/>
    </xf>
    <xf numFmtId="0" fontId="53" fillId="0" borderId="1" xfId="0" applyFont="1" applyFill="1" applyBorder="1"/>
    <xf numFmtId="168" fontId="19" fillId="0" borderId="1" xfId="11" applyFont="1" applyFill="1" applyBorder="1"/>
    <xf numFmtId="0" fontId="19" fillId="2" borderId="8" xfId="15" applyFont="1" applyFill="1" applyBorder="1" applyAlignment="1">
      <alignment vertical="top"/>
    </xf>
    <xf numFmtId="167" fontId="19" fillId="2" borderId="1" xfId="25" applyFont="1" applyFill="1" applyBorder="1" applyAlignment="1">
      <alignment horizontal="center" vertical="top" wrapText="1"/>
    </xf>
    <xf numFmtId="0" fontId="19" fillId="2" borderId="1" xfId="15" applyFont="1" applyFill="1" applyBorder="1" applyAlignment="1">
      <alignment vertical="top"/>
    </xf>
    <xf numFmtId="167" fontId="19" fillId="3" borderId="1" xfId="25" applyFont="1" applyFill="1" applyBorder="1"/>
    <xf numFmtId="167" fontId="17" fillId="9" borderId="1" xfId="25" applyFont="1" applyFill="1" applyBorder="1" applyAlignment="1">
      <alignment vertical="center"/>
    </xf>
    <xf numFmtId="2" fontId="19" fillId="8" borderId="1" xfId="0" applyNumberFormat="1" applyFont="1" applyFill="1" applyBorder="1" applyAlignment="1">
      <alignment vertical="top" wrapText="1"/>
    </xf>
    <xf numFmtId="1" fontId="19" fillId="8" borderId="1" xfId="0" applyNumberFormat="1" applyFont="1" applyFill="1" applyBorder="1" applyAlignment="1">
      <alignment horizontal="center"/>
    </xf>
    <xf numFmtId="180" fontId="19" fillId="8" borderId="1" xfId="0" applyNumberFormat="1" applyFont="1" applyFill="1" applyBorder="1" applyAlignment="1">
      <alignment horizontal="center"/>
    </xf>
    <xf numFmtId="2" fontId="19" fillId="8" borderId="1" xfId="0" applyNumberFormat="1" applyFont="1" applyFill="1" applyBorder="1"/>
    <xf numFmtId="179" fontId="44" fillId="8" borderId="1" xfId="11" applyNumberFormat="1" applyFont="1" applyFill="1" applyBorder="1" applyAlignment="1">
      <alignment horizontal="left"/>
    </xf>
    <xf numFmtId="0" fontId="19" fillId="8" borderId="1" xfId="0" applyFont="1" applyFill="1" applyBorder="1"/>
    <xf numFmtId="1" fontId="19" fillId="8" borderId="1" xfId="0" applyNumberFormat="1" applyFont="1" applyFill="1" applyBorder="1" applyAlignment="1">
      <alignment horizontal="right"/>
    </xf>
    <xf numFmtId="0" fontId="19" fillId="8" borderId="4" xfId="0" applyFont="1" applyFill="1" applyBorder="1"/>
    <xf numFmtId="0" fontId="19" fillId="8" borderId="1" xfId="0" applyNumberFormat="1" applyFont="1" applyFill="1" applyBorder="1" applyAlignment="1"/>
    <xf numFmtId="0" fontId="19" fillId="8" borderId="7" xfId="0" applyFont="1" applyFill="1" applyBorder="1"/>
    <xf numFmtId="1" fontId="19" fillId="8" borderId="10" xfId="0" applyNumberFormat="1" applyFont="1" applyFill="1" applyBorder="1" applyAlignment="1">
      <alignment horizontal="center"/>
    </xf>
    <xf numFmtId="180" fontId="19" fillId="8" borderId="10" xfId="0" applyNumberFormat="1" applyFont="1" applyFill="1" applyBorder="1" applyAlignment="1">
      <alignment horizontal="center"/>
    </xf>
    <xf numFmtId="0" fontId="19" fillId="8" borderId="10" xfId="0" applyFont="1" applyFill="1" applyBorder="1"/>
    <xf numFmtId="0" fontId="19" fillId="8" borderId="1" xfId="0" applyFont="1" applyFill="1" applyBorder="1" applyAlignment="1"/>
    <xf numFmtId="2" fontId="19" fillId="8" borderId="7" xfId="0" applyNumberFormat="1" applyFont="1" applyFill="1" applyBorder="1"/>
    <xf numFmtId="1" fontId="19" fillId="8" borderId="7" xfId="0" applyNumberFormat="1" applyFont="1" applyFill="1" applyBorder="1" applyAlignment="1">
      <alignment horizontal="right"/>
    </xf>
    <xf numFmtId="1" fontId="19" fillId="8" borderId="4" xfId="0" applyNumberFormat="1" applyFont="1" applyFill="1" applyBorder="1" applyAlignment="1">
      <alignment horizontal="center"/>
    </xf>
    <xf numFmtId="180" fontId="19" fillId="8" borderId="4" xfId="0" applyNumberFormat="1" applyFont="1" applyFill="1" applyBorder="1" applyAlignment="1">
      <alignment horizontal="center"/>
    </xf>
    <xf numFmtId="181" fontId="19" fillId="8" borderId="1" xfId="0" applyNumberFormat="1" applyFont="1" applyFill="1" applyBorder="1" applyAlignment="1">
      <alignment horizontal="center"/>
    </xf>
    <xf numFmtId="0" fontId="19" fillId="0" borderId="0" xfId="0" applyFont="1" applyAlignment="1">
      <alignment vertical="top" wrapText="1"/>
    </xf>
    <xf numFmtId="0" fontId="19" fillId="0" borderId="0" xfId="0" applyFont="1" applyAlignment="1">
      <alignment horizontal="left" vertical="top" wrapText="1"/>
    </xf>
    <xf numFmtId="0" fontId="19" fillId="0" borderId="20" xfId="0" applyFont="1" applyBorder="1" applyAlignment="1">
      <alignment horizontal="left" vertical="top" wrapText="1"/>
    </xf>
    <xf numFmtId="0" fontId="0" fillId="0" borderId="0" xfId="0" applyBorder="1" applyAlignment="1">
      <alignment horizontal="left"/>
    </xf>
    <xf numFmtId="0" fontId="0" fillId="0" borderId="27" xfId="0" applyBorder="1" applyAlignment="1">
      <alignment horizontal="left"/>
    </xf>
    <xf numFmtId="0" fontId="21" fillId="7" borderId="24" xfId="0" applyFont="1" applyFill="1" applyBorder="1" applyAlignment="1">
      <alignment horizontal="left" vertical="top" wrapText="1"/>
    </xf>
    <xf numFmtId="0" fontId="21" fillId="7" borderId="25" xfId="0" applyFont="1" applyFill="1" applyBorder="1" applyAlignment="1">
      <alignment horizontal="left" vertical="top" wrapText="1"/>
    </xf>
    <xf numFmtId="0" fontId="21" fillId="7" borderId="26" xfId="0" applyFont="1" applyFill="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17" xfId="0" applyFont="1" applyBorder="1" applyAlignment="1">
      <alignment horizontal="left" vertical="top" wrapText="1"/>
    </xf>
    <xf numFmtId="0" fontId="19" fillId="0" borderId="23" xfId="0" applyFont="1" applyBorder="1" applyAlignment="1">
      <alignment horizontal="left" vertical="top" wrapText="1"/>
    </xf>
    <xf numFmtId="0" fontId="19" fillId="0" borderId="28"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Border="1" applyAlignment="1">
      <alignment horizontal="left" vertical="top" wrapText="1"/>
    </xf>
    <xf numFmtId="0" fontId="19" fillId="0" borderId="27" xfId="0" applyFont="1" applyBorder="1" applyAlignment="1">
      <alignment horizontal="left" vertical="top" wrapText="1"/>
    </xf>
    <xf numFmtId="0" fontId="19" fillId="0" borderId="21" xfId="0" applyFont="1" applyBorder="1" applyAlignment="1">
      <alignment horizontal="left" vertical="top"/>
    </xf>
    <xf numFmtId="0" fontId="19" fillId="0" borderId="22" xfId="0" applyFont="1" applyBorder="1" applyAlignment="1">
      <alignment horizontal="left" vertical="top"/>
    </xf>
    <xf numFmtId="0" fontId="19" fillId="0" borderId="17" xfId="0" applyFont="1" applyBorder="1" applyAlignment="1">
      <alignment horizontal="left" vertical="top"/>
    </xf>
    <xf numFmtId="0" fontId="21" fillId="7" borderId="21" xfId="0" applyFont="1" applyFill="1" applyBorder="1" applyAlignment="1">
      <alignment horizontal="left" vertical="top"/>
    </xf>
    <xf numFmtId="0" fontId="21" fillId="7" borderId="22" xfId="0" applyFont="1" applyFill="1" applyBorder="1" applyAlignment="1">
      <alignment horizontal="left" vertical="top"/>
    </xf>
    <xf numFmtId="0" fontId="21" fillId="7" borderId="17" xfId="0" applyFont="1" applyFill="1" applyBorder="1" applyAlignment="1">
      <alignment horizontal="left" vertical="top"/>
    </xf>
    <xf numFmtId="2" fontId="27" fillId="3" borderId="0" xfId="17" applyNumberFormat="1" applyFont="1" applyFill="1" applyBorder="1" applyAlignment="1"/>
    <xf numFmtId="0" fontId="19" fillId="3" borderId="0" xfId="0" applyFont="1" applyFill="1" applyAlignment="1"/>
    <xf numFmtId="0" fontId="19" fillId="0" borderId="5" xfId="0" applyFont="1" applyFill="1" applyBorder="1" applyAlignment="1">
      <alignment horizontal="left"/>
    </xf>
    <xf numFmtId="0" fontId="19" fillId="0" borderId="7" xfId="0" applyFont="1" applyFill="1" applyBorder="1" applyAlignment="1">
      <alignment horizontal="left"/>
    </xf>
    <xf numFmtId="0" fontId="21" fillId="0" borderId="5" xfId="20" applyFont="1" applyFill="1" applyBorder="1" applyAlignment="1" applyProtection="1">
      <alignment horizontal="left" vertical="center"/>
      <protection hidden="1"/>
    </xf>
    <xf numFmtId="0" fontId="21" fillId="0" borderId="7" xfId="20" applyFont="1" applyFill="1" applyBorder="1" applyAlignment="1" applyProtection="1">
      <alignment horizontal="left" vertical="center"/>
      <protection hidden="1"/>
    </xf>
    <xf numFmtId="2" fontId="14" fillId="2" borderId="5" xfId="4" applyNumberFormat="1" applyFont="1" applyFill="1" applyBorder="1" applyAlignment="1" applyProtection="1">
      <alignment horizontal="center" vertical="center" wrapText="1"/>
      <protection hidden="1"/>
    </xf>
    <xf numFmtId="0" fontId="19" fillId="0" borderId="7" xfId="0" applyFont="1" applyBorder="1" applyAlignment="1">
      <alignment horizontal="center" vertical="center" wrapText="1"/>
    </xf>
    <xf numFmtId="2" fontId="14" fillId="2" borderId="7" xfId="4" applyNumberFormat="1" applyFont="1" applyFill="1" applyBorder="1" applyAlignment="1" applyProtection="1">
      <alignment horizontal="center" vertical="center" wrapText="1"/>
      <protection hidden="1"/>
    </xf>
    <xf numFmtId="2" fontId="25" fillId="2" borderId="5" xfId="4" applyNumberFormat="1" applyFont="1" applyFill="1" applyBorder="1" applyAlignment="1" applyProtection="1">
      <alignment horizontal="left" vertical="center" wrapText="1"/>
      <protection hidden="1"/>
    </xf>
    <xf numFmtId="0" fontId="23" fillId="0" borderId="7" xfId="0" applyFont="1" applyBorder="1" applyAlignment="1">
      <alignment horizontal="left" vertical="center" wrapText="1"/>
    </xf>
    <xf numFmtId="2" fontId="25" fillId="2" borderId="7" xfId="4" applyNumberFormat="1" applyFont="1" applyFill="1" applyBorder="1" applyAlignment="1" applyProtection="1">
      <alignment horizontal="left" vertical="center" wrapText="1"/>
      <protection hidden="1"/>
    </xf>
    <xf numFmtId="2" fontId="25" fillId="2" borderId="6" xfId="4" applyNumberFormat="1" applyFont="1" applyFill="1" applyBorder="1" applyAlignment="1" applyProtection="1">
      <alignment horizontal="left" vertical="center" wrapText="1"/>
      <protection hidden="1"/>
    </xf>
    <xf numFmtId="0" fontId="16" fillId="0" borderId="5" xfId="14" applyFont="1" applyFill="1" applyBorder="1" applyAlignment="1" applyProtection="1">
      <alignment horizontal="center"/>
      <protection hidden="1"/>
    </xf>
    <xf numFmtId="0" fontId="16" fillId="0" borderId="6" xfId="14" applyFont="1" applyFill="1" applyBorder="1" applyAlignment="1" applyProtection="1">
      <alignment horizontal="center"/>
      <protection hidden="1"/>
    </xf>
    <xf numFmtId="0" fontId="16" fillId="0" borderId="7" xfId="14" applyFont="1" applyFill="1" applyBorder="1" applyAlignment="1" applyProtection="1">
      <alignment horizontal="center"/>
      <protection hidden="1"/>
    </xf>
  </cellXfs>
  <cellStyles count="26">
    <cellStyle name="Comma [0]_AA BCR/ Basis ruimtestaat 13.0" xfId="1"/>
    <cellStyle name="Comma_AA BCR/ Basis ruimtestaat 13.0" xfId="2"/>
    <cellStyle name="Comma_CALCULATIEBLAD.XLS" xfId="3"/>
    <cellStyle name="Comma_Uurtarieven 2000 LEVERANCIER" xfId="4"/>
    <cellStyle name="Currency [0]_AA BCR/ Basis ruimtestaat 13.0" xfId="5"/>
    <cellStyle name="Currency_AA BCR/ Basis ruimtestaat 13.0" xfId="6"/>
    <cellStyle name="Currency_ATIR-Calc-Uurtarief 2001" xfId="7"/>
    <cellStyle name="Currency_CALCULATIEBLAD.XLS" xfId="8"/>
    <cellStyle name="Currency_MACHINEKST.xls" xfId="9"/>
    <cellStyle name="Followed Hyperlink_Aantal groepen per school.xls" xfId="10"/>
    <cellStyle name="Komma" xfId="11" builtinId="3"/>
    <cellStyle name="Komma [0]" xfId="12" builtinId="6"/>
    <cellStyle name="Normaal_GLAS gegevens.xls" xfId="13"/>
    <cellStyle name="Normal_ KLM-CTR(STA)-Recap.xls" xfId="14"/>
    <cellStyle name="Normal_AFRPPRIJS.xls" xfId="15"/>
    <cellStyle name="Normal_ATIR-Calc-Uurtarief 2001" xfId="16"/>
    <cellStyle name="Normal_CALCULATIEBLAD.XLS" xfId="17"/>
    <cellStyle name="Normal_MACHINEKST.xls" xfId="18"/>
    <cellStyle name="Normal_Uurloonopbouw model Atir" xfId="19"/>
    <cellStyle name="Normal_Uurtarieven 2000 LEVERANCIER" xfId="20"/>
    <cellStyle name="Normal_Workbook1_AFRPPRIJS.xls" xfId="21"/>
    <cellStyle name="Ongedefinieerd" xfId="22"/>
    <cellStyle name="Procent" xfId="23" builtinId="5"/>
    <cellStyle name="Standaard" xfId="0" builtinId="0"/>
    <cellStyle name="Standaard_Blad1" xfId="24"/>
    <cellStyle name="Valuta" xfId="25" builtinId="4"/>
  </cellStyles>
  <dxfs count="1">
    <dxf>
      <fill>
        <patternFill>
          <bgColor indexed="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Naomi/Local%20Settings/Temporary%20Internet%20Files/Content.Outlook/ILGDZFKW/HD%20MBP%20Erik%20ATIR%20Werkdocumenten/%20%20ATIR%20in%20%20behandeling/Tarieven%202004/ati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workbookViewId="0">
      <selection activeCell="B18" sqref="B18:E18"/>
    </sheetView>
  </sheetViews>
  <sheetFormatPr defaultColWidth="9.28515625" defaultRowHeight="12.75"/>
  <cols>
    <col min="1" max="2" width="18.5703125" customWidth="1"/>
    <col min="3" max="3" width="33" customWidth="1"/>
    <col min="4" max="4" width="19" customWidth="1"/>
    <col min="5" max="5" width="29.140625" customWidth="1"/>
    <col min="6" max="6" width="39.85546875" customWidth="1"/>
    <col min="7" max="7" width="65.140625" customWidth="1"/>
    <col min="8" max="10" width="15.7109375" customWidth="1"/>
    <col min="11" max="11" width="12.85546875" bestFit="1" customWidth="1"/>
    <col min="12" max="12" width="2.140625" customWidth="1"/>
    <col min="13" max="13" width="7.85546875" customWidth="1"/>
    <col min="14" max="14" width="27" bestFit="1" customWidth="1"/>
  </cols>
  <sheetData>
    <row r="1" spans="1:13" ht="18">
      <c r="A1" s="32" t="s">
        <v>265</v>
      </c>
      <c r="B1" s="507"/>
      <c r="H1" s="507"/>
      <c r="I1" s="507"/>
      <c r="J1" s="507"/>
      <c r="K1" s="508"/>
      <c r="L1" s="508"/>
      <c r="M1" s="508"/>
    </row>
    <row r="2" spans="1:13" ht="26.1" customHeight="1">
      <c r="A2" s="32"/>
      <c r="B2" s="509"/>
      <c r="H2" s="509"/>
      <c r="I2" s="509"/>
      <c r="J2" s="509"/>
      <c r="K2" s="510"/>
      <c r="L2" s="510"/>
      <c r="M2" s="510"/>
    </row>
    <row r="3" spans="1:13" ht="18">
      <c r="A3" s="32" t="s">
        <v>266</v>
      </c>
      <c r="B3" s="511"/>
      <c r="H3" s="512"/>
      <c r="I3" s="513"/>
      <c r="J3" s="512"/>
      <c r="K3" s="514"/>
      <c r="L3" s="514"/>
      <c r="M3" s="515"/>
    </row>
    <row r="4" spans="1:13" s="520" customFormat="1" ht="33.75" customHeight="1">
      <c r="A4" s="637" t="s">
        <v>267</v>
      </c>
      <c r="B4" s="637"/>
      <c r="C4" s="637"/>
      <c r="D4" s="637"/>
      <c r="E4" s="637"/>
      <c r="F4" s="637"/>
      <c r="H4" s="516"/>
      <c r="I4" s="517"/>
      <c r="J4" s="516"/>
      <c r="K4" s="518"/>
      <c r="L4" s="518"/>
      <c r="M4" s="519"/>
    </row>
    <row r="5" spans="1:13" s="520" customFormat="1" ht="41.25" customHeight="1">
      <c r="A5" s="637" t="s">
        <v>268</v>
      </c>
      <c r="B5" s="637"/>
      <c r="C5" s="637"/>
      <c r="D5" s="637"/>
      <c r="E5" s="637"/>
      <c r="F5" s="637"/>
      <c r="H5" s="517"/>
      <c r="I5" s="521"/>
      <c r="J5" s="517"/>
      <c r="K5" s="518"/>
      <c r="L5" s="518"/>
      <c r="M5" s="519"/>
    </row>
    <row r="6" spans="1:13" ht="13.5" thickBot="1">
      <c r="A6" s="35" t="s">
        <v>269</v>
      </c>
      <c r="H6" s="513"/>
      <c r="I6" s="522"/>
      <c r="J6" s="513"/>
      <c r="K6" s="514"/>
      <c r="L6" s="514"/>
      <c r="M6" s="515"/>
    </row>
    <row r="7" spans="1:13" ht="13.5" thickBot="1">
      <c r="A7" s="523" t="s">
        <v>270</v>
      </c>
      <c r="B7" s="641" t="s">
        <v>258</v>
      </c>
      <c r="C7" s="642"/>
      <c r="D7" s="642"/>
      <c r="E7" s="643"/>
      <c r="H7" s="513"/>
      <c r="I7" s="522"/>
      <c r="J7" s="513"/>
      <c r="K7" s="524"/>
      <c r="L7" s="525"/>
      <c r="M7" s="526"/>
    </row>
    <row r="8" spans="1:13" ht="13.5" customHeight="1" thickBot="1">
      <c r="A8" s="548" t="s">
        <v>271</v>
      </c>
      <c r="B8" s="644" t="s">
        <v>272</v>
      </c>
      <c r="C8" s="645"/>
      <c r="D8" s="645"/>
      <c r="E8" s="646"/>
      <c r="H8" s="513"/>
      <c r="I8" s="522"/>
      <c r="J8" s="513"/>
      <c r="K8" s="524"/>
      <c r="L8" s="525"/>
      <c r="M8" s="528"/>
    </row>
    <row r="9" spans="1:13" ht="13.5" customHeight="1" thickBot="1">
      <c r="A9" s="546" t="s">
        <v>273</v>
      </c>
      <c r="B9" s="638" t="s">
        <v>274</v>
      </c>
      <c r="C9" s="650"/>
      <c r="D9" s="650"/>
      <c r="E9" s="651"/>
      <c r="H9" s="529"/>
      <c r="I9" s="513"/>
      <c r="J9" s="529"/>
      <c r="K9" s="530"/>
      <c r="L9" s="525"/>
      <c r="M9" s="531"/>
    </row>
    <row r="10" spans="1:13" ht="13.5" customHeight="1" thickBot="1">
      <c r="A10" s="546" t="s">
        <v>275</v>
      </c>
      <c r="B10" s="644" t="s">
        <v>276</v>
      </c>
      <c r="C10" s="645"/>
      <c r="D10" s="645"/>
      <c r="E10" s="646"/>
      <c r="H10" s="532"/>
      <c r="I10" s="513"/>
      <c r="J10" s="532"/>
      <c r="K10" s="533"/>
      <c r="L10" s="525"/>
      <c r="M10" s="531"/>
    </row>
    <row r="11" spans="1:13" ht="13.5" customHeight="1" thickBot="1">
      <c r="A11" s="546" t="s">
        <v>277</v>
      </c>
      <c r="B11" s="638" t="s">
        <v>278</v>
      </c>
      <c r="C11" s="650"/>
      <c r="D11" s="650"/>
      <c r="E11" s="651"/>
      <c r="H11" s="534"/>
      <c r="I11" s="513"/>
      <c r="J11" s="534"/>
      <c r="K11" s="530"/>
      <c r="L11" s="525"/>
      <c r="M11" s="531"/>
    </row>
    <row r="12" spans="1:13" ht="13.5" customHeight="1" thickBot="1">
      <c r="A12" s="546" t="s">
        <v>87</v>
      </c>
      <c r="B12" s="644" t="s">
        <v>279</v>
      </c>
      <c r="C12" s="645"/>
      <c r="D12" s="645"/>
      <c r="E12" s="646"/>
      <c r="H12" s="534"/>
      <c r="I12" s="513"/>
      <c r="J12" s="534"/>
      <c r="K12" s="530"/>
      <c r="L12" s="525"/>
      <c r="M12" s="531"/>
    </row>
    <row r="13" spans="1:13" ht="13.5" customHeight="1" thickBot="1">
      <c r="A13" s="546" t="s">
        <v>280</v>
      </c>
      <c r="B13" s="638" t="s">
        <v>281</v>
      </c>
      <c r="C13" s="650"/>
      <c r="D13" s="650"/>
      <c r="E13" s="651"/>
      <c r="H13" s="535"/>
      <c r="I13" s="535"/>
      <c r="J13" s="535"/>
      <c r="K13" s="536"/>
      <c r="L13" s="508"/>
      <c r="M13" s="508"/>
    </row>
    <row r="14" spans="1:13" ht="13.5" customHeight="1" thickBot="1">
      <c r="A14" s="546" t="s">
        <v>282</v>
      </c>
      <c r="B14" s="644" t="s">
        <v>283</v>
      </c>
      <c r="C14" s="645"/>
      <c r="D14" s="645"/>
      <c r="E14" s="646"/>
      <c r="H14" s="537"/>
      <c r="I14" s="537"/>
      <c r="J14" s="537"/>
      <c r="K14" s="508"/>
      <c r="L14" s="508"/>
      <c r="M14" s="508"/>
    </row>
    <row r="15" spans="1:13" ht="13.5" customHeight="1" thickBot="1">
      <c r="A15" s="546" t="s">
        <v>284</v>
      </c>
      <c r="B15" s="638" t="s">
        <v>285</v>
      </c>
      <c r="C15" s="650"/>
      <c r="D15" s="650"/>
      <c r="E15" s="651"/>
      <c r="H15" s="538"/>
      <c r="I15" s="539"/>
      <c r="J15" s="539"/>
      <c r="K15" s="508"/>
      <c r="L15" s="508"/>
      <c r="M15" s="508"/>
    </row>
    <row r="16" spans="1:13" ht="13.5" customHeight="1" thickBot="1">
      <c r="A16" s="546" t="s">
        <v>286</v>
      </c>
      <c r="B16" s="644" t="s">
        <v>287</v>
      </c>
      <c r="C16" s="645"/>
      <c r="D16" s="645"/>
      <c r="E16" s="646"/>
      <c r="H16" s="540"/>
      <c r="I16" s="540"/>
      <c r="J16" s="540"/>
      <c r="K16" s="541"/>
      <c r="L16" s="541"/>
      <c r="M16" s="541"/>
    </row>
    <row r="17" spans="1:6" ht="13.5" customHeight="1" thickBot="1">
      <c r="A17" s="546" t="s">
        <v>288</v>
      </c>
      <c r="B17" s="551" t="s">
        <v>289</v>
      </c>
      <c r="C17" s="549"/>
      <c r="D17" s="549"/>
      <c r="E17" s="550"/>
    </row>
    <row r="18" spans="1:6" ht="13.5" customHeight="1" thickBot="1">
      <c r="A18" s="546" t="s">
        <v>290</v>
      </c>
      <c r="B18" s="652" t="s">
        <v>291</v>
      </c>
      <c r="C18" s="653"/>
      <c r="D18" s="653"/>
      <c r="E18" s="654"/>
    </row>
    <row r="19" spans="1:6" ht="13.5" customHeight="1" thickBot="1">
      <c r="A19" s="546" t="s">
        <v>292</v>
      </c>
      <c r="B19" s="638" t="s">
        <v>293</v>
      </c>
      <c r="C19" s="639"/>
      <c r="D19" s="639"/>
      <c r="E19" s="640"/>
    </row>
    <row r="20" spans="1:6" ht="13.5" customHeight="1" thickBot="1">
      <c r="A20" s="546" t="s">
        <v>86</v>
      </c>
      <c r="B20" s="644" t="s">
        <v>294</v>
      </c>
      <c r="C20" s="645"/>
      <c r="D20" s="645"/>
      <c r="E20" s="646"/>
    </row>
    <row r="21" spans="1:6" ht="13.5" customHeight="1" thickBot="1">
      <c r="A21" s="546" t="s">
        <v>101</v>
      </c>
      <c r="B21" s="647" t="s">
        <v>295</v>
      </c>
      <c r="C21" s="648"/>
      <c r="D21" s="648"/>
      <c r="E21" s="649"/>
    </row>
    <row r="22" spans="1:6">
      <c r="A22" s="35"/>
    </row>
    <row r="23" spans="1:6" ht="12.75" customHeight="1">
      <c r="A23" s="637" t="s">
        <v>296</v>
      </c>
      <c r="B23" s="637"/>
      <c r="C23" s="637"/>
      <c r="D23" s="637"/>
      <c r="E23" s="637"/>
      <c r="F23" s="637"/>
    </row>
    <row r="24" spans="1:6">
      <c r="A24" s="637"/>
      <c r="B24" s="637"/>
      <c r="C24" s="637"/>
      <c r="D24" s="637"/>
      <c r="E24" s="637"/>
      <c r="F24" s="637"/>
    </row>
    <row r="25" spans="1:6">
      <c r="A25" s="542"/>
    </row>
    <row r="26" spans="1:6" ht="18">
      <c r="A26" s="32" t="s">
        <v>297</v>
      </c>
    </row>
    <row r="27" spans="1:6">
      <c r="A27" s="35" t="s">
        <v>298</v>
      </c>
    </row>
    <row r="28" spans="1:6" ht="13.5" thickBot="1">
      <c r="A28" s="35"/>
    </row>
    <row r="29" spans="1:6" ht="26.25" thickBot="1">
      <c r="A29" s="523" t="s">
        <v>299</v>
      </c>
      <c r="B29" s="655" t="s">
        <v>258</v>
      </c>
      <c r="C29" s="656"/>
      <c r="D29" s="657"/>
    </row>
    <row r="30" spans="1:6" ht="13.5" customHeight="1" thickBot="1">
      <c r="A30" s="547">
        <v>400</v>
      </c>
      <c r="B30" s="644" t="s">
        <v>730</v>
      </c>
      <c r="C30" s="645"/>
      <c r="D30" s="646"/>
    </row>
    <row r="31" spans="1:6" ht="13.5" customHeight="1" thickBot="1">
      <c r="A31" s="527">
        <v>255</v>
      </c>
      <c r="B31" s="644" t="s">
        <v>304</v>
      </c>
      <c r="C31" s="645"/>
      <c r="D31" s="646"/>
    </row>
    <row r="32" spans="1:6" ht="13.5" thickBot="1">
      <c r="A32" s="527">
        <v>210</v>
      </c>
      <c r="B32" s="644" t="s">
        <v>726</v>
      </c>
      <c r="C32" s="645"/>
      <c r="D32" s="646"/>
    </row>
    <row r="33" spans="1:7" ht="13.5" customHeight="1" thickBot="1">
      <c r="A33" s="527">
        <v>200</v>
      </c>
      <c r="B33" s="644" t="s">
        <v>727</v>
      </c>
      <c r="C33" s="645"/>
      <c r="D33" s="646"/>
    </row>
    <row r="34" spans="1:7" ht="13.5" customHeight="1" thickBot="1">
      <c r="A34" s="527">
        <v>126</v>
      </c>
      <c r="B34" s="644" t="s">
        <v>729</v>
      </c>
      <c r="C34" s="645"/>
      <c r="D34" s="646"/>
    </row>
    <row r="35" spans="1:7" ht="13.5" customHeight="1" thickBot="1">
      <c r="A35" s="527">
        <v>130</v>
      </c>
      <c r="B35" s="644" t="s">
        <v>305</v>
      </c>
      <c r="C35" s="645"/>
      <c r="D35" s="646"/>
    </row>
    <row r="36" spans="1:7" ht="13.5" customHeight="1" thickBot="1">
      <c r="A36" s="527">
        <v>104</v>
      </c>
      <c r="B36" s="644" t="s">
        <v>300</v>
      </c>
      <c r="C36" s="645"/>
      <c r="D36" s="646"/>
    </row>
    <row r="37" spans="1:7" ht="13.5" customHeight="1" thickBot="1">
      <c r="A37" s="527">
        <v>52</v>
      </c>
      <c r="B37" s="644" t="s">
        <v>236</v>
      </c>
      <c r="C37" s="645"/>
      <c r="D37" s="646"/>
    </row>
    <row r="38" spans="1:7" ht="13.5" customHeight="1" thickBot="1">
      <c r="A38" s="527">
        <v>42</v>
      </c>
      <c r="B38" s="573" t="s">
        <v>728</v>
      </c>
      <c r="C38" s="574"/>
      <c r="D38" s="575"/>
    </row>
    <row r="39" spans="1:7" ht="13.5" customHeight="1" thickBot="1">
      <c r="A39" s="527">
        <v>12</v>
      </c>
      <c r="B39" s="644" t="s">
        <v>306</v>
      </c>
      <c r="C39" s="645"/>
      <c r="D39" s="646"/>
    </row>
    <row r="40" spans="1:7" ht="13.5" customHeight="1" thickBot="1">
      <c r="A40" s="527">
        <v>4</v>
      </c>
      <c r="B40" s="644" t="s">
        <v>301</v>
      </c>
      <c r="C40" s="645"/>
      <c r="D40" s="646"/>
    </row>
    <row r="41" spans="1:7">
      <c r="A41" s="543"/>
      <c r="B41" s="543"/>
    </row>
    <row r="42" spans="1:7" ht="18">
      <c r="A42" s="32" t="s">
        <v>302</v>
      </c>
    </row>
    <row r="43" spans="1:7" ht="12.75" customHeight="1">
      <c r="A43" s="637" t="s">
        <v>303</v>
      </c>
      <c r="B43" s="637"/>
      <c r="C43" s="637"/>
      <c r="D43" s="637"/>
      <c r="E43" s="637"/>
      <c r="F43" s="637"/>
    </row>
    <row r="44" spans="1:7">
      <c r="A44" s="637"/>
      <c r="B44" s="637"/>
      <c r="C44" s="637"/>
      <c r="D44" s="637"/>
      <c r="E44" s="637"/>
      <c r="F44" s="637"/>
    </row>
    <row r="45" spans="1:7">
      <c r="A45" s="637"/>
      <c r="B45" s="637"/>
      <c r="C45" s="637"/>
      <c r="D45" s="637"/>
      <c r="E45" s="637"/>
      <c r="F45" s="637"/>
    </row>
    <row r="46" spans="1:7">
      <c r="A46" s="637"/>
      <c r="B46" s="637"/>
      <c r="C46" s="637"/>
      <c r="D46" s="637"/>
      <c r="E46" s="637"/>
      <c r="F46" s="637"/>
    </row>
    <row r="47" spans="1:7" ht="39" customHeight="1">
      <c r="A47" s="637"/>
      <c r="B47" s="637"/>
      <c r="C47" s="637"/>
      <c r="D47" s="637"/>
      <c r="E47" s="637"/>
      <c r="F47" s="637"/>
    </row>
    <row r="48" spans="1:7">
      <c r="F48" s="542"/>
      <c r="G48" s="542"/>
    </row>
    <row r="50" spans="6:7">
      <c r="F50" s="636"/>
      <c r="G50" s="636"/>
    </row>
    <row r="51" spans="6:7">
      <c r="F51" s="636"/>
      <c r="G51" s="636"/>
    </row>
    <row r="52" spans="6:7">
      <c r="F52" s="636"/>
      <c r="G52" s="636"/>
    </row>
    <row r="53" spans="6:7">
      <c r="F53" s="636"/>
      <c r="G53" s="636"/>
    </row>
    <row r="54" spans="6:7">
      <c r="F54" s="636"/>
      <c r="G54" s="636"/>
    </row>
    <row r="60" spans="6:7">
      <c r="F60" s="544"/>
      <c r="G60" s="545"/>
    </row>
  </sheetData>
  <mergeCells count="30">
    <mergeCell ref="B18:E18"/>
    <mergeCell ref="B29:D29"/>
    <mergeCell ref="B36:D36"/>
    <mergeCell ref="A23:F24"/>
    <mergeCell ref="A43:F47"/>
    <mergeCell ref="B31:D31"/>
    <mergeCell ref="B30:D30"/>
    <mergeCell ref="B34:D34"/>
    <mergeCell ref="B35:D35"/>
    <mergeCell ref="B37:D37"/>
    <mergeCell ref="B39:D39"/>
    <mergeCell ref="B40:D40"/>
    <mergeCell ref="B32:D32"/>
    <mergeCell ref="B33:D33"/>
    <mergeCell ref="F50:G54"/>
    <mergeCell ref="A4:F4"/>
    <mergeCell ref="A5:F5"/>
    <mergeCell ref="B19:E19"/>
    <mergeCell ref="B7:E7"/>
    <mergeCell ref="B20:E20"/>
    <mergeCell ref="B21:E21"/>
    <mergeCell ref="B16:E16"/>
    <mergeCell ref="B15:E15"/>
    <mergeCell ref="B14:E14"/>
    <mergeCell ref="B13:E13"/>
    <mergeCell ref="B12:E12"/>
    <mergeCell ref="B11:E11"/>
    <mergeCell ref="B10:E10"/>
    <mergeCell ref="B9:E9"/>
    <mergeCell ref="B8:E8"/>
  </mergeCells>
  <pageMargins left="0.70866141732283472" right="0.70866141732283472" top="0.74803149606299213" bottom="0.74803149606299213" header="0.31496062992125984" footer="0.31496062992125984"/>
  <pageSetup paperSize="9" scale="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6"/>
  <sheetViews>
    <sheetView workbookViewId="0">
      <pane ySplit="9" topLeftCell="A10" activePane="bottomLeft" state="frozen"/>
      <selection sqref="A1:XFD1048576"/>
      <selection pane="bottomLeft" activeCell="D12" sqref="D12"/>
    </sheetView>
  </sheetViews>
  <sheetFormatPr defaultColWidth="10.7109375" defaultRowHeight="12.75"/>
  <cols>
    <col min="1" max="1" width="24.28515625" style="234" customWidth="1"/>
    <col min="2" max="9" width="12.28515625" style="70" customWidth="1"/>
    <col min="10" max="10" width="1.7109375" style="70" customWidth="1"/>
    <col min="11" max="11" width="35.140625" style="176" bestFit="1" customWidth="1"/>
    <col min="12" max="12" width="10" style="176" customWidth="1"/>
    <col min="13" max="13" width="14.7109375" style="70" customWidth="1"/>
    <col min="14" max="16384" width="10.7109375" style="70"/>
  </cols>
  <sheetData>
    <row r="1" spans="1:13">
      <c r="A1" s="175" t="s">
        <v>18</v>
      </c>
    </row>
    <row r="2" spans="1:13">
      <c r="A2" s="175"/>
    </row>
    <row r="3" spans="1:13" ht="15">
      <c r="A3" s="137" t="s">
        <v>108</v>
      </c>
      <c r="B3" s="140" t="str">
        <f>'1-Contractblad perceel 1 SMO'!B3</f>
        <v>CSG het Noordik</v>
      </c>
      <c r="C3" s="177"/>
      <c r="D3" s="178"/>
      <c r="E3" s="178"/>
      <c r="F3" s="178"/>
      <c r="G3" s="178"/>
      <c r="H3" s="178"/>
      <c r="I3" s="178"/>
      <c r="J3" s="178"/>
      <c r="M3" s="179"/>
    </row>
    <row r="4" spans="1:13" s="184" customFormat="1" ht="15">
      <c r="A4" s="137" t="s">
        <v>53</v>
      </c>
      <c r="B4" s="140" t="s">
        <v>19</v>
      </c>
      <c r="C4" s="180"/>
      <c r="D4" s="181"/>
      <c r="E4" s="182"/>
      <c r="F4" s="181"/>
      <c r="G4" s="181"/>
      <c r="H4" s="181"/>
      <c r="I4" s="181"/>
      <c r="J4" s="181"/>
      <c r="K4" s="183"/>
      <c r="L4" s="183"/>
      <c r="M4" s="48"/>
    </row>
    <row r="5" spans="1:13" ht="15">
      <c r="A5" s="137" t="s">
        <v>260</v>
      </c>
      <c r="B5" s="140" t="str">
        <f>'1-Contractblad perceel 1 SMO'!B5</f>
        <v>Diversen</v>
      </c>
      <c r="C5" s="178"/>
      <c r="D5" s="178"/>
      <c r="E5" s="178"/>
      <c r="F5" s="178"/>
      <c r="G5" s="178"/>
      <c r="H5" s="178"/>
      <c r="I5" s="178"/>
      <c r="J5" s="178"/>
      <c r="K5" s="185"/>
      <c r="L5" s="185"/>
      <c r="M5" s="179"/>
    </row>
    <row r="6" spans="1:13" ht="15">
      <c r="A6" s="137" t="s">
        <v>137</v>
      </c>
      <c r="B6" s="140" t="str">
        <f>'1-Contractblad perceel 1 SMO'!B6</f>
        <v>CSGN-EA-RT-2014</v>
      </c>
      <c r="C6" s="178"/>
      <c r="D6" s="178"/>
      <c r="E6" s="178"/>
      <c r="F6" s="178"/>
      <c r="G6" s="178"/>
      <c r="H6" s="178"/>
      <c r="I6" s="178"/>
      <c r="J6" s="178"/>
      <c r="K6" s="185"/>
      <c r="L6" s="185"/>
      <c r="M6" s="179"/>
    </row>
    <row r="7" spans="1:13" ht="15">
      <c r="A7" s="137" t="s">
        <v>198</v>
      </c>
      <c r="B7" s="140">
        <f>'1-Contractblad perceel 1 SMO'!B7</f>
        <v>0</v>
      </c>
      <c r="C7" s="186"/>
      <c r="D7" s="186" t="s">
        <v>186</v>
      </c>
      <c r="E7" s="187"/>
      <c r="F7" s="187"/>
      <c r="G7" s="187"/>
      <c r="H7" s="187"/>
      <c r="I7" s="187"/>
      <c r="J7" s="187"/>
      <c r="K7" s="185"/>
      <c r="L7" s="185"/>
    </row>
    <row r="8" spans="1:13" ht="15">
      <c r="A8" s="137" t="s">
        <v>43</v>
      </c>
      <c r="B8" s="188">
        <f>'1-Contractblad perceel 1 SMO'!B8</f>
        <v>2015</v>
      </c>
      <c r="C8" s="186"/>
      <c r="D8" s="186"/>
      <c r="E8" s="187"/>
      <c r="F8" s="187"/>
      <c r="G8" s="187"/>
      <c r="H8" s="187"/>
      <c r="I8" s="187"/>
      <c r="J8" s="187"/>
      <c r="K8" s="185"/>
      <c r="L8" s="185"/>
    </row>
    <row r="9" spans="1:13" ht="15">
      <c r="A9" s="137"/>
      <c r="B9" s="140"/>
      <c r="C9" s="186"/>
      <c r="D9" s="186"/>
      <c r="E9" s="187"/>
      <c r="F9" s="187"/>
      <c r="G9" s="187"/>
      <c r="H9" s="187"/>
      <c r="I9" s="187"/>
      <c r="J9" s="187"/>
      <c r="K9" s="185"/>
      <c r="L9" s="185"/>
    </row>
    <row r="10" spans="1:13" s="68" customFormat="1" ht="17.100000000000001" customHeight="1">
      <c r="A10" s="667" t="s">
        <v>119</v>
      </c>
      <c r="B10" s="668"/>
      <c r="C10" s="189"/>
      <c r="D10" s="189"/>
      <c r="E10" s="190"/>
      <c r="F10" s="190"/>
      <c r="G10" s="190"/>
      <c r="H10" s="190"/>
      <c r="I10" s="191" t="s">
        <v>75</v>
      </c>
      <c r="J10" s="192"/>
      <c r="K10" s="193" t="str">
        <f>A10</f>
        <v>Medewerker lngrp. 1 (jeugd)</v>
      </c>
      <c r="L10" s="194" t="s">
        <v>11</v>
      </c>
    </row>
    <row r="11" spans="1:13">
      <c r="A11" s="195" t="s">
        <v>239</v>
      </c>
      <c r="B11" s="196" t="s">
        <v>240</v>
      </c>
      <c r="C11" s="196" t="s">
        <v>241</v>
      </c>
      <c r="D11" s="196" t="s">
        <v>242</v>
      </c>
      <c r="E11" s="197" t="s">
        <v>243</v>
      </c>
      <c r="F11" s="197" t="s">
        <v>244</v>
      </c>
      <c r="G11" s="197" t="s">
        <v>245</v>
      </c>
      <c r="H11" s="197" t="s">
        <v>148</v>
      </c>
      <c r="I11" s="197" t="s">
        <v>160</v>
      </c>
      <c r="J11" s="198"/>
      <c r="K11" s="199" t="s">
        <v>12</v>
      </c>
      <c r="L11" s="200">
        <f>'5-Opbouw uurtarieven'!E27</f>
        <v>7.0888694399999999</v>
      </c>
    </row>
    <row r="12" spans="1:13">
      <c r="A12" s="201" t="str">
        <f>A$103</f>
        <v>00.00 - 06.00</v>
      </c>
      <c r="B12" s="202">
        <f t="shared" ref="B12:I12" si="0">SUM((1+B$103)*$L11)+$L12</f>
        <v>10.63330416</v>
      </c>
      <c r="C12" s="202">
        <f t="shared" si="0"/>
        <v>9.2155302720000005</v>
      </c>
      <c r="D12" s="202">
        <f t="shared" si="0"/>
        <v>9.2155302720000005</v>
      </c>
      <c r="E12" s="202">
        <f t="shared" si="0"/>
        <v>9.2155302720000005</v>
      </c>
      <c r="F12" s="202">
        <f t="shared" si="0"/>
        <v>9.2155302720000005</v>
      </c>
      <c r="G12" s="202">
        <f t="shared" si="0"/>
        <v>10.63330416</v>
      </c>
      <c r="H12" s="202">
        <f t="shared" si="0"/>
        <v>10.63330416</v>
      </c>
      <c r="I12" s="202">
        <f t="shared" si="0"/>
        <v>17.722173599999998</v>
      </c>
      <c r="J12" s="198"/>
      <c r="K12" s="199" t="s">
        <v>13</v>
      </c>
      <c r="L12" s="200">
        <f>L13-L11</f>
        <v>0</v>
      </c>
    </row>
    <row r="13" spans="1:13">
      <c r="A13" s="201" t="str">
        <f>A$104</f>
        <v>06.00 - 21.30</v>
      </c>
      <c r="B13" s="202">
        <f t="shared" ref="B13:I13" si="1">SUM((1+B$104)*$L11)+$L12</f>
        <v>7.0888694399999999</v>
      </c>
      <c r="C13" s="202">
        <f t="shared" si="1"/>
        <v>7.0888694399999999</v>
      </c>
      <c r="D13" s="202">
        <f t="shared" si="1"/>
        <v>7.0888694399999999</v>
      </c>
      <c r="E13" s="202">
        <f t="shared" si="1"/>
        <v>7.0888694399999999</v>
      </c>
      <c r="F13" s="202">
        <f t="shared" si="1"/>
        <v>7.0888694399999999</v>
      </c>
      <c r="G13" s="202">
        <f t="shared" si="1"/>
        <v>10.63330416</v>
      </c>
      <c r="H13" s="202">
        <f t="shared" si="1"/>
        <v>10.63330416</v>
      </c>
      <c r="I13" s="202">
        <f t="shared" si="1"/>
        <v>17.722173599999998</v>
      </c>
      <c r="J13" s="198"/>
      <c r="K13" s="199" t="s">
        <v>14</v>
      </c>
      <c r="L13" s="200">
        <f>'5-Opbouw uurtarieven'!E48</f>
        <v>7.0888694399999999</v>
      </c>
    </row>
    <row r="14" spans="1:13">
      <c r="A14" s="201" t="str">
        <f>A$105</f>
        <v>21.30 - 24.00</v>
      </c>
      <c r="B14" s="202">
        <f t="shared" ref="B14:I14" si="2">SUM((1+B$105)*$L11)+$L12</f>
        <v>9.2155302720000005</v>
      </c>
      <c r="C14" s="202">
        <f t="shared" si="2"/>
        <v>9.2155302720000005</v>
      </c>
      <c r="D14" s="202">
        <f t="shared" si="2"/>
        <v>9.2155302720000005</v>
      </c>
      <c r="E14" s="202">
        <f t="shared" si="2"/>
        <v>9.2155302720000005</v>
      </c>
      <c r="F14" s="202">
        <f t="shared" si="2"/>
        <v>10.63330416</v>
      </c>
      <c r="G14" s="202">
        <f t="shared" si="2"/>
        <v>10.63330416</v>
      </c>
      <c r="H14" s="202">
        <f t="shared" si="2"/>
        <v>10.63330416</v>
      </c>
      <c r="I14" s="202">
        <f t="shared" si="2"/>
        <v>17.722173599999998</v>
      </c>
      <c r="J14" s="198"/>
      <c r="K14" s="203"/>
      <c r="L14" s="204"/>
    </row>
    <row r="15" spans="1:13">
      <c r="A15" s="205"/>
      <c r="B15" s="206"/>
      <c r="C15" s="206"/>
      <c r="D15" s="206"/>
      <c r="E15" s="206"/>
      <c r="F15" s="206"/>
      <c r="G15" s="206"/>
      <c r="H15" s="206"/>
      <c r="I15" s="206"/>
      <c r="J15" s="198"/>
      <c r="K15" s="207"/>
      <c r="L15" s="207"/>
    </row>
    <row r="16" spans="1:13">
      <c r="A16" s="208"/>
      <c r="B16" s="192"/>
      <c r="C16" s="192"/>
      <c r="D16" s="192"/>
      <c r="E16" s="198"/>
      <c r="F16" s="198"/>
      <c r="G16" s="198"/>
      <c r="H16" s="198"/>
      <c r="I16" s="198"/>
      <c r="J16" s="198"/>
    </row>
    <row r="17" spans="1:12">
      <c r="A17" s="209"/>
      <c r="B17" s="186"/>
      <c r="C17" s="186"/>
      <c r="D17" s="186"/>
      <c r="E17" s="187"/>
      <c r="F17" s="187"/>
      <c r="G17" s="187"/>
      <c r="H17" s="187"/>
      <c r="I17" s="187"/>
      <c r="J17" s="187"/>
      <c r="K17" s="207"/>
      <c r="L17" s="207"/>
    </row>
    <row r="18" spans="1:12" s="68" customFormat="1" ht="17.100000000000001" customHeight="1">
      <c r="A18" s="667" t="s">
        <v>83</v>
      </c>
      <c r="B18" s="670"/>
      <c r="C18" s="670"/>
      <c r="D18" s="670"/>
      <c r="E18" s="190"/>
      <c r="F18" s="190"/>
      <c r="G18" s="190"/>
      <c r="H18" s="190"/>
      <c r="I18" s="191" t="s">
        <v>75</v>
      </c>
      <c r="J18" s="192"/>
      <c r="K18" s="193" t="str">
        <f>A18</f>
        <v>Medewerker lngrp. 1 (tot 1 jaar inleerperiode)</v>
      </c>
      <c r="L18" s="194" t="s">
        <v>11</v>
      </c>
    </row>
    <row r="19" spans="1:12">
      <c r="A19" s="195" t="s">
        <v>239</v>
      </c>
      <c r="B19" s="196" t="s">
        <v>240</v>
      </c>
      <c r="C19" s="196" t="s">
        <v>241</v>
      </c>
      <c r="D19" s="196" t="s">
        <v>242</v>
      </c>
      <c r="E19" s="197" t="s">
        <v>243</v>
      </c>
      <c r="F19" s="197" t="s">
        <v>244</v>
      </c>
      <c r="G19" s="197" t="s">
        <v>245</v>
      </c>
      <c r="H19" s="197" t="s">
        <v>148</v>
      </c>
      <c r="I19" s="197" t="s">
        <v>160</v>
      </c>
      <c r="J19" s="198"/>
      <c r="K19" s="199" t="s">
        <v>12</v>
      </c>
      <c r="L19" s="200">
        <f>'5-Opbouw uurtarieven'!H27</f>
        <v>9.550872</v>
      </c>
    </row>
    <row r="20" spans="1:12">
      <c r="A20" s="201" t="str">
        <f>A$103</f>
        <v>00.00 - 06.00</v>
      </c>
      <c r="B20" s="202">
        <f t="shared" ref="B20:I20" si="3">SUM((1+B$103)*$L19)+$L20</f>
        <v>14.326308000000001</v>
      </c>
      <c r="C20" s="202">
        <f t="shared" si="3"/>
        <v>12.4161336</v>
      </c>
      <c r="D20" s="202">
        <f t="shared" si="3"/>
        <v>12.4161336</v>
      </c>
      <c r="E20" s="202">
        <f t="shared" si="3"/>
        <v>12.4161336</v>
      </c>
      <c r="F20" s="202">
        <f t="shared" si="3"/>
        <v>12.4161336</v>
      </c>
      <c r="G20" s="202">
        <f t="shared" si="3"/>
        <v>14.326308000000001</v>
      </c>
      <c r="H20" s="202">
        <f t="shared" si="3"/>
        <v>14.326308000000001</v>
      </c>
      <c r="I20" s="202">
        <f t="shared" si="3"/>
        <v>23.877179999999999</v>
      </c>
      <c r="J20" s="198"/>
      <c r="K20" s="199" t="s">
        <v>13</v>
      </c>
      <c r="L20" s="200">
        <f>L21-L19</f>
        <v>0</v>
      </c>
    </row>
    <row r="21" spans="1:12">
      <c r="A21" s="201" t="str">
        <f>A$104</f>
        <v>06.00 - 21.30</v>
      </c>
      <c r="B21" s="202">
        <f t="shared" ref="B21:I21" si="4">SUM((1+B$104)*$L19)+$L20</f>
        <v>9.550872</v>
      </c>
      <c r="C21" s="202">
        <f t="shared" si="4"/>
        <v>9.550872</v>
      </c>
      <c r="D21" s="202">
        <f t="shared" si="4"/>
        <v>9.550872</v>
      </c>
      <c r="E21" s="202">
        <f t="shared" si="4"/>
        <v>9.550872</v>
      </c>
      <c r="F21" s="202">
        <f t="shared" si="4"/>
        <v>9.550872</v>
      </c>
      <c r="G21" s="202">
        <f t="shared" si="4"/>
        <v>14.326308000000001</v>
      </c>
      <c r="H21" s="202">
        <f t="shared" si="4"/>
        <v>14.326308000000001</v>
      </c>
      <c r="I21" s="202">
        <f t="shared" si="4"/>
        <v>23.877179999999999</v>
      </c>
      <c r="J21" s="198"/>
      <c r="K21" s="199" t="s">
        <v>14</v>
      </c>
      <c r="L21" s="200">
        <f>'5-Opbouw uurtarieven'!H48</f>
        <v>9.550872</v>
      </c>
    </row>
    <row r="22" spans="1:12">
      <c r="A22" s="201" t="str">
        <f>A$105</f>
        <v>21.30 - 24.00</v>
      </c>
      <c r="B22" s="202">
        <f t="shared" ref="B22:I22" si="5">SUM((1+B$105)*$L19)+$L20</f>
        <v>12.4161336</v>
      </c>
      <c r="C22" s="202">
        <f t="shared" si="5"/>
        <v>12.4161336</v>
      </c>
      <c r="D22" s="202">
        <f t="shared" si="5"/>
        <v>12.4161336</v>
      </c>
      <c r="E22" s="202">
        <f t="shared" si="5"/>
        <v>12.4161336</v>
      </c>
      <c r="F22" s="202">
        <f t="shared" si="5"/>
        <v>14.326308000000001</v>
      </c>
      <c r="G22" s="202">
        <f t="shared" si="5"/>
        <v>14.326308000000001</v>
      </c>
      <c r="H22" s="202">
        <f t="shared" si="5"/>
        <v>14.326308000000001</v>
      </c>
      <c r="I22" s="202">
        <f t="shared" si="5"/>
        <v>23.877179999999999</v>
      </c>
      <c r="J22" s="198"/>
      <c r="K22" s="203"/>
      <c r="L22" s="204"/>
    </row>
    <row r="23" spans="1:12">
      <c r="A23" s="205"/>
      <c r="B23" s="206"/>
      <c r="C23" s="206"/>
      <c r="D23" s="206"/>
      <c r="E23" s="206"/>
      <c r="F23" s="206"/>
      <c r="G23" s="206"/>
      <c r="H23" s="206"/>
      <c r="I23" s="206"/>
      <c r="J23" s="198"/>
      <c r="K23" s="207"/>
      <c r="L23" s="207"/>
    </row>
    <row r="24" spans="1:12">
      <c r="A24" s="208"/>
      <c r="B24" s="192"/>
      <c r="C24" s="192"/>
      <c r="D24" s="192"/>
      <c r="E24" s="198"/>
      <c r="F24" s="198"/>
      <c r="G24" s="198"/>
      <c r="H24" s="198"/>
      <c r="I24" s="198"/>
      <c r="J24" s="198"/>
      <c r="K24" s="210"/>
      <c r="L24" s="210"/>
    </row>
    <row r="25" spans="1:12">
      <c r="A25" s="208"/>
      <c r="B25" s="192"/>
      <c r="C25" s="192"/>
      <c r="D25" s="192"/>
      <c r="E25" s="198"/>
      <c r="F25" s="198"/>
      <c r="G25" s="198"/>
      <c r="H25" s="198"/>
      <c r="I25" s="198"/>
      <c r="J25" s="198"/>
    </row>
    <row r="26" spans="1:12" ht="17.100000000000001" customHeight="1">
      <c r="A26" s="667" t="s">
        <v>51</v>
      </c>
      <c r="B26" s="669"/>
      <c r="C26" s="211"/>
      <c r="D26" s="211"/>
      <c r="E26" s="212"/>
      <c r="F26" s="212"/>
      <c r="G26" s="212"/>
      <c r="H26" s="212"/>
      <c r="I26" s="191" t="s">
        <v>75</v>
      </c>
      <c r="J26" s="198"/>
      <c r="K26" s="193" t="str">
        <f>A26</f>
        <v>Medewerker lngrp. 1 (1 tot 8 jaar)</v>
      </c>
      <c r="L26" s="194" t="s">
        <v>11</v>
      </c>
    </row>
    <row r="27" spans="1:12">
      <c r="A27" s="195" t="s">
        <v>239</v>
      </c>
      <c r="B27" s="196" t="s">
        <v>240</v>
      </c>
      <c r="C27" s="196" t="s">
        <v>241</v>
      </c>
      <c r="D27" s="196" t="s">
        <v>242</v>
      </c>
      <c r="E27" s="197" t="s">
        <v>243</v>
      </c>
      <c r="F27" s="197" t="s">
        <v>244</v>
      </c>
      <c r="G27" s="197" t="s">
        <v>245</v>
      </c>
      <c r="H27" s="197" t="s">
        <v>148</v>
      </c>
      <c r="I27" s="197" t="s">
        <v>160</v>
      </c>
      <c r="J27" s="198"/>
      <c r="K27" s="199" t="s">
        <v>12</v>
      </c>
      <c r="L27" s="200">
        <f>'5-Opbouw uurtarieven'!K27</f>
        <v>10.90921824</v>
      </c>
    </row>
    <row r="28" spans="1:12">
      <c r="A28" s="201" t="str">
        <f>A$103</f>
        <v>00.00 - 06.00</v>
      </c>
      <c r="B28" s="202">
        <f t="shared" ref="B28:I28" si="6">SUM((1+B$103)*$L27)+$L28</f>
        <v>16.363827359999998</v>
      </c>
      <c r="C28" s="202">
        <f t="shared" si="6"/>
        <v>14.181983711999999</v>
      </c>
      <c r="D28" s="202">
        <f t="shared" si="6"/>
        <v>14.181983711999999</v>
      </c>
      <c r="E28" s="202">
        <f t="shared" si="6"/>
        <v>14.181983711999999</v>
      </c>
      <c r="F28" s="202">
        <f t="shared" si="6"/>
        <v>14.181983711999999</v>
      </c>
      <c r="G28" s="202">
        <f t="shared" si="6"/>
        <v>16.363827359999998</v>
      </c>
      <c r="H28" s="202">
        <f t="shared" si="6"/>
        <v>16.363827359999998</v>
      </c>
      <c r="I28" s="202">
        <f t="shared" si="6"/>
        <v>27.2730456</v>
      </c>
      <c r="J28" s="198"/>
      <c r="K28" s="199" t="s">
        <v>13</v>
      </c>
      <c r="L28" s="200">
        <f>L29-L27</f>
        <v>0</v>
      </c>
    </row>
    <row r="29" spans="1:12">
      <c r="A29" s="201" t="str">
        <f>A$104</f>
        <v>06.00 - 21.30</v>
      </c>
      <c r="B29" s="202">
        <f t="shared" ref="B29:I29" si="7">SUM((1+B$104)*$L27)+$L28</f>
        <v>10.90921824</v>
      </c>
      <c r="C29" s="202">
        <f t="shared" si="7"/>
        <v>10.90921824</v>
      </c>
      <c r="D29" s="202">
        <f t="shared" si="7"/>
        <v>10.90921824</v>
      </c>
      <c r="E29" s="202">
        <f t="shared" si="7"/>
        <v>10.90921824</v>
      </c>
      <c r="F29" s="202">
        <f t="shared" si="7"/>
        <v>10.90921824</v>
      </c>
      <c r="G29" s="202">
        <f t="shared" si="7"/>
        <v>16.363827359999998</v>
      </c>
      <c r="H29" s="202">
        <f t="shared" si="7"/>
        <v>16.363827359999998</v>
      </c>
      <c r="I29" s="202">
        <f t="shared" si="7"/>
        <v>27.2730456</v>
      </c>
      <c r="J29" s="198"/>
      <c r="K29" s="199" t="s">
        <v>14</v>
      </c>
      <c r="L29" s="200">
        <f>'5-Opbouw uurtarieven'!K48</f>
        <v>10.90921824</v>
      </c>
    </row>
    <row r="30" spans="1:12">
      <c r="A30" s="201" t="str">
        <f>A$105</f>
        <v>21.30 - 24.00</v>
      </c>
      <c r="B30" s="202">
        <f t="shared" ref="B30:I30" si="8">SUM((1+B$105)*$L27)+$L28</f>
        <v>14.181983711999999</v>
      </c>
      <c r="C30" s="202">
        <f t="shared" si="8"/>
        <v>14.181983711999999</v>
      </c>
      <c r="D30" s="202">
        <f t="shared" si="8"/>
        <v>14.181983711999999</v>
      </c>
      <c r="E30" s="202">
        <f t="shared" si="8"/>
        <v>14.181983711999999</v>
      </c>
      <c r="F30" s="202">
        <f t="shared" si="8"/>
        <v>16.363827359999998</v>
      </c>
      <c r="G30" s="202">
        <f t="shared" si="8"/>
        <v>16.363827359999998</v>
      </c>
      <c r="H30" s="202">
        <f t="shared" si="8"/>
        <v>16.363827359999998</v>
      </c>
      <c r="I30" s="202">
        <f t="shared" si="8"/>
        <v>27.2730456</v>
      </c>
      <c r="J30" s="198"/>
      <c r="K30" s="203"/>
      <c r="L30" s="204"/>
    </row>
    <row r="31" spans="1:12">
      <c r="A31" s="205"/>
      <c r="B31" s="206"/>
      <c r="C31" s="206"/>
      <c r="D31" s="206"/>
      <c r="E31" s="206"/>
      <c r="F31" s="206"/>
      <c r="G31" s="206"/>
      <c r="H31" s="213"/>
      <c r="I31" s="213"/>
      <c r="J31" s="198"/>
      <c r="K31" s="207"/>
      <c r="L31" s="207"/>
    </row>
    <row r="32" spans="1:12">
      <c r="A32" s="208"/>
      <c r="B32" s="192"/>
      <c r="C32" s="192"/>
      <c r="D32" s="192"/>
      <c r="E32" s="198"/>
      <c r="F32" s="198"/>
      <c r="G32" s="198"/>
      <c r="H32" s="198"/>
      <c r="I32" s="198"/>
      <c r="J32" s="198"/>
      <c r="K32" s="207"/>
      <c r="L32" s="207"/>
    </row>
    <row r="33" spans="1:12">
      <c r="A33" s="208"/>
      <c r="B33" s="192"/>
      <c r="C33" s="192"/>
      <c r="D33" s="192"/>
      <c r="E33" s="198"/>
      <c r="F33" s="198"/>
      <c r="G33" s="198"/>
      <c r="H33" s="198"/>
      <c r="I33" s="198"/>
      <c r="J33" s="187"/>
      <c r="K33" s="207"/>
      <c r="L33" s="207"/>
    </row>
    <row r="34" spans="1:12" ht="17.100000000000001" customHeight="1">
      <c r="A34" s="667" t="s">
        <v>40</v>
      </c>
      <c r="B34" s="670"/>
      <c r="C34" s="670"/>
      <c r="D34" s="670"/>
      <c r="E34" s="190"/>
      <c r="F34" s="190"/>
      <c r="G34" s="190"/>
      <c r="H34" s="190"/>
      <c r="I34" s="191" t="s">
        <v>75</v>
      </c>
      <c r="J34" s="192"/>
      <c r="K34" s="193" t="str">
        <f>A34</f>
        <v>Medewerker lngrp. 1 (8 jaar en langer)</v>
      </c>
      <c r="L34" s="193" t="s">
        <v>11</v>
      </c>
    </row>
    <row r="35" spans="1:12">
      <c r="A35" s="195" t="s">
        <v>239</v>
      </c>
      <c r="B35" s="196" t="s">
        <v>240</v>
      </c>
      <c r="C35" s="196" t="s">
        <v>241</v>
      </c>
      <c r="D35" s="196" t="s">
        <v>242</v>
      </c>
      <c r="E35" s="197" t="s">
        <v>243</v>
      </c>
      <c r="F35" s="197" t="s">
        <v>244</v>
      </c>
      <c r="G35" s="197" t="s">
        <v>245</v>
      </c>
      <c r="H35" s="197" t="s">
        <v>148</v>
      </c>
      <c r="I35" s="197" t="s">
        <v>160</v>
      </c>
      <c r="J35" s="198"/>
      <c r="K35" s="199" t="s">
        <v>12</v>
      </c>
      <c r="L35" s="214">
        <f>'5-Opbouw uurtarieven'!N27</f>
        <v>11.238192720000001</v>
      </c>
    </row>
    <row r="36" spans="1:12">
      <c r="A36" s="201" t="str">
        <f>A$103</f>
        <v>00.00 - 06.00</v>
      </c>
      <c r="B36" s="202">
        <f t="shared" ref="B36:I36" si="9">SUM((1+B$103)*$L35)+$L36</f>
        <v>16.857289080000001</v>
      </c>
      <c r="C36" s="202">
        <f t="shared" si="9"/>
        <v>14.609650536000002</v>
      </c>
      <c r="D36" s="202">
        <f t="shared" si="9"/>
        <v>14.609650536000002</v>
      </c>
      <c r="E36" s="202">
        <f t="shared" si="9"/>
        <v>14.609650536000002</v>
      </c>
      <c r="F36" s="202">
        <f t="shared" si="9"/>
        <v>14.609650536000002</v>
      </c>
      <c r="G36" s="202">
        <f t="shared" si="9"/>
        <v>16.857289080000001</v>
      </c>
      <c r="H36" s="202">
        <f t="shared" si="9"/>
        <v>16.857289080000001</v>
      </c>
      <c r="I36" s="202">
        <f t="shared" si="9"/>
        <v>28.095481800000002</v>
      </c>
      <c r="J36" s="198"/>
      <c r="K36" s="199" t="s">
        <v>13</v>
      </c>
      <c r="L36" s="214">
        <f>L37-L35</f>
        <v>0</v>
      </c>
    </row>
    <row r="37" spans="1:12">
      <c r="A37" s="201" t="str">
        <f>A$104</f>
        <v>06.00 - 21.30</v>
      </c>
      <c r="B37" s="202">
        <f t="shared" ref="B37:I37" si="10">SUM((1+B$104)*$L35)+$L36</f>
        <v>11.238192720000001</v>
      </c>
      <c r="C37" s="202">
        <f t="shared" si="10"/>
        <v>11.238192720000001</v>
      </c>
      <c r="D37" s="202">
        <f t="shared" si="10"/>
        <v>11.238192720000001</v>
      </c>
      <c r="E37" s="202">
        <f t="shared" si="10"/>
        <v>11.238192720000001</v>
      </c>
      <c r="F37" s="202">
        <f t="shared" si="10"/>
        <v>11.238192720000001</v>
      </c>
      <c r="G37" s="202">
        <f t="shared" si="10"/>
        <v>16.857289080000001</v>
      </c>
      <c r="H37" s="202">
        <f t="shared" si="10"/>
        <v>16.857289080000001</v>
      </c>
      <c r="I37" s="202">
        <f t="shared" si="10"/>
        <v>28.095481800000002</v>
      </c>
      <c r="J37" s="198"/>
      <c r="K37" s="203" t="s">
        <v>14</v>
      </c>
      <c r="L37" s="215">
        <f>'5-Opbouw uurtarieven'!N48</f>
        <v>11.238192720000001</v>
      </c>
    </row>
    <row r="38" spans="1:12">
      <c r="A38" s="201" t="str">
        <f>A$105</f>
        <v>21.30 - 24.00</v>
      </c>
      <c r="B38" s="202">
        <f t="shared" ref="B38:I38" si="11">SUM((1+B$105)*$L35)+$L36</f>
        <v>14.609650536000002</v>
      </c>
      <c r="C38" s="202">
        <f t="shared" si="11"/>
        <v>14.609650536000002</v>
      </c>
      <c r="D38" s="202">
        <f t="shared" si="11"/>
        <v>14.609650536000002</v>
      </c>
      <c r="E38" s="202">
        <f t="shared" si="11"/>
        <v>14.609650536000002</v>
      </c>
      <c r="F38" s="202">
        <f t="shared" si="11"/>
        <v>16.857289080000001</v>
      </c>
      <c r="G38" s="202">
        <f t="shared" si="11"/>
        <v>16.857289080000001</v>
      </c>
      <c r="H38" s="202">
        <f t="shared" si="11"/>
        <v>16.857289080000001</v>
      </c>
      <c r="I38" s="202">
        <f t="shared" si="11"/>
        <v>28.095481800000002</v>
      </c>
      <c r="J38" s="198"/>
    </row>
    <row r="39" spans="1:12">
      <c r="A39" s="205"/>
      <c r="B39" s="206"/>
      <c r="C39" s="206"/>
      <c r="D39" s="206"/>
      <c r="E39" s="206"/>
      <c r="F39" s="206"/>
      <c r="G39" s="206"/>
      <c r="H39" s="206"/>
      <c r="I39" s="213"/>
      <c r="J39" s="198"/>
      <c r="K39" s="207"/>
      <c r="L39" s="207"/>
    </row>
    <row r="40" spans="1:12">
      <c r="A40" s="208"/>
      <c r="B40" s="192"/>
      <c r="C40" s="192"/>
      <c r="D40" s="192"/>
      <c r="E40" s="198"/>
      <c r="F40" s="198"/>
      <c r="G40" s="198"/>
      <c r="H40" s="198"/>
      <c r="I40" s="198"/>
      <c r="J40" s="198"/>
      <c r="K40" s="207"/>
      <c r="L40" s="207"/>
    </row>
    <row r="41" spans="1:12">
      <c r="A41" s="208"/>
      <c r="B41" s="192"/>
      <c r="C41" s="192"/>
      <c r="D41" s="192"/>
      <c r="E41" s="198"/>
      <c r="F41" s="198"/>
      <c r="G41" s="198"/>
      <c r="H41" s="198"/>
      <c r="I41" s="198"/>
      <c r="J41" s="198"/>
      <c r="K41" s="207"/>
      <c r="L41" s="207"/>
    </row>
    <row r="42" spans="1:12" ht="17.100000000000001" customHeight="1">
      <c r="A42" s="667" t="s">
        <v>128</v>
      </c>
      <c r="B42" s="670"/>
      <c r="C42" s="670"/>
      <c r="D42" s="189"/>
      <c r="E42" s="190"/>
      <c r="F42" s="190"/>
      <c r="G42" s="190"/>
      <c r="H42" s="190"/>
      <c r="I42" s="191" t="s">
        <v>75</v>
      </c>
      <c r="J42" s="198"/>
      <c r="K42" s="193" t="str">
        <f>A42</f>
        <v>Medewerker lngrp. 2 (tot 1 jaar inleerperiode)</v>
      </c>
      <c r="L42" s="193" t="s">
        <v>11</v>
      </c>
    </row>
    <row r="43" spans="1:12">
      <c r="A43" s="195" t="s">
        <v>239</v>
      </c>
      <c r="B43" s="196" t="s">
        <v>240</v>
      </c>
      <c r="C43" s="196" t="s">
        <v>241</v>
      </c>
      <c r="D43" s="196" t="s">
        <v>242</v>
      </c>
      <c r="E43" s="197" t="s">
        <v>243</v>
      </c>
      <c r="F43" s="197" t="s">
        <v>244</v>
      </c>
      <c r="G43" s="197" t="s">
        <v>245</v>
      </c>
      <c r="H43" s="197" t="s">
        <v>148</v>
      </c>
      <c r="I43" s="197" t="s">
        <v>160</v>
      </c>
      <c r="J43" s="198"/>
      <c r="K43" s="199" t="s">
        <v>12</v>
      </c>
      <c r="L43" s="214">
        <f>'5-Opbouw uurtarieven'!Q27</f>
        <v>10.495347120000002</v>
      </c>
    </row>
    <row r="44" spans="1:12">
      <c r="A44" s="201" t="str">
        <f>A$103</f>
        <v>00.00 - 06.00</v>
      </c>
      <c r="B44" s="202">
        <f t="shared" ref="B44:I44" si="12">SUM((1+B$103)*$L43)+$L44</f>
        <v>15.743020680000003</v>
      </c>
      <c r="C44" s="202">
        <f t="shared" si="12"/>
        <v>13.643951256000003</v>
      </c>
      <c r="D44" s="202">
        <f t="shared" si="12"/>
        <v>13.643951256000003</v>
      </c>
      <c r="E44" s="202">
        <f t="shared" si="12"/>
        <v>13.643951256000003</v>
      </c>
      <c r="F44" s="202">
        <f t="shared" si="12"/>
        <v>13.643951256000003</v>
      </c>
      <c r="G44" s="202">
        <f t="shared" si="12"/>
        <v>15.743020680000003</v>
      </c>
      <c r="H44" s="202">
        <f>SUM((1+H$103)*$L43)+$L44</f>
        <v>15.743020680000003</v>
      </c>
      <c r="I44" s="202">
        <f t="shared" si="12"/>
        <v>26.238367800000006</v>
      </c>
      <c r="J44" s="198"/>
      <c r="K44" s="199" t="s">
        <v>13</v>
      </c>
      <c r="L44" s="214">
        <f>L45-L43</f>
        <v>0</v>
      </c>
    </row>
    <row r="45" spans="1:12">
      <c r="A45" s="201" t="str">
        <f>A$104</f>
        <v>06.00 - 21.30</v>
      </c>
      <c r="B45" s="202">
        <f t="shared" ref="B45:I45" si="13">SUM((1+B$104)*$L43)+$L44</f>
        <v>10.495347120000002</v>
      </c>
      <c r="C45" s="202">
        <f t="shared" si="13"/>
        <v>10.495347120000002</v>
      </c>
      <c r="D45" s="202">
        <f t="shared" si="13"/>
        <v>10.495347120000002</v>
      </c>
      <c r="E45" s="202">
        <f t="shared" si="13"/>
        <v>10.495347120000002</v>
      </c>
      <c r="F45" s="202">
        <f t="shared" si="13"/>
        <v>10.495347120000002</v>
      </c>
      <c r="G45" s="202">
        <f t="shared" si="13"/>
        <v>15.743020680000003</v>
      </c>
      <c r="H45" s="202">
        <f t="shared" si="13"/>
        <v>15.743020680000003</v>
      </c>
      <c r="I45" s="202">
        <f t="shared" si="13"/>
        <v>26.238367800000006</v>
      </c>
      <c r="J45" s="198"/>
      <c r="K45" s="203" t="s">
        <v>14</v>
      </c>
      <c r="L45" s="215">
        <f>'5-Opbouw uurtarieven'!Q48</f>
        <v>10.495347120000002</v>
      </c>
    </row>
    <row r="46" spans="1:12">
      <c r="A46" s="201" t="str">
        <f>A$105</f>
        <v>21.30 - 24.00</v>
      </c>
      <c r="B46" s="202">
        <f t="shared" ref="B46:I46" si="14">SUM((1+B$105)*$L43)+$L44</f>
        <v>13.643951256000003</v>
      </c>
      <c r="C46" s="202">
        <f t="shared" si="14"/>
        <v>13.643951256000003</v>
      </c>
      <c r="D46" s="202">
        <f t="shared" si="14"/>
        <v>13.643951256000003</v>
      </c>
      <c r="E46" s="202">
        <f t="shared" si="14"/>
        <v>13.643951256000003</v>
      </c>
      <c r="F46" s="202">
        <f t="shared" si="14"/>
        <v>15.743020680000003</v>
      </c>
      <c r="G46" s="202">
        <f t="shared" si="14"/>
        <v>15.743020680000003</v>
      </c>
      <c r="H46" s="202">
        <f t="shared" si="14"/>
        <v>15.743020680000003</v>
      </c>
      <c r="I46" s="202">
        <f t="shared" si="14"/>
        <v>26.238367800000006</v>
      </c>
      <c r="J46" s="198"/>
      <c r="K46" s="207"/>
      <c r="L46" s="207"/>
    </row>
    <row r="47" spans="1:12">
      <c r="A47" s="205"/>
      <c r="B47" s="206"/>
      <c r="C47" s="206"/>
      <c r="D47" s="206"/>
      <c r="E47" s="206"/>
      <c r="F47" s="206"/>
      <c r="G47" s="206"/>
      <c r="H47" s="206"/>
      <c r="I47" s="213"/>
      <c r="J47" s="198"/>
      <c r="K47" s="207"/>
      <c r="L47" s="207"/>
    </row>
    <row r="48" spans="1:12">
      <c r="A48" s="208"/>
      <c r="B48" s="192"/>
      <c r="C48" s="192"/>
      <c r="D48" s="192"/>
      <c r="E48" s="198"/>
      <c r="F48" s="198"/>
      <c r="G48" s="198"/>
      <c r="H48" s="198"/>
      <c r="I48" s="198"/>
      <c r="J48" s="198"/>
      <c r="K48" s="207"/>
      <c r="L48" s="207"/>
    </row>
    <row r="49" spans="1:12">
      <c r="A49" s="208"/>
      <c r="B49" s="192"/>
      <c r="C49" s="192"/>
      <c r="D49" s="192"/>
      <c r="E49" s="198"/>
      <c r="F49" s="198"/>
      <c r="G49" s="198"/>
      <c r="H49" s="198"/>
      <c r="I49" s="198"/>
      <c r="J49" s="187"/>
      <c r="K49" s="207"/>
      <c r="L49" s="207"/>
    </row>
    <row r="50" spans="1:12" ht="17.100000000000001" customHeight="1">
      <c r="A50" s="216" t="s">
        <v>130</v>
      </c>
      <c r="B50" s="189"/>
      <c r="C50" s="189"/>
      <c r="D50" s="189"/>
      <c r="E50" s="190"/>
      <c r="F50" s="190"/>
      <c r="G50" s="190"/>
      <c r="H50" s="190"/>
      <c r="I50" s="191" t="s">
        <v>75</v>
      </c>
      <c r="J50" s="192"/>
      <c r="K50" s="193" t="str">
        <f>A50</f>
        <v>Medewerker lngrp. 2 (1 tot 8 jaar)</v>
      </c>
      <c r="L50" s="193" t="s">
        <v>11</v>
      </c>
    </row>
    <row r="51" spans="1:12">
      <c r="A51" s="195" t="s">
        <v>239</v>
      </c>
      <c r="B51" s="196" t="s">
        <v>240</v>
      </c>
      <c r="C51" s="196" t="s">
        <v>241</v>
      </c>
      <c r="D51" s="196" t="s">
        <v>242</v>
      </c>
      <c r="E51" s="197" t="s">
        <v>243</v>
      </c>
      <c r="F51" s="197" t="s">
        <v>244</v>
      </c>
      <c r="G51" s="197" t="s">
        <v>245</v>
      </c>
      <c r="H51" s="197" t="s">
        <v>148</v>
      </c>
      <c r="I51" s="197" t="s">
        <v>160</v>
      </c>
      <c r="J51" s="198"/>
      <c r="K51" s="199" t="s">
        <v>12</v>
      </c>
      <c r="L51" s="214">
        <f>'5-Opbouw uurtarieven'!T27</f>
        <v>12.02348664</v>
      </c>
    </row>
    <row r="52" spans="1:12">
      <c r="A52" s="201" t="str">
        <f>A$103</f>
        <v>00.00 - 06.00</v>
      </c>
      <c r="B52" s="202">
        <f t="shared" ref="B52:I52" si="15">SUM((1+B$103)*$L51)+$L52</f>
        <v>18.035229959999999</v>
      </c>
      <c r="C52" s="202">
        <f t="shared" si="15"/>
        <v>15.630532632</v>
      </c>
      <c r="D52" s="202">
        <f t="shared" si="15"/>
        <v>15.630532632</v>
      </c>
      <c r="E52" s="202">
        <f t="shared" si="15"/>
        <v>15.630532632</v>
      </c>
      <c r="F52" s="202">
        <f t="shared" si="15"/>
        <v>15.630532632</v>
      </c>
      <c r="G52" s="202">
        <f t="shared" si="15"/>
        <v>18.035229959999999</v>
      </c>
      <c r="H52" s="202">
        <f t="shared" si="15"/>
        <v>18.035229959999999</v>
      </c>
      <c r="I52" s="202">
        <f t="shared" si="15"/>
        <v>30.0587166</v>
      </c>
      <c r="J52" s="198"/>
      <c r="K52" s="199" t="s">
        <v>13</v>
      </c>
      <c r="L52" s="214">
        <f>L53-L51</f>
        <v>0</v>
      </c>
    </row>
    <row r="53" spans="1:12">
      <c r="A53" s="201" t="str">
        <f>A$104</f>
        <v>06.00 - 21.30</v>
      </c>
      <c r="B53" s="202">
        <f t="shared" ref="B53:I53" si="16">SUM((1+B$104)*$L51)+$L52</f>
        <v>12.02348664</v>
      </c>
      <c r="C53" s="202">
        <f t="shared" si="16"/>
        <v>12.02348664</v>
      </c>
      <c r="D53" s="202">
        <f t="shared" si="16"/>
        <v>12.02348664</v>
      </c>
      <c r="E53" s="202">
        <f t="shared" si="16"/>
        <v>12.02348664</v>
      </c>
      <c r="F53" s="202">
        <f t="shared" si="16"/>
        <v>12.02348664</v>
      </c>
      <c r="G53" s="202">
        <f t="shared" si="16"/>
        <v>18.035229959999999</v>
      </c>
      <c r="H53" s="202">
        <f t="shared" si="16"/>
        <v>18.035229959999999</v>
      </c>
      <c r="I53" s="202">
        <f t="shared" si="16"/>
        <v>30.0587166</v>
      </c>
      <c r="J53" s="198"/>
      <c r="K53" s="203" t="s">
        <v>14</v>
      </c>
      <c r="L53" s="215">
        <f>'5-Opbouw uurtarieven'!T48</f>
        <v>12.02348664</v>
      </c>
    </row>
    <row r="54" spans="1:12">
      <c r="A54" s="201" t="str">
        <f>A$105</f>
        <v>21.30 - 24.00</v>
      </c>
      <c r="B54" s="202">
        <f t="shared" ref="B54:I54" si="17">SUM((1+B$105)*$L51)+$L52</f>
        <v>15.630532632</v>
      </c>
      <c r="C54" s="202">
        <f t="shared" si="17"/>
        <v>15.630532632</v>
      </c>
      <c r="D54" s="202">
        <f t="shared" si="17"/>
        <v>15.630532632</v>
      </c>
      <c r="E54" s="202">
        <f t="shared" si="17"/>
        <v>15.630532632</v>
      </c>
      <c r="F54" s="202">
        <f t="shared" si="17"/>
        <v>18.035229959999999</v>
      </c>
      <c r="G54" s="202">
        <f t="shared" si="17"/>
        <v>18.035229959999999</v>
      </c>
      <c r="H54" s="202">
        <f t="shared" si="17"/>
        <v>18.035229959999999</v>
      </c>
      <c r="I54" s="202">
        <f t="shared" si="17"/>
        <v>30.0587166</v>
      </c>
      <c r="J54" s="198"/>
      <c r="K54" s="207"/>
      <c r="L54" s="207"/>
    </row>
    <row r="55" spans="1:12">
      <c r="A55" s="205"/>
      <c r="B55" s="206"/>
      <c r="C55" s="206"/>
      <c r="D55" s="206"/>
      <c r="E55" s="206"/>
      <c r="F55" s="206"/>
      <c r="G55" s="206"/>
      <c r="H55" s="206"/>
      <c r="I55" s="213"/>
      <c r="J55" s="198"/>
      <c r="K55" s="207"/>
      <c r="L55" s="207"/>
    </row>
    <row r="56" spans="1:12">
      <c r="A56" s="208"/>
      <c r="B56" s="192"/>
      <c r="C56" s="192"/>
      <c r="D56" s="192"/>
      <c r="E56" s="198"/>
      <c r="F56" s="198"/>
      <c r="G56" s="198"/>
      <c r="H56" s="198"/>
      <c r="I56" s="198"/>
      <c r="J56" s="198"/>
      <c r="K56" s="207"/>
      <c r="L56" s="207"/>
    </row>
    <row r="57" spans="1:12" ht="17.100000000000001" customHeight="1">
      <c r="A57" s="667" t="s">
        <v>131</v>
      </c>
      <c r="B57" s="670"/>
      <c r="C57" s="670"/>
      <c r="D57" s="189"/>
      <c r="E57" s="190"/>
      <c r="F57" s="190"/>
      <c r="G57" s="190"/>
      <c r="H57" s="190"/>
      <c r="I57" s="217" t="s">
        <v>75</v>
      </c>
      <c r="J57" s="198"/>
      <c r="K57" s="193" t="str">
        <f>A57</f>
        <v>Medewerker lngrp. 2 (8 jaar en langer)</v>
      </c>
      <c r="L57" s="193" t="s">
        <v>11</v>
      </c>
    </row>
    <row r="58" spans="1:12">
      <c r="A58" s="195" t="s">
        <v>239</v>
      </c>
      <c r="B58" s="196" t="s">
        <v>240</v>
      </c>
      <c r="C58" s="196" t="s">
        <v>241</v>
      </c>
      <c r="D58" s="196" t="s">
        <v>242</v>
      </c>
      <c r="E58" s="197" t="s">
        <v>243</v>
      </c>
      <c r="F58" s="197" t="s">
        <v>244</v>
      </c>
      <c r="G58" s="197" t="s">
        <v>245</v>
      </c>
      <c r="H58" s="197" t="s">
        <v>148</v>
      </c>
      <c r="I58" s="218" t="s">
        <v>160</v>
      </c>
      <c r="J58" s="198"/>
      <c r="K58" s="199" t="s">
        <v>12</v>
      </c>
      <c r="L58" s="214">
        <f>'5-Opbouw uurtarieven'!W27</f>
        <v>12.352461120000001</v>
      </c>
    </row>
    <row r="59" spans="1:12">
      <c r="A59" s="201" t="str">
        <f>A$103</f>
        <v>00.00 - 06.00</v>
      </c>
      <c r="B59" s="202">
        <f t="shared" ref="B59:I59" si="18">SUM((1+B$103)*$L58)+$L59</f>
        <v>18.528691680000001</v>
      </c>
      <c r="C59" s="202">
        <f t="shared" si="18"/>
        <v>16.058199456000001</v>
      </c>
      <c r="D59" s="202">
        <f t="shared" si="18"/>
        <v>16.058199456000001</v>
      </c>
      <c r="E59" s="202">
        <f t="shared" si="18"/>
        <v>16.058199456000001</v>
      </c>
      <c r="F59" s="202">
        <f t="shared" si="18"/>
        <v>16.058199456000001</v>
      </c>
      <c r="G59" s="202">
        <f t="shared" si="18"/>
        <v>18.528691680000001</v>
      </c>
      <c r="H59" s="202">
        <f t="shared" si="18"/>
        <v>18.528691680000001</v>
      </c>
      <c r="I59" s="202">
        <f t="shared" si="18"/>
        <v>30.881152800000002</v>
      </c>
      <c r="J59" s="198"/>
      <c r="K59" s="199" t="s">
        <v>13</v>
      </c>
      <c r="L59" s="214">
        <f>L60-L58</f>
        <v>0</v>
      </c>
    </row>
    <row r="60" spans="1:12">
      <c r="A60" s="201" t="str">
        <f>A$104</f>
        <v>06.00 - 21.30</v>
      </c>
      <c r="B60" s="202">
        <f t="shared" ref="B60:I60" si="19">SUM((1+B$104)*$L58)+$L59</f>
        <v>12.352461120000001</v>
      </c>
      <c r="C60" s="202">
        <f t="shared" si="19"/>
        <v>12.352461120000001</v>
      </c>
      <c r="D60" s="202">
        <f t="shared" si="19"/>
        <v>12.352461120000001</v>
      </c>
      <c r="E60" s="202">
        <f t="shared" si="19"/>
        <v>12.352461120000001</v>
      </c>
      <c r="F60" s="202">
        <f t="shared" si="19"/>
        <v>12.352461120000001</v>
      </c>
      <c r="G60" s="202">
        <f t="shared" si="19"/>
        <v>18.528691680000001</v>
      </c>
      <c r="H60" s="202">
        <f t="shared" si="19"/>
        <v>18.528691680000001</v>
      </c>
      <c r="I60" s="202">
        <f t="shared" si="19"/>
        <v>30.881152800000002</v>
      </c>
      <c r="J60" s="198"/>
      <c r="K60" s="203" t="s">
        <v>14</v>
      </c>
      <c r="L60" s="215">
        <f>'5-Opbouw uurtarieven'!W48</f>
        <v>12.352461120000001</v>
      </c>
    </row>
    <row r="61" spans="1:12">
      <c r="A61" s="201" t="str">
        <f>A$105</f>
        <v>21.30 - 24.00</v>
      </c>
      <c r="B61" s="202">
        <f t="shared" ref="B61:I61" si="20">SUM((1+B$105)*$L58)+$L59</f>
        <v>16.058199456000001</v>
      </c>
      <c r="C61" s="202">
        <f t="shared" si="20"/>
        <v>16.058199456000001</v>
      </c>
      <c r="D61" s="202">
        <f t="shared" si="20"/>
        <v>16.058199456000001</v>
      </c>
      <c r="E61" s="202">
        <f t="shared" si="20"/>
        <v>16.058199456000001</v>
      </c>
      <c r="F61" s="202">
        <f t="shared" si="20"/>
        <v>18.528691680000001</v>
      </c>
      <c r="G61" s="202">
        <f t="shared" si="20"/>
        <v>18.528691680000001</v>
      </c>
      <c r="H61" s="202">
        <f t="shared" si="20"/>
        <v>18.528691680000001</v>
      </c>
      <c r="I61" s="202">
        <f t="shared" si="20"/>
        <v>30.881152800000002</v>
      </c>
      <c r="J61" s="198"/>
      <c r="K61" s="207"/>
      <c r="L61" s="207"/>
    </row>
    <row r="62" spans="1:12">
      <c r="A62" s="205"/>
      <c r="B62" s="206"/>
      <c r="C62" s="206"/>
      <c r="D62" s="206"/>
      <c r="E62" s="206"/>
      <c r="F62" s="206"/>
      <c r="G62" s="206"/>
      <c r="H62" s="206"/>
      <c r="I62" s="219"/>
      <c r="J62" s="198"/>
      <c r="K62" s="207"/>
      <c r="L62" s="207"/>
    </row>
    <row r="63" spans="1:12">
      <c r="A63" s="208"/>
      <c r="B63" s="192"/>
      <c r="C63" s="192"/>
      <c r="D63" s="192"/>
      <c r="E63" s="198"/>
      <c r="F63" s="198"/>
      <c r="G63" s="198"/>
      <c r="H63" s="198"/>
      <c r="I63" s="198"/>
      <c r="J63" s="198"/>
      <c r="K63" s="207"/>
      <c r="L63" s="207"/>
    </row>
    <row r="64" spans="1:12" s="222" customFormat="1" ht="17.100000000000001" customHeight="1">
      <c r="A64" s="667" t="s">
        <v>91</v>
      </c>
      <c r="B64" s="670"/>
      <c r="C64" s="670"/>
      <c r="D64" s="189"/>
      <c r="E64" s="190"/>
      <c r="F64" s="190"/>
      <c r="G64" s="190"/>
      <c r="H64" s="190"/>
      <c r="I64" s="217" t="s">
        <v>75</v>
      </c>
      <c r="J64" s="220"/>
      <c r="K64" s="193" t="str">
        <f>A64</f>
        <v>Medewerker lngrp. 3 (tot 1 jaar inleerperiode)</v>
      </c>
      <c r="L64" s="221" t="s">
        <v>11</v>
      </c>
    </row>
    <row r="65" spans="1:12">
      <c r="A65" s="195" t="s">
        <v>239</v>
      </c>
      <c r="B65" s="196" t="s">
        <v>240</v>
      </c>
      <c r="C65" s="196" t="s">
        <v>241</v>
      </c>
      <c r="D65" s="196" t="s">
        <v>242</v>
      </c>
      <c r="E65" s="197" t="s">
        <v>243</v>
      </c>
      <c r="F65" s="197" t="s">
        <v>244</v>
      </c>
      <c r="G65" s="197" t="s">
        <v>245</v>
      </c>
      <c r="H65" s="197" t="s">
        <v>148</v>
      </c>
      <c r="I65" s="218" t="s">
        <v>160</v>
      </c>
      <c r="J65" s="198"/>
      <c r="K65" s="199" t="s">
        <v>12</v>
      </c>
      <c r="L65" s="214">
        <f>'5-Opbouw uurtarieven'!Z27</f>
        <v>11.461046400000003</v>
      </c>
    </row>
    <row r="66" spans="1:12">
      <c r="A66" s="201" t="str">
        <f>A$103</f>
        <v>00.00 - 06.00</v>
      </c>
      <c r="B66" s="202">
        <f t="shared" ref="B66:I66" si="21">SUM((1+B$103)*$L65)+$L66</f>
        <v>17.191569600000005</v>
      </c>
      <c r="C66" s="202">
        <f t="shared" si="21"/>
        <v>14.899360320000003</v>
      </c>
      <c r="D66" s="202">
        <f t="shared" si="21"/>
        <v>14.899360320000003</v>
      </c>
      <c r="E66" s="202">
        <f t="shared" si="21"/>
        <v>14.899360320000003</v>
      </c>
      <c r="F66" s="202">
        <f t="shared" si="21"/>
        <v>14.899360320000003</v>
      </c>
      <c r="G66" s="202">
        <f t="shared" si="21"/>
        <v>17.191569600000005</v>
      </c>
      <c r="H66" s="202">
        <f t="shared" si="21"/>
        <v>17.191569600000005</v>
      </c>
      <c r="I66" s="202">
        <f t="shared" si="21"/>
        <v>28.652616000000005</v>
      </c>
      <c r="J66" s="198"/>
      <c r="K66" s="199" t="s">
        <v>13</v>
      </c>
      <c r="L66" s="214">
        <f>L67-L65</f>
        <v>0</v>
      </c>
    </row>
    <row r="67" spans="1:12">
      <c r="A67" s="201" t="str">
        <f>A$104</f>
        <v>06.00 - 21.30</v>
      </c>
      <c r="B67" s="202">
        <f t="shared" ref="B67:I67" si="22">SUM((1+B$104)*$L65)+$L66</f>
        <v>11.461046400000003</v>
      </c>
      <c r="C67" s="202">
        <f t="shared" si="22"/>
        <v>11.461046400000003</v>
      </c>
      <c r="D67" s="202">
        <f t="shared" si="22"/>
        <v>11.461046400000003</v>
      </c>
      <c r="E67" s="202">
        <f t="shared" si="22"/>
        <v>11.461046400000003</v>
      </c>
      <c r="F67" s="202">
        <f t="shared" si="22"/>
        <v>11.461046400000003</v>
      </c>
      <c r="G67" s="202">
        <f t="shared" si="22"/>
        <v>17.191569600000005</v>
      </c>
      <c r="H67" s="202">
        <f t="shared" si="22"/>
        <v>17.191569600000005</v>
      </c>
      <c r="I67" s="202">
        <f t="shared" si="22"/>
        <v>28.652616000000005</v>
      </c>
      <c r="J67" s="198"/>
      <c r="K67" s="203" t="s">
        <v>14</v>
      </c>
      <c r="L67" s="215">
        <f>'5-Opbouw uurtarieven'!Z48</f>
        <v>11.461046400000003</v>
      </c>
    </row>
    <row r="68" spans="1:12">
      <c r="A68" s="201" t="str">
        <f>A$105</f>
        <v>21.30 - 24.00</v>
      </c>
      <c r="B68" s="202">
        <f t="shared" ref="B68:I68" si="23">SUM((1+B$105)*$L65)+$L66</f>
        <v>14.899360320000003</v>
      </c>
      <c r="C68" s="202">
        <f t="shared" si="23"/>
        <v>14.899360320000003</v>
      </c>
      <c r="D68" s="202">
        <f t="shared" si="23"/>
        <v>14.899360320000003</v>
      </c>
      <c r="E68" s="202">
        <f t="shared" si="23"/>
        <v>14.899360320000003</v>
      </c>
      <c r="F68" s="202">
        <f t="shared" si="23"/>
        <v>17.191569600000005</v>
      </c>
      <c r="G68" s="202">
        <f t="shared" si="23"/>
        <v>17.191569600000005</v>
      </c>
      <c r="H68" s="202">
        <f t="shared" si="23"/>
        <v>17.191569600000005</v>
      </c>
      <c r="I68" s="202">
        <f t="shared" si="23"/>
        <v>28.652616000000005</v>
      </c>
      <c r="J68" s="198"/>
      <c r="K68" s="207"/>
      <c r="L68" s="207"/>
    </row>
    <row r="69" spans="1:12">
      <c r="A69" s="205"/>
      <c r="B69" s="206"/>
      <c r="C69" s="206"/>
      <c r="D69" s="206"/>
      <c r="E69" s="206"/>
      <c r="F69" s="206"/>
      <c r="G69" s="206"/>
      <c r="H69" s="206"/>
      <c r="I69" s="219"/>
      <c r="J69" s="198"/>
      <c r="K69" s="207"/>
      <c r="L69" s="207"/>
    </row>
    <row r="70" spans="1:12">
      <c r="A70" s="208"/>
      <c r="B70" s="192"/>
      <c r="C70" s="192"/>
      <c r="D70" s="192"/>
      <c r="E70" s="198"/>
      <c r="F70" s="198"/>
      <c r="G70" s="198"/>
      <c r="H70" s="198"/>
      <c r="I70" s="198"/>
      <c r="J70" s="198"/>
      <c r="K70" s="207"/>
      <c r="L70" s="207"/>
    </row>
    <row r="71" spans="1:12">
      <c r="A71" s="208"/>
      <c r="B71" s="192"/>
      <c r="C71" s="192"/>
      <c r="D71" s="192"/>
      <c r="E71" s="198"/>
      <c r="F71" s="198"/>
      <c r="G71" s="198"/>
      <c r="H71" s="198"/>
      <c r="I71" s="198"/>
      <c r="J71" s="198"/>
      <c r="K71" s="207"/>
      <c r="L71" s="207"/>
    </row>
    <row r="72" spans="1:12" ht="17.100000000000001" customHeight="1">
      <c r="A72" s="216" t="s">
        <v>114</v>
      </c>
      <c r="B72" s="189"/>
      <c r="C72" s="189"/>
      <c r="D72" s="189"/>
      <c r="E72" s="190"/>
      <c r="F72" s="190"/>
      <c r="G72" s="190"/>
      <c r="H72" s="190"/>
      <c r="I72" s="217" t="s">
        <v>75</v>
      </c>
      <c r="J72" s="198"/>
      <c r="K72" s="193" t="str">
        <f>A72</f>
        <v>Medewerker lngrp. 3 (1 tot 8 jaar)</v>
      </c>
      <c r="L72" s="193" t="s">
        <v>11</v>
      </c>
    </row>
    <row r="73" spans="1:12">
      <c r="A73" s="195" t="s">
        <v>239</v>
      </c>
      <c r="B73" s="196" t="s">
        <v>240</v>
      </c>
      <c r="C73" s="196" t="s">
        <v>241</v>
      </c>
      <c r="D73" s="196" t="s">
        <v>242</v>
      </c>
      <c r="E73" s="197" t="s">
        <v>243</v>
      </c>
      <c r="F73" s="197" t="s">
        <v>244</v>
      </c>
      <c r="G73" s="197" t="s">
        <v>245</v>
      </c>
      <c r="H73" s="197" t="s">
        <v>148</v>
      </c>
      <c r="I73" s="218" t="s">
        <v>160</v>
      </c>
      <c r="J73" s="198"/>
      <c r="K73" s="199" t="s">
        <v>12</v>
      </c>
      <c r="L73" s="214">
        <f>'5-Opbouw uurtarieven'!AC27</f>
        <v>13.137755040000002</v>
      </c>
    </row>
    <row r="74" spans="1:12">
      <c r="A74" s="201" t="str">
        <f>A$103</f>
        <v>00.00 - 06.00</v>
      </c>
      <c r="B74" s="202">
        <f t="shared" ref="B74:I74" si="24">SUM((1+B$103)*$L73)+$L74</f>
        <v>19.706632560000003</v>
      </c>
      <c r="C74" s="202">
        <f t="shared" si="24"/>
        <v>17.079081552000002</v>
      </c>
      <c r="D74" s="202">
        <f t="shared" si="24"/>
        <v>17.079081552000002</v>
      </c>
      <c r="E74" s="202">
        <f t="shared" si="24"/>
        <v>17.079081552000002</v>
      </c>
      <c r="F74" s="202">
        <f t="shared" si="24"/>
        <v>17.079081552000002</v>
      </c>
      <c r="G74" s="202">
        <f t="shared" si="24"/>
        <v>19.706632560000003</v>
      </c>
      <c r="H74" s="202">
        <f t="shared" si="24"/>
        <v>19.706632560000003</v>
      </c>
      <c r="I74" s="202">
        <f t="shared" si="24"/>
        <v>32.844387600000005</v>
      </c>
      <c r="J74" s="198"/>
      <c r="K74" s="199" t="s">
        <v>13</v>
      </c>
      <c r="L74" s="214">
        <f>L75-L73</f>
        <v>0</v>
      </c>
    </row>
    <row r="75" spans="1:12">
      <c r="A75" s="201" t="str">
        <f>A$104</f>
        <v>06.00 - 21.30</v>
      </c>
      <c r="B75" s="202">
        <f t="shared" ref="B75:I75" si="25">SUM((1+B$104)*$L73)+$L74</f>
        <v>13.137755040000002</v>
      </c>
      <c r="C75" s="202">
        <f t="shared" si="25"/>
        <v>13.137755040000002</v>
      </c>
      <c r="D75" s="202">
        <f t="shared" si="25"/>
        <v>13.137755040000002</v>
      </c>
      <c r="E75" s="202">
        <f t="shared" si="25"/>
        <v>13.137755040000002</v>
      </c>
      <c r="F75" s="202">
        <f t="shared" si="25"/>
        <v>13.137755040000002</v>
      </c>
      <c r="G75" s="202">
        <f t="shared" si="25"/>
        <v>19.706632560000003</v>
      </c>
      <c r="H75" s="202">
        <f t="shared" si="25"/>
        <v>19.706632560000003</v>
      </c>
      <c r="I75" s="202">
        <f t="shared" si="25"/>
        <v>32.844387600000005</v>
      </c>
      <c r="J75" s="198"/>
      <c r="K75" s="203" t="s">
        <v>14</v>
      </c>
      <c r="L75" s="215">
        <f>'5-Opbouw uurtarieven'!AC48</f>
        <v>13.137755040000002</v>
      </c>
    </row>
    <row r="76" spans="1:12">
      <c r="A76" s="201" t="str">
        <f>A$105</f>
        <v>21.30 - 24.00</v>
      </c>
      <c r="B76" s="202">
        <f t="shared" ref="B76:I76" si="26">SUM((1+B$105)*$L73)+$L74</f>
        <v>17.079081552000002</v>
      </c>
      <c r="C76" s="202">
        <f t="shared" si="26"/>
        <v>17.079081552000002</v>
      </c>
      <c r="D76" s="202">
        <f t="shared" si="26"/>
        <v>17.079081552000002</v>
      </c>
      <c r="E76" s="202">
        <f t="shared" si="26"/>
        <v>17.079081552000002</v>
      </c>
      <c r="F76" s="202">
        <f t="shared" si="26"/>
        <v>19.706632560000003</v>
      </c>
      <c r="G76" s="202">
        <f t="shared" si="26"/>
        <v>19.706632560000003</v>
      </c>
      <c r="H76" s="202">
        <f t="shared" si="26"/>
        <v>19.706632560000003</v>
      </c>
      <c r="I76" s="202">
        <f t="shared" si="26"/>
        <v>32.844387600000005</v>
      </c>
      <c r="J76" s="198"/>
      <c r="K76" s="207"/>
      <c r="L76" s="207"/>
    </row>
    <row r="77" spans="1:12">
      <c r="A77" s="205"/>
      <c r="B77" s="206"/>
      <c r="C77" s="206"/>
      <c r="D77" s="206"/>
      <c r="E77" s="206"/>
      <c r="F77" s="206"/>
      <c r="G77" s="206"/>
      <c r="H77" s="206"/>
      <c r="I77" s="219"/>
      <c r="J77" s="198"/>
      <c r="K77" s="207"/>
      <c r="L77" s="207"/>
    </row>
    <row r="78" spans="1:12">
      <c r="A78" s="208"/>
      <c r="B78" s="192"/>
      <c r="C78" s="192"/>
      <c r="D78" s="192"/>
      <c r="E78" s="198"/>
      <c r="F78" s="198"/>
      <c r="G78" s="198"/>
      <c r="H78" s="198"/>
      <c r="I78" s="198"/>
      <c r="J78" s="198"/>
      <c r="K78" s="207"/>
      <c r="L78" s="207"/>
    </row>
    <row r="79" spans="1:12">
      <c r="A79" s="208"/>
      <c r="B79" s="192"/>
      <c r="C79" s="192"/>
      <c r="D79" s="192"/>
      <c r="E79" s="198"/>
      <c r="F79" s="198"/>
      <c r="G79" s="198"/>
      <c r="H79" s="198"/>
      <c r="I79" s="198"/>
      <c r="J79" s="187"/>
      <c r="K79" s="207"/>
      <c r="L79" s="207"/>
    </row>
    <row r="80" spans="1:12" ht="17.100000000000001" customHeight="1">
      <c r="A80" s="216" t="s">
        <v>115</v>
      </c>
      <c r="B80" s="189"/>
      <c r="C80" s="189"/>
      <c r="D80" s="189"/>
      <c r="E80" s="190"/>
      <c r="F80" s="190"/>
      <c r="G80" s="190"/>
      <c r="H80" s="190"/>
      <c r="I80" s="217" t="s">
        <v>75</v>
      </c>
      <c r="J80" s="192"/>
      <c r="K80" s="193" t="str">
        <f>A80</f>
        <v>Medewerker lngrp. 3 (8 jaar en langer)</v>
      </c>
      <c r="L80" s="193" t="s">
        <v>11</v>
      </c>
    </row>
    <row r="81" spans="1:12">
      <c r="A81" s="195" t="s">
        <v>239</v>
      </c>
      <c r="B81" s="196" t="s">
        <v>240</v>
      </c>
      <c r="C81" s="196" t="s">
        <v>241</v>
      </c>
      <c r="D81" s="196" t="s">
        <v>242</v>
      </c>
      <c r="E81" s="197" t="s">
        <v>243</v>
      </c>
      <c r="F81" s="197" t="s">
        <v>244</v>
      </c>
      <c r="G81" s="197" t="s">
        <v>245</v>
      </c>
      <c r="H81" s="197" t="s">
        <v>148</v>
      </c>
      <c r="I81" s="218" t="s">
        <v>160</v>
      </c>
      <c r="J81" s="198"/>
      <c r="K81" s="199" t="s">
        <v>12</v>
      </c>
      <c r="L81" s="214">
        <f>'5-Opbouw uurtarieven'!AF27</f>
        <v>13.477341600000001</v>
      </c>
    </row>
    <row r="82" spans="1:12">
      <c r="A82" s="201" t="str">
        <f>A$103</f>
        <v>00.00 - 06.00</v>
      </c>
      <c r="B82" s="202">
        <f t="shared" ref="B82:I82" si="27">SUM((1+B$103)*$L81)+$L82</f>
        <v>20.2160124</v>
      </c>
      <c r="C82" s="202">
        <f t="shared" si="27"/>
        <v>17.520544080000001</v>
      </c>
      <c r="D82" s="202">
        <f t="shared" si="27"/>
        <v>17.520544080000001</v>
      </c>
      <c r="E82" s="202">
        <f t="shared" si="27"/>
        <v>17.520544080000001</v>
      </c>
      <c r="F82" s="202">
        <f t="shared" si="27"/>
        <v>17.520544080000001</v>
      </c>
      <c r="G82" s="202">
        <f t="shared" si="27"/>
        <v>20.2160124</v>
      </c>
      <c r="H82" s="202">
        <f t="shared" si="27"/>
        <v>20.2160124</v>
      </c>
      <c r="I82" s="202">
        <f t="shared" si="27"/>
        <v>33.693353999999999</v>
      </c>
      <c r="J82" s="198"/>
      <c r="K82" s="199" t="s">
        <v>13</v>
      </c>
      <c r="L82" s="214">
        <f>L83-L81</f>
        <v>0</v>
      </c>
    </row>
    <row r="83" spans="1:12">
      <c r="A83" s="201" t="str">
        <f>A$104</f>
        <v>06.00 - 21.30</v>
      </c>
      <c r="B83" s="202">
        <f t="shared" ref="B83:I83" si="28">SUM((1+B$104)*$L81)+$L82</f>
        <v>13.477341600000001</v>
      </c>
      <c r="C83" s="202">
        <f t="shared" si="28"/>
        <v>13.477341600000001</v>
      </c>
      <c r="D83" s="202">
        <f t="shared" si="28"/>
        <v>13.477341600000001</v>
      </c>
      <c r="E83" s="202">
        <f t="shared" si="28"/>
        <v>13.477341600000001</v>
      </c>
      <c r="F83" s="202">
        <f t="shared" si="28"/>
        <v>13.477341600000001</v>
      </c>
      <c r="G83" s="202">
        <f t="shared" si="28"/>
        <v>20.2160124</v>
      </c>
      <c r="H83" s="202">
        <f t="shared" si="28"/>
        <v>20.2160124</v>
      </c>
      <c r="I83" s="202">
        <f t="shared" si="28"/>
        <v>33.693353999999999</v>
      </c>
      <c r="J83" s="198"/>
      <c r="K83" s="203" t="s">
        <v>14</v>
      </c>
      <c r="L83" s="215">
        <f>'5-Opbouw uurtarieven'!AF48</f>
        <v>13.477341600000001</v>
      </c>
    </row>
    <row r="84" spans="1:12">
      <c r="A84" s="201" t="str">
        <f>A$105</f>
        <v>21.30 - 24.00</v>
      </c>
      <c r="B84" s="202">
        <f t="shared" ref="B84:I84" si="29">SUM((1+B$105)*$L81)+$L82</f>
        <v>17.520544080000001</v>
      </c>
      <c r="C84" s="202">
        <f t="shared" si="29"/>
        <v>17.520544080000001</v>
      </c>
      <c r="D84" s="202">
        <f t="shared" si="29"/>
        <v>17.520544080000001</v>
      </c>
      <c r="E84" s="202">
        <f t="shared" si="29"/>
        <v>17.520544080000001</v>
      </c>
      <c r="F84" s="202">
        <f t="shared" si="29"/>
        <v>20.2160124</v>
      </c>
      <c r="G84" s="202">
        <f t="shared" si="29"/>
        <v>20.2160124</v>
      </c>
      <c r="H84" s="202">
        <f t="shared" si="29"/>
        <v>20.2160124</v>
      </c>
      <c r="I84" s="202">
        <f t="shared" si="29"/>
        <v>33.693353999999999</v>
      </c>
      <c r="J84" s="198"/>
      <c r="K84" s="207"/>
      <c r="L84" s="207"/>
    </row>
    <row r="85" spans="1:12">
      <c r="A85" s="205"/>
      <c r="B85" s="206"/>
      <c r="C85" s="206"/>
      <c r="D85" s="206"/>
      <c r="E85" s="206"/>
      <c r="F85" s="206"/>
      <c r="G85" s="206"/>
      <c r="H85" s="206"/>
      <c r="I85" s="219"/>
      <c r="J85" s="198"/>
      <c r="K85" s="207"/>
      <c r="L85" s="207"/>
    </row>
    <row r="86" spans="1:12">
      <c r="A86" s="208"/>
      <c r="B86" s="192"/>
      <c r="C86" s="192"/>
      <c r="D86" s="192"/>
      <c r="E86" s="198"/>
      <c r="F86" s="198"/>
      <c r="G86" s="198"/>
      <c r="H86" s="198"/>
      <c r="I86" s="198"/>
      <c r="J86" s="187"/>
      <c r="K86" s="207"/>
      <c r="L86" s="207"/>
    </row>
    <row r="87" spans="1:12" ht="17.100000000000001" customHeight="1">
      <c r="A87" s="667" t="s">
        <v>60</v>
      </c>
      <c r="B87" s="669"/>
      <c r="C87" s="189"/>
      <c r="D87" s="189"/>
      <c r="E87" s="190"/>
      <c r="F87" s="190"/>
      <c r="G87" s="190"/>
      <c r="H87" s="190"/>
      <c r="I87" s="217" t="s">
        <v>75</v>
      </c>
      <c r="J87" s="192"/>
      <c r="K87" s="193" t="str">
        <f>A87</f>
        <v>Glazenwasser lngrp. 2 (1 tot 8 jaar)</v>
      </c>
      <c r="L87" s="193" t="s">
        <v>11</v>
      </c>
    </row>
    <row r="88" spans="1:12">
      <c r="A88" s="195" t="s">
        <v>239</v>
      </c>
      <c r="B88" s="196" t="s">
        <v>240</v>
      </c>
      <c r="C88" s="196" t="s">
        <v>241</v>
      </c>
      <c r="D88" s="196" t="s">
        <v>242</v>
      </c>
      <c r="E88" s="197" t="s">
        <v>243</v>
      </c>
      <c r="F88" s="197" t="s">
        <v>244</v>
      </c>
      <c r="G88" s="197" t="s">
        <v>245</v>
      </c>
      <c r="H88" s="197" t="s">
        <v>148</v>
      </c>
      <c r="I88" s="218" t="s">
        <v>160</v>
      </c>
      <c r="J88" s="198"/>
      <c r="K88" s="199" t="s">
        <v>12</v>
      </c>
      <c r="L88" s="214">
        <f>'5-Opbouw uurtarieven'!AI27</f>
        <v>13.225835304</v>
      </c>
    </row>
    <row r="89" spans="1:12">
      <c r="A89" s="201" t="str">
        <f>A$103</f>
        <v>00.00 - 06.00</v>
      </c>
      <c r="B89" s="202">
        <f t="shared" ref="B89:I89" si="30">SUM((1+B$103)*$L88)+$L89</f>
        <v>19.838752956</v>
      </c>
      <c r="C89" s="202">
        <f t="shared" si="30"/>
        <v>17.193585895200002</v>
      </c>
      <c r="D89" s="202">
        <f t="shared" si="30"/>
        <v>17.193585895200002</v>
      </c>
      <c r="E89" s="202">
        <f t="shared" si="30"/>
        <v>17.193585895200002</v>
      </c>
      <c r="F89" s="202">
        <f t="shared" si="30"/>
        <v>17.193585895200002</v>
      </c>
      <c r="G89" s="202">
        <f t="shared" si="30"/>
        <v>19.838752956</v>
      </c>
      <c r="H89" s="202">
        <f t="shared" si="30"/>
        <v>19.838752956</v>
      </c>
      <c r="I89" s="202">
        <f t="shared" si="30"/>
        <v>33.064588260000001</v>
      </c>
      <c r="J89" s="198"/>
      <c r="K89" s="199" t="s">
        <v>13</v>
      </c>
      <c r="L89" s="214">
        <f>L90-L88</f>
        <v>0</v>
      </c>
    </row>
    <row r="90" spans="1:12">
      <c r="A90" s="201" t="str">
        <f>A$104</f>
        <v>06.00 - 21.30</v>
      </c>
      <c r="B90" s="202">
        <f t="shared" ref="B90:I90" si="31">SUM((1+B$104)*$L88)+$L89</f>
        <v>13.225835304</v>
      </c>
      <c r="C90" s="202">
        <f t="shared" si="31"/>
        <v>13.225835304</v>
      </c>
      <c r="D90" s="202">
        <f t="shared" si="31"/>
        <v>13.225835304</v>
      </c>
      <c r="E90" s="202">
        <f t="shared" si="31"/>
        <v>13.225835304</v>
      </c>
      <c r="F90" s="202">
        <f t="shared" si="31"/>
        <v>13.225835304</v>
      </c>
      <c r="G90" s="202">
        <f t="shared" si="31"/>
        <v>19.838752956</v>
      </c>
      <c r="H90" s="202">
        <f t="shared" si="31"/>
        <v>19.838752956</v>
      </c>
      <c r="I90" s="202">
        <f t="shared" si="31"/>
        <v>33.064588260000001</v>
      </c>
      <c r="J90" s="198"/>
      <c r="K90" s="203" t="s">
        <v>14</v>
      </c>
      <c r="L90" s="215">
        <f>'5-Opbouw uurtarieven'!AI48</f>
        <v>13.225835304</v>
      </c>
    </row>
    <row r="91" spans="1:12">
      <c r="A91" s="201" t="str">
        <f>A$105</f>
        <v>21.30 - 24.00</v>
      </c>
      <c r="B91" s="202">
        <f t="shared" ref="B91:I91" si="32">SUM((1+B$105)*$L88)+$L89</f>
        <v>17.193585895200002</v>
      </c>
      <c r="C91" s="202">
        <f t="shared" si="32"/>
        <v>17.193585895200002</v>
      </c>
      <c r="D91" s="202">
        <f t="shared" si="32"/>
        <v>17.193585895200002</v>
      </c>
      <c r="E91" s="202">
        <f t="shared" si="32"/>
        <v>17.193585895200002</v>
      </c>
      <c r="F91" s="202">
        <f t="shared" si="32"/>
        <v>19.838752956</v>
      </c>
      <c r="G91" s="202">
        <f t="shared" si="32"/>
        <v>19.838752956</v>
      </c>
      <c r="H91" s="202">
        <f t="shared" si="32"/>
        <v>19.838752956</v>
      </c>
      <c r="I91" s="202">
        <f t="shared" si="32"/>
        <v>33.064588260000001</v>
      </c>
      <c r="J91" s="198"/>
      <c r="K91" s="207"/>
      <c r="L91" s="207"/>
    </row>
    <row r="92" spans="1:12">
      <c r="A92" s="205"/>
      <c r="B92" s="206"/>
      <c r="C92" s="206"/>
      <c r="D92" s="206"/>
      <c r="E92" s="206"/>
      <c r="F92" s="206"/>
      <c r="G92" s="206"/>
      <c r="H92" s="206"/>
      <c r="I92" s="219"/>
      <c r="J92" s="198"/>
      <c r="K92" s="207"/>
      <c r="L92" s="207"/>
    </row>
    <row r="93" spans="1:12">
      <c r="A93" s="208"/>
      <c r="B93" s="192"/>
      <c r="C93" s="192"/>
      <c r="D93" s="192"/>
      <c r="E93" s="198"/>
      <c r="F93" s="198"/>
      <c r="G93" s="198"/>
      <c r="H93" s="198"/>
      <c r="I93" s="198"/>
      <c r="J93" s="187"/>
      <c r="K93" s="207"/>
      <c r="L93" s="207"/>
    </row>
    <row r="94" spans="1:12" ht="17.100000000000001" customHeight="1">
      <c r="A94" s="216" t="s">
        <v>311</v>
      </c>
      <c r="B94" s="189"/>
      <c r="C94" s="189"/>
      <c r="D94" s="189"/>
      <c r="E94" s="190"/>
      <c r="F94" s="190"/>
      <c r="G94" s="190"/>
      <c r="H94" s="190"/>
      <c r="I94" s="217" t="s">
        <v>75</v>
      </c>
      <c r="J94" s="192"/>
      <c r="K94" s="193" t="str">
        <f>A94</f>
        <v>Regietarief</v>
      </c>
      <c r="L94" s="194" t="s">
        <v>11</v>
      </c>
    </row>
    <row r="95" spans="1:12">
      <c r="A95" s="195" t="s">
        <v>239</v>
      </c>
      <c r="B95" s="196" t="s">
        <v>240</v>
      </c>
      <c r="C95" s="196" t="s">
        <v>241</v>
      </c>
      <c r="D95" s="196" t="s">
        <v>242</v>
      </c>
      <c r="E95" s="197" t="s">
        <v>243</v>
      </c>
      <c r="F95" s="197" t="s">
        <v>244</v>
      </c>
      <c r="G95" s="197" t="s">
        <v>245</v>
      </c>
      <c r="H95" s="197" t="s">
        <v>148</v>
      </c>
      <c r="I95" s="218" t="s">
        <v>160</v>
      </c>
      <c r="J95" s="198"/>
      <c r="K95" s="199" t="s">
        <v>12</v>
      </c>
      <c r="L95" s="214">
        <f>'5-Opbouw uurtarieven'!AL27</f>
        <v>10.90921824</v>
      </c>
    </row>
    <row r="96" spans="1:12">
      <c r="A96" s="201" t="str">
        <f>A$103</f>
        <v>00.00 - 06.00</v>
      </c>
      <c r="B96" s="202">
        <f t="shared" ref="B96:I96" si="33">SUM((1+B$103)*$L95)+$L96</f>
        <v>16.363827359999998</v>
      </c>
      <c r="C96" s="202">
        <f t="shared" si="33"/>
        <v>14.181983711999999</v>
      </c>
      <c r="D96" s="202">
        <f t="shared" si="33"/>
        <v>14.181983711999999</v>
      </c>
      <c r="E96" s="202">
        <f t="shared" si="33"/>
        <v>14.181983711999999</v>
      </c>
      <c r="F96" s="202">
        <f t="shared" si="33"/>
        <v>14.181983711999999</v>
      </c>
      <c r="G96" s="202">
        <f t="shared" si="33"/>
        <v>16.363827359999998</v>
      </c>
      <c r="H96" s="202">
        <f t="shared" si="33"/>
        <v>16.363827359999998</v>
      </c>
      <c r="I96" s="202">
        <f t="shared" si="33"/>
        <v>27.2730456</v>
      </c>
      <c r="J96" s="198"/>
      <c r="K96" s="199" t="s">
        <v>13</v>
      </c>
      <c r="L96" s="214">
        <f>L97-L95</f>
        <v>0</v>
      </c>
    </row>
    <row r="97" spans="1:12">
      <c r="A97" s="201" t="str">
        <f>A$104</f>
        <v>06.00 - 21.30</v>
      </c>
      <c r="B97" s="202">
        <f t="shared" ref="B97:I97" si="34">SUM((1+B$104)*$L95)+$L96</f>
        <v>10.90921824</v>
      </c>
      <c r="C97" s="202">
        <f t="shared" si="34"/>
        <v>10.90921824</v>
      </c>
      <c r="D97" s="202">
        <f t="shared" si="34"/>
        <v>10.90921824</v>
      </c>
      <c r="E97" s="202">
        <f t="shared" si="34"/>
        <v>10.90921824</v>
      </c>
      <c r="F97" s="202">
        <f t="shared" si="34"/>
        <v>10.90921824</v>
      </c>
      <c r="G97" s="202">
        <f t="shared" si="34"/>
        <v>16.363827359999998</v>
      </c>
      <c r="H97" s="202">
        <f t="shared" si="34"/>
        <v>16.363827359999998</v>
      </c>
      <c r="I97" s="202">
        <f t="shared" si="34"/>
        <v>27.2730456</v>
      </c>
      <c r="J97" s="198"/>
      <c r="K97" s="203" t="s">
        <v>14</v>
      </c>
      <c r="L97" s="556">
        <f>'5-Opbouw uurtarieven'!AL48</f>
        <v>10.90921824</v>
      </c>
    </row>
    <row r="98" spans="1:12">
      <c r="A98" s="201" t="str">
        <f>A$105</f>
        <v>21.30 - 24.00</v>
      </c>
      <c r="B98" s="202">
        <f t="shared" ref="B98:I98" si="35">SUM((1+B$105)*$L95)+$L96</f>
        <v>14.181983711999999</v>
      </c>
      <c r="C98" s="202">
        <f t="shared" si="35"/>
        <v>14.181983711999999</v>
      </c>
      <c r="D98" s="202">
        <f t="shared" si="35"/>
        <v>14.181983711999999</v>
      </c>
      <c r="E98" s="202">
        <f t="shared" si="35"/>
        <v>14.181983711999999</v>
      </c>
      <c r="F98" s="202">
        <f t="shared" si="35"/>
        <v>16.363827359999998</v>
      </c>
      <c r="G98" s="202">
        <f t="shared" si="35"/>
        <v>16.363827359999998</v>
      </c>
      <c r="H98" s="202">
        <f t="shared" si="35"/>
        <v>16.363827359999998</v>
      </c>
      <c r="I98" s="202">
        <f t="shared" si="35"/>
        <v>27.2730456</v>
      </c>
      <c r="J98" s="198"/>
      <c r="K98" s="207"/>
      <c r="L98" s="207"/>
    </row>
    <row r="99" spans="1:12">
      <c r="A99" s="205"/>
      <c r="B99" s="206"/>
      <c r="C99" s="206"/>
      <c r="D99" s="206"/>
      <c r="E99" s="206"/>
      <c r="F99" s="206"/>
      <c r="G99" s="206"/>
      <c r="H99" s="206"/>
      <c r="I99" s="219"/>
      <c r="J99" s="198"/>
      <c r="K99" s="207"/>
      <c r="L99" s="207"/>
    </row>
    <row r="100" spans="1:12">
      <c r="A100" s="208"/>
      <c r="B100" s="192"/>
      <c r="C100" s="192"/>
      <c r="D100" s="192"/>
      <c r="E100" s="198"/>
      <c r="F100" s="198"/>
      <c r="G100" s="198"/>
      <c r="H100" s="198"/>
      <c r="I100" s="198"/>
      <c r="J100" s="198"/>
      <c r="K100" s="207"/>
      <c r="L100" s="207"/>
    </row>
    <row r="101" spans="1:12" ht="17.100000000000001" customHeight="1">
      <c r="A101" s="223" t="s">
        <v>15</v>
      </c>
      <c r="B101" s="224"/>
      <c r="C101" s="224"/>
      <c r="D101" s="224"/>
      <c r="E101" s="225"/>
      <c r="F101" s="225"/>
      <c r="G101" s="225"/>
      <c r="H101" s="225"/>
      <c r="I101" s="226"/>
      <c r="K101" s="207"/>
      <c r="L101" s="207"/>
    </row>
    <row r="102" spans="1:12">
      <c r="A102" s="227" t="s">
        <v>239</v>
      </c>
      <c r="B102" s="228" t="s">
        <v>240</v>
      </c>
      <c r="C102" s="228" t="s">
        <v>241</v>
      </c>
      <c r="D102" s="228" t="s">
        <v>242</v>
      </c>
      <c r="E102" s="229" t="s">
        <v>243</v>
      </c>
      <c r="F102" s="229" t="s">
        <v>244</v>
      </c>
      <c r="G102" s="229" t="s">
        <v>245</v>
      </c>
      <c r="H102" s="229" t="s">
        <v>148</v>
      </c>
      <c r="I102" s="229" t="s">
        <v>160</v>
      </c>
      <c r="K102" s="207"/>
      <c r="L102" s="207"/>
    </row>
    <row r="103" spans="1:12">
      <c r="A103" s="230" t="s">
        <v>16</v>
      </c>
      <c r="B103" s="231">
        <v>0.5</v>
      </c>
      <c r="C103" s="231">
        <v>0.3</v>
      </c>
      <c r="D103" s="231">
        <v>0.3</v>
      </c>
      <c r="E103" s="231">
        <v>0.3</v>
      </c>
      <c r="F103" s="231">
        <v>0.3</v>
      </c>
      <c r="G103" s="231">
        <v>0.5</v>
      </c>
      <c r="H103" s="231">
        <v>0.5</v>
      </c>
      <c r="I103" s="231">
        <v>1.5</v>
      </c>
      <c r="K103" s="207"/>
      <c r="L103" s="207"/>
    </row>
    <row r="104" spans="1:12">
      <c r="A104" s="232" t="s">
        <v>259</v>
      </c>
      <c r="B104" s="231">
        <v>0</v>
      </c>
      <c r="C104" s="231">
        <v>0</v>
      </c>
      <c r="D104" s="231">
        <v>0</v>
      </c>
      <c r="E104" s="231">
        <v>0</v>
      </c>
      <c r="F104" s="231">
        <v>0</v>
      </c>
      <c r="G104" s="231">
        <v>0.5</v>
      </c>
      <c r="H104" s="231">
        <v>0.5</v>
      </c>
      <c r="I104" s="231">
        <v>1.5</v>
      </c>
      <c r="K104" s="207"/>
      <c r="L104" s="207"/>
    </row>
    <row r="105" spans="1:12">
      <c r="A105" s="232" t="s">
        <v>54</v>
      </c>
      <c r="B105" s="231">
        <v>0.3</v>
      </c>
      <c r="C105" s="231">
        <v>0.3</v>
      </c>
      <c r="D105" s="231">
        <v>0.3</v>
      </c>
      <c r="E105" s="231">
        <v>0.3</v>
      </c>
      <c r="F105" s="231">
        <v>0.5</v>
      </c>
      <c r="G105" s="231">
        <v>0.5</v>
      </c>
      <c r="H105" s="231">
        <v>0.5</v>
      </c>
      <c r="I105" s="231">
        <v>1.5</v>
      </c>
      <c r="K105" s="207"/>
      <c r="L105" s="207"/>
    </row>
    <row r="106" spans="1:12">
      <c r="A106" s="233"/>
      <c r="B106" s="233"/>
      <c r="C106" s="233"/>
      <c r="D106" s="233"/>
      <c r="E106" s="233"/>
      <c r="F106" s="233"/>
      <c r="G106" s="233"/>
      <c r="H106" s="233"/>
      <c r="I106" s="233"/>
      <c r="K106" s="207"/>
      <c r="L106" s="207"/>
    </row>
    <row r="107" spans="1:12">
      <c r="K107" s="207"/>
      <c r="L107" s="207"/>
    </row>
    <row r="108" spans="1:12">
      <c r="K108" s="207"/>
      <c r="L108" s="207"/>
    </row>
    <row r="109" spans="1:12">
      <c r="K109" s="207"/>
      <c r="L109" s="207"/>
    </row>
    <row r="110" spans="1:12">
      <c r="K110" s="207"/>
      <c r="L110" s="207"/>
    </row>
    <row r="111" spans="1:12">
      <c r="K111" s="207"/>
      <c r="L111" s="207"/>
    </row>
    <row r="112" spans="1:12">
      <c r="K112" s="207"/>
      <c r="L112" s="207"/>
    </row>
    <row r="113" spans="11:12">
      <c r="K113" s="207"/>
      <c r="L113" s="207"/>
    </row>
    <row r="114" spans="11:12">
      <c r="K114" s="207"/>
      <c r="L114" s="207"/>
    </row>
    <row r="115" spans="11:12">
      <c r="K115" s="207"/>
      <c r="L115" s="207"/>
    </row>
    <row r="116" spans="11:12">
      <c r="K116" s="207"/>
      <c r="L116" s="207"/>
    </row>
    <row r="117" spans="11:12">
      <c r="K117" s="207"/>
      <c r="L117" s="207"/>
    </row>
    <row r="118" spans="11:12">
      <c r="K118" s="207"/>
      <c r="L118" s="207"/>
    </row>
    <row r="119" spans="11:12">
      <c r="K119" s="207"/>
      <c r="L119" s="207"/>
    </row>
    <row r="120" spans="11:12">
      <c r="K120" s="207"/>
      <c r="L120" s="207"/>
    </row>
    <row r="121" spans="11:12">
      <c r="K121" s="207"/>
      <c r="L121" s="207"/>
    </row>
    <row r="122" spans="11:12">
      <c r="K122" s="207"/>
      <c r="L122" s="207"/>
    </row>
    <row r="123" spans="11:12">
      <c r="K123" s="207"/>
      <c r="L123" s="207"/>
    </row>
    <row r="124" spans="11:12">
      <c r="K124" s="207"/>
      <c r="L124" s="207"/>
    </row>
    <row r="125" spans="11:12">
      <c r="K125" s="207"/>
      <c r="L125" s="207"/>
    </row>
    <row r="126" spans="11:12">
      <c r="K126" s="207"/>
      <c r="L126" s="207"/>
    </row>
    <row r="127" spans="11:12">
      <c r="K127" s="207"/>
      <c r="L127" s="207"/>
    </row>
    <row r="128" spans="11:12">
      <c r="K128" s="207"/>
      <c r="L128" s="207"/>
    </row>
    <row r="129" spans="11:12">
      <c r="K129" s="207"/>
      <c r="L129" s="207"/>
    </row>
    <row r="130" spans="11:12">
      <c r="K130" s="207"/>
      <c r="L130" s="207"/>
    </row>
    <row r="131" spans="11:12">
      <c r="K131" s="207"/>
      <c r="L131" s="207"/>
    </row>
    <row r="132" spans="11:12">
      <c r="K132" s="207"/>
      <c r="L132" s="207"/>
    </row>
    <row r="133" spans="11:12">
      <c r="K133" s="207"/>
      <c r="L133" s="207"/>
    </row>
    <row r="134" spans="11:12">
      <c r="K134" s="207"/>
      <c r="L134" s="207"/>
    </row>
    <row r="135" spans="11:12">
      <c r="K135" s="207"/>
      <c r="L135" s="207"/>
    </row>
    <row r="136" spans="11:12">
      <c r="K136" s="207"/>
      <c r="L136" s="207"/>
    </row>
    <row r="137" spans="11:12">
      <c r="K137" s="207"/>
      <c r="L137" s="207"/>
    </row>
    <row r="138" spans="11:12">
      <c r="K138" s="207"/>
      <c r="L138" s="207"/>
    </row>
    <row r="139" spans="11:12">
      <c r="K139" s="207"/>
      <c r="L139" s="207"/>
    </row>
    <row r="140" spans="11:12">
      <c r="K140" s="207"/>
      <c r="L140" s="207"/>
    </row>
    <row r="141" spans="11:12">
      <c r="K141" s="207"/>
      <c r="L141" s="207"/>
    </row>
    <row r="142" spans="11:12">
      <c r="K142" s="207"/>
      <c r="L142" s="207"/>
    </row>
    <row r="143" spans="11:12">
      <c r="K143" s="207"/>
      <c r="L143" s="207"/>
    </row>
    <row r="144" spans="11:12">
      <c r="K144" s="207"/>
      <c r="L144" s="207"/>
    </row>
    <row r="145" spans="11:12">
      <c r="K145" s="207"/>
      <c r="L145" s="207"/>
    </row>
    <row r="146" spans="11:12">
      <c r="K146" s="207"/>
      <c r="L146" s="207"/>
    </row>
    <row r="147" spans="11:12">
      <c r="K147" s="207"/>
      <c r="L147" s="207"/>
    </row>
    <row r="148" spans="11:12">
      <c r="K148" s="207"/>
      <c r="L148" s="207"/>
    </row>
    <row r="149" spans="11:12">
      <c r="K149" s="207"/>
      <c r="L149" s="207"/>
    </row>
    <row r="150" spans="11:12">
      <c r="K150" s="207"/>
      <c r="L150" s="207"/>
    </row>
    <row r="151" spans="11:12">
      <c r="K151" s="207"/>
      <c r="L151" s="207"/>
    </row>
    <row r="152" spans="11:12">
      <c r="K152" s="207"/>
      <c r="L152" s="207"/>
    </row>
    <row r="153" spans="11:12">
      <c r="K153" s="207"/>
      <c r="L153" s="207"/>
    </row>
    <row r="154" spans="11:12">
      <c r="K154" s="207"/>
      <c r="L154" s="207"/>
    </row>
    <row r="155" spans="11:12">
      <c r="K155" s="207"/>
      <c r="L155" s="207"/>
    </row>
    <row r="156" spans="11:12">
      <c r="K156" s="207"/>
      <c r="L156" s="207"/>
    </row>
    <row r="157" spans="11:12">
      <c r="K157" s="207"/>
      <c r="L157" s="207"/>
    </row>
    <row r="158" spans="11:12">
      <c r="K158" s="207"/>
      <c r="L158" s="207"/>
    </row>
    <row r="159" spans="11:12">
      <c r="K159" s="207"/>
      <c r="L159" s="207"/>
    </row>
    <row r="160" spans="11:12">
      <c r="K160" s="207"/>
      <c r="L160" s="207"/>
    </row>
    <row r="161" spans="11:12">
      <c r="K161" s="207"/>
      <c r="L161" s="207"/>
    </row>
    <row r="162" spans="11:12">
      <c r="K162" s="207"/>
      <c r="L162" s="207"/>
    </row>
    <row r="163" spans="11:12">
      <c r="K163" s="207"/>
      <c r="L163" s="207"/>
    </row>
    <row r="164" spans="11:12">
      <c r="K164" s="207"/>
      <c r="L164" s="207"/>
    </row>
    <row r="165" spans="11:12">
      <c r="K165" s="207"/>
      <c r="L165" s="207"/>
    </row>
    <row r="166" spans="11:12">
      <c r="K166" s="207"/>
      <c r="L166" s="207"/>
    </row>
    <row r="167" spans="11:12">
      <c r="K167" s="207"/>
      <c r="L167" s="207"/>
    </row>
    <row r="168" spans="11:12">
      <c r="K168" s="207"/>
      <c r="L168" s="207"/>
    </row>
    <row r="169" spans="11:12">
      <c r="K169" s="207"/>
      <c r="L169" s="207"/>
    </row>
    <row r="170" spans="11:12">
      <c r="K170" s="207"/>
      <c r="L170" s="207"/>
    </row>
    <row r="171" spans="11:12">
      <c r="K171" s="207"/>
      <c r="L171" s="207"/>
    </row>
    <row r="172" spans="11:12">
      <c r="K172" s="207"/>
      <c r="L172" s="207"/>
    </row>
    <row r="173" spans="11:12">
      <c r="K173" s="207"/>
      <c r="L173" s="207"/>
    </row>
    <row r="174" spans="11:12">
      <c r="K174" s="207"/>
      <c r="L174" s="207"/>
    </row>
    <row r="175" spans="11:12">
      <c r="K175" s="207"/>
      <c r="L175" s="207"/>
    </row>
    <row r="176" spans="11:12">
      <c r="K176" s="207"/>
      <c r="L176" s="207"/>
    </row>
    <row r="177" spans="11:12">
      <c r="K177" s="207"/>
      <c r="L177" s="207"/>
    </row>
    <row r="178" spans="11:12">
      <c r="K178" s="207"/>
      <c r="L178" s="207"/>
    </row>
    <row r="179" spans="11:12">
      <c r="K179" s="207"/>
      <c r="L179" s="207"/>
    </row>
    <row r="180" spans="11:12">
      <c r="K180" s="207"/>
      <c r="L180" s="207"/>
    </row>
    <row r="181" spans="11:12">
      <c r="K181" s="207"/>
      <c r="L181" s="207"/>
    </row>
    <row r="182" spans="11:12">
      <c r="K182" s="207"/>
      <c r="L182" s="207"/>
    </row>
    <row r="183" spans="11:12">
      <c r="K183" s="207"/>
      <c r="L183" s="207"/>
    </row>
    <row r="184" spans="11:12">
      <c r="K184" s="207"/>
      <c r="L184" s="207"/>
    </row>
    <row r="185" spans="11:12">
      <c r="K185" s="207"/>
      <c r="L185" s="207"/>
    </row>
    <row r="186" spans="11:12">
      <c r="K186" s="207"/>
      <c r="L186" s="207"/>
    </row>
    <row r="187" spans="11:12">
      <c r="K187" s="207"/>
      <c r="L187" s="207"/>
    </row>
    <row r="188" spans="11:12">
      <c r="K188" s="207"/>
      <c r="L188" s="207"/>
    </row>
    <row r="189" spans="11:12">
      <c r="K189" s="207"/>
      <c r="L189" s="207"/>
    </row>
    <row r="190" spans="11:12">
      <c r="K190" s="207"/>
      <c r="L190" s="207"/>
    </row>
    <row r="191" spans="11:12">
      <c r="K191" s="207"/>
      <c r="L191" s="207"/>
    </row>
    <row r="192" spans="11:12">
      <c r="K192" s="207"/>
      <c r="L192" s="207"/>
    </row>
    <row r="193" spans="11:12">
      <c r="K193" s="207"/>
      <c r="L193" s="207"/>
    </row>
    <row r="194" spans="11:12">
      <c r="K194" s="207"/>
      <c r="L194" s="207"/>
    </row>
    <row r="195" spans="11:12">
      <c r="K195" s="207"/>
      <c r="L195" s="207"/>
    </row>
    <row r="196" spans="11:12">
      <c r="K196" s="207"/>
      <c r="L196" s="207"/>
    </row>
    <row r="197" spans="11:12">
      <c r="K197" s="207"/>
      <c r="L197" s="207"/>
    </row>
    <row r="198" spans="11:12">
      <c r="K198" s="207"/>
      <c r="L198" s="207"/>
    </row>
    <row r="199" spans="11:12">
      <c r="K199" s="207"/>
      <c r="L199" s="207"/>
    </row>
    <row r="200" spans="11:12">
      <c r="K200" s="207"/>
      <c r="L200" s="207"/>
    </row>
    <row r="201" spans="11:12">
      <c r="K201" s="207"/>
      <c r="L201" s="207"/>
    </row>
    <row r="202" spans="11:12">
      <c r="K202" s="207"/>
      <c r="L202" s="207"/>
    </row>
    <row r="203" spans="11:12">
      <c r="K203" s="207"/>
      <c r="L203" s="207"/>
    </row>
    <row r="204" spans="11:12">
      <c r="K204" s="207"/>
      <c r="L204" s="207"/>
    </row>
    <row r="205" spans="11:12">
      <c r="K205" s="207"/>
      <c r="L205" s="207"/>
    </row>
    <row r="206" spans="11:12">
      <c r="K206" s="207"/>
      <c r="L206" s="207"/>
    </row>
    <row r="207" spans="11:12">
      <c r="K207" s="207"/>
      <c r="L207" s="207"/>
    </row>
    <row r="208" spans="11:12">
      <c r="K208" s="207"/>
      <c r="L208" s="207"/>
    </row>
    <row r="209" spans="11:12">
      <c r="K209" s="207"/>
      <c r="L209" s="207"/>
    </row>
    <row r="210" spans="11:12">
      <c r="K210" s="207"/>
      <c r="L210" s="207"/>
    </row>
    <row r="211" spans="11:12">
      <c r="K211" s="207"/>
      <c r="L211" s="207"/>
    </row>
    <row r="212" spans="11:12">
      <c r="K212" s="207"/>
      <c r="L212" s="207"/>
    </row>
    <row r="213" spans="11:12">
      <c r="K213" s="207"/>
      <c r="L213" s="207"/>
    </row>
    <row r="214" spans="11:12">
      <c r="K214" s="207"/>
      <c r="L214" s="207"/>
    </row>
    <row r="215" spans="11:12">
      <c r="K215" s="207"/>
      <c r="L215" s="207"/>
    </row>
    <row r="216" spans="11:12">
      <c r="K216" s="207"/>
      <c r="L216" s="207"/>
    </row>
    <row r="217" spans="11:12">
      <c r="K217" s="207"/>
      <c r="L217" s="207"/>
    </row>
    <row r="218" spans="11:12">
      <c r="K218" s="207"/>
      <c r="L218" s="207"/>
    </row>
    <row r="219" spans="11:12">
      <c r="K219" s="207"/>
      <c r="L219" s="207"/>
    </row>
    <row r="220" spans="11:12">
      <c r="K220" s="207"/>
      <c r="L220" s="207"/>
    </row>
    <row r="221" spans="11:12">
      <c r="K221" s="207"/>
      <c r="L221" s="207"/>
    </row>
    <row r="222" spans="11:12">
      <c r="K222" s="207"/>
      <c r="L222" s="207"/>
    </row>
    <row r="223" spans="11:12">
      <c r="K223" s="207"/>
      <c r="L223" s="207"/>
    </row>
    <row r="224" spans="11:12">
      <c r="K224" s="207"/>
      <c r="L224" s="207"/>
    </row>
    <row r="225" spans="11:12">
      <c r="K225" s="207"/>
      <c r="L225" s="207"/>
    </row>
    <row r="226" spans="11:12">
      <c r="K226" s="207"/>
      <c r="L226" s="207"/>
    </row>
  </sheetData>
  <mergeCells count="8">
    <mergeCell ref="A10:B10"/>
    <mergeCell ref="A26:B26"/>
    <mergeCell ref="A87:B87"/>
    <mergeCell ref="A18:D18"/>
    <mergeCell ref="A34:D34"/>
    <mergeCell ref="A42:C42"/>
    <mergeCell ref="A57:C57"/>
    <mergeCell ref="A64:C64"/>
  </mergeCells>
  <phoneticPr fontId="8"/>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5"/>
  <sheetViews>
    <sheetView showGridLines="0" showZeros="0" workbookViewId="0">
      <pane ySplit="10" topLeftCell="A11" activePane="bottomLeft" state="frozen"/>
      <selection sqref="A1:XFD1048576"/>
      <selection pane="bottomLeft" activeCell="A11" sqref="A11"/>
    </sheetView>
  </sheetViews>
  <sheetFormatPr defaultColWidth="11.42578125" defaultRowHeight="12.75"/>
  <cols>
    <col min="1" max="1" width="42.42578125" style="35" customWidth="1"/>
    <col min="2" max="2" width="37.140625" style="35" bestFit="1" customWidth="1"/>
    <col min="3" max="3" width="11.42578125" style="35"/>
    <col min="4" max="4" width="12.42578125" style="35" bestFit="1" customWidth="1"/>
    <col min="5" max="16384" width="11.42578125" style="35"/>
  </cols>
  <sheetData>
    <row r="1" spans="1:4">
      <c r="A1" s="133" t="s">
        <v>103</v>
      </c>
      <c r="B1" s="134"/>
      <c r="C1" s="135"/>
      <c r="D1" s="136"/>
    </row>
    <row r="3" spans="1:4" ht="15">
      <c r="A3" s="137" t="str">
        <f>'1-Contractblad perceel 1 SMO'!A3</f>
        <v>Naam opdrachtgever</v>
      </c>
      <c r="B3" s="138" t="str">
        <f>'1-Contractblad perceel 1 SMO'!B3</f>
        <v>CSG het Noordik</v>
      </c>
      <c r="C3" s="139"/>
      <c r="D3" s="139"/>
    </row>
    <row r="4" spans="1:4" ht="15">
      <c r="A4" s="137" t="str">
        <f>'1-Contractblad perceel 1 SMO'!A4</f>
        <v>Calculatie onderdeel</v>
      </c>
      <c r="B4" s="138" t="s">
        <v>76</v>
      </c>
      <c r="C4" s="139"/>
      <c r="D4" s="139"/>
    </row>
    <row r="5" spans="1:4" ht="15">
      <c r="A5" s="137" t="str">
        <f>'1-Contractblad perceel 1 SMO'!A5</f>
        <v>Gebouw/plaats</v>
      </c>
      <c r="B5" s="138" t="str">
        <f>'1-Contractblad perceel 1 SMO'!B5</f>
        <v>Diversen</v>
      </c>
      <c r="C5" s="139"/>
      <c r="D5" s="139"/>
    </row>
    <row r="6" spans="1:4" ht="15">
      <c r="A6" s="137" t="str">
        <f>'1-Contractblad perceel 1 SMO'!A6</f>
        <v>Besteknummer</v>
      </c>
      <c r="B6" s="138" t="str">
        <f>'1-Contractblad perceel 1 SMO'!B6</f>
        <v>CSGN-EA-RT-2014</v>
      </c>
      <c r="C6" s="139"/>
      <c r="D6" s="139"/>
    </row>
    <row r="7" spans="1:4" ht="15">
      <c r="A7" s="137" t="str">
        <f>'1-Contractblad perceel 1 SMO'!A7</f>
        <v>Naam leverancier</v>
      </c>
      <c r="B7" s="138">
        <f>'1-Contractblad perceel 1 SMO'!B7</f>
        <v>0</v>
      </c>
      <c r="C7" s="139"/>
      <c r="D7" s="139"/>
    </row>
    <row r="8" spans="1:4" ht="15">
      <c r="A8" s="137" t="str">
        <f>'1-Contractblad perceel 1 SMO'!A8</f>
        <v>Prijspeil</v>
      </c>
      <c r="B8" s="140">
        <f>'1-Contractblad perceel 1 SMO'!B8</f>
        <v>2015</v>
      </c>
      <c r="C8" s="139"/>
      <c r="D8" s="139"/>
    </row>
    <row r="9" spans="1:4" ht="15">
      <c r="A9" s="71"/>
      <c r="B9" s="141"/>
      <c r="C9" s="139"/>
      <c r="D9" s="139"/>
    </row>
    <row r="10" spans="1:4" ht="15">
      <c r="A10" s="142" t="s">
        <v>256</v>
      </c>
      <c r="B10" s="143"/>
      <c r="C10" s="143"/>
      <c r="D10" s="144"/>
    </row>
    <row r="11" spans="1:4">
      <c r="A11" s="145"/>
      <c r="B11" s="145"/>
      <c r="C11" s="145"/>
      <c r="D11" s="145"/>
    </row>
    <row r="12" spans="1:4" ht="27.75" customHeight="1">
      <c r="A12" s="146" t="s">
        <v>257</v>
      </c>
      <c r="B12" s="147"/>
      <c r="C12" s="148"/>
      <c r="D12" s="149"/>
    </row>
    <row r="13" spans="1:4" ht="21.75" customHeight="1">
      <c r="A13" s="150" t="s">
        <v>258</v>
      </c>
      <c r="B13" s="151"/>
      <c r="C13" s="152"/>
      <c r="D13" s="153"/>
    </row>
    <row r="14" spans="1:4">
      <c r="A14" s="154"/>
      <c r="B14" s="155"/>
      <c r="C14" s="156"/>
      <c r="D14" s="157"/>
    </row>
    <row r="15" spans="1:4" ht="15">
      <c r="A15" s="158" t="s">
        <v>44</v>
      </c>
      <c r="B15" s="159"/>
      <c r="C15" s="160"/>
      <c r="D15" s="161" t="s">
        <v>7</v>
      </c>
    </row>
    <row r="16" spans="1:4">
      <c r="A16" s="92" t="s">
        <v>77</v>
      </c>
      <c r="B16" s="159"/>
      <c r="C16" s="162"/>
      <c r="D16" s="163"/>
    </row>
    <row r="17" spans="1:4">
      <c r="A17" s="92" t="s">
        <v>142</v>
      </c>
      <c r="B17" s="159"/>
      <c r="C17" s="162"/>
      <c r="D17" s="163"/>
    </row>
    <row r="18" spans="1:4">
      <c r="A18" s="92" t="s">
        <v>185</v>
      </c>
      <c r="B18" s="159"/>
      <c r="C18" s="162"/>
      <c r="D18" s="164">
        <f>D16-D17</f>
        <v>0</v>
      </c>
    </row>
    <row r="19" spans="1:4">
      <c r="A19" s="92" t="s">
        <v>190</v>
      </c>
      <c r="B19" s="159"/>
      <c r="C19" s="162"/>
      <c r="D19" s="165"/>
    </row>
    <row r="20" spans="1:4">
      <c r="A20" s="92" t="s">
        <v>187</v>
      </c>
      <c r="B20" s="159"/>
      <c r="C20" s="162"/>
      <c r="D20" s="163"/>
    </row>
    <row r="21" spans="1:4">
      <c r="A21" s="154"/>
      <c r="B21" s="155"/>
      <c r="C21" s="156"/>
      <c r="D21" s="157"/>
    </row>
    <row r="22" spans="1:4">
      <c r="A22" s="158" t="s">
        <v>163</v>
      </c>
      <c r="B22" s="159"/>
      <c r="C22" s="162"/>
      <c r="D22" s="166"/>
    </row>
    <row r="23" spans="1:4">
      <c r="A23" s="92" t="s">
        <v>143</v>
      </c>
      <c r="B23" s="159"/>
      <c r="C23" s="162"/>
      <c r="D23" s="164">
        <f>IF(D19=0,0,(D18-D20)/D19)</f>
        <v>0</v>
      </c>
    </row>
    <row r="24" spans="1:4">
      <c r="A24" s="92" t="s">
        <v>122</v>
      </c>
      <c r="B24" s="159"/>
      <c r="C24" s="162"/>
      <c r="D24" s="163"/>
    </row>
    <row r="25" spans="1:4">
      <c r="A25" s="92" t="s">
        <v>154</v>
      </c>
      <c r="B25" s="159"/>
      <c r="C25" s="167"/>
      <c r="D25" s="164">
        <f>C25*D18</f>
        <v>0</v>
      </c>
    </row>
    <row r="26" spans="1:4">
      <c r="A26" s="92" t="s">
        <v>199</v>
      </c>
      <c r="B26" s="159"/>
      <c r="C26" s="167"/>
      <c r="D26" s="164">
        <f>C26*D18</f>
        <v>0</v>
      </c>
    </row>
    <row r="27" spans="1:4">
      <c r="A27" s="154"/>
      <c r="B27" s="155"/>
      <c r="C27" s="156"/>
      <c r="D27" s="157"/>
    </row>
    <row r="28" spans="1:4">
      <c r="A28" s="158" t="s">
        <v>47</v>
      </c>
      <c r="B28" s="159"/>
      <c r="C28" s="162"/>
      <c r="D28" s="168">
        <f>SUM(D23:D27)</f>
        <v>0</v>
      </c>
    </row>
    <row r="29" spans="1:4">
      <c r="A29" s="154"/>
      <c r="B29" s="155"/>
      <c r="C29" s="156"/>
      <c r="D29" s="157"/>
    </row>
    <row r="30" spans="1:4">
      <c r="A30" s="92" t="s">
        <v>97</v>
      </c>
      <c r="B30" s="159"/>
      <c r="C30" s="169"/>
      <c r="D30" s="164">
        <f>C30*D28</f>
        <v>0</v>
      </c>
    </row>
    <row r="31" spans="1:4" ht="15">
      <c r="A31" s="71"/>
      <c r="B31" s="141"/>
      <c r="C31" s="139"/>
      <c r="D31" s="139"/>
    </row>
    <row r="32" spans="1:4" ht="27.75" customHeight="1">
      <c r="A32" s="146" t="s">
        <v>257</v>
      </c>
      <c r="B32" s="147"/>
      <c r="C32" s="148"/>
      <c r="D32" s="149"/>
    </row>
    <row r="33" spans="1:4" ht="21.75" customHeight="1">
      <c r="A33" s="150" t="s">
        <v>258</v>
      </c>
      <c r="B33" s="151"/>
      <c r="C33" s="152"/>
      <c r="D33" s="153"/>
    </row>
    <row r="34" spans="1:4">
      <c r="A34" s="154"/>
      <c r="B34" s="155"/>
      <c r="C34" s="156"/>
      <c r="D34" s="157"/>
    </row>
    <row r="35" spans="1:4" ht="15">
      <c r="A35" s="158" t="s">
        <v>44</v>
      </c>
      <c r="B35" s="159"/>
      <c r="C35" s="160"/>
      <c r="D35" s="161" t="s">
        <v>7</v>
      </c>
    </row>
    <row r="36" spans="1:4">
      <c r="A36" s="92" t="s">
        <v>77</v>
      </c>
      <c r="B36" s="159"/>
      <c r="C36" s="162"/>
      <c r="D36" s="163"/>
    </row>
    <row r="37" spans="1:4">
      <c r="A37" s="92" t="s">
        <v>142</v>
      </c>
      <c r="B37" s="159"/>
      <c r="C37" s="162"/>
      <c r="D37" s="163"/>
    </row>
    <row r="38" spans="1:4">
      <c r="A38" s="92" t="s">
        <v>185</v>
      </c>
      <c r="B38" s="159"/>
      <c r="C38" s="162"/>
      <c r="D38" s="164">
        <f>D36-D37</f>
        <v>0</v>
      </c>
    </row>
    <row r="39" spans="1:4">
      <c r="A39" s="92" t="s">
        <v>190</v>
      </c>
      <c r="B39" s="159"/>
      <c r="C39" s="162"/>
      <c r="D39" s="165"/>
    </row>
    <row r="40" spans="1:4">
      <c r="A40" s="92" t="s">
        <v>187</v>
      </c>
      <c r="B40" s="159"/>
      <c r="C40" s="162"/>
      <c r="D40" s="163"/>
    </row>
    <row r="41" spans="1:4">
      <c r="A41" s="154"/>
      <c r="B41" s="155"/>
      <c r="C41" s="156"/>
      <c r="D41" s="157"/>
    </row>
    <row r="42" spans="1:4">
      <c r="A42" s="158" t="s">
        <v>163</v>
      </c>
      <c r="B42" s="159"/>
      <c r="C42" s="162"/>
      <c r="D42" s="166"/>
    </row>
    <row r="43" spans="1:4">
      <c r="A43" s="92" t="s">
        <v>143</v>
      </c>
      <c r="B43" s="159"/>
      <c r="C43" s="162"/>
      <c r="D43" s="164">
        <f>IF(D39=0,0,(D38-D40)/D39)</f>
        <v>0</v>
      </c>
    </row>
    <row r="44" spans="1:4">
      <c r="A44" s="92" t="s">
        <v>122</v>
      </c>
      <c r="B44" s="159"/>
      <c r="C44" s="162"/>
      <c r="D44" s="163"/>
    </row>
    <row r="45" spans="1:4">
      <c r="A45" s="92" t="s">
        <v>154</v>
      </c>
      <c r="B45" s="159"/>
      <c r="C45" s="167"/>
      <c r="D45" s="164">
        <f>C45*D38</f>
        <v>0</v>
      </c>
    </row>
    <row r="46" spans="1:4">
      <c r="A46" s="92" t="s">
        <v>199</v>
      </c>
      <c r="B46" s="159"/>
      <c r="C46" s="167"/>
      <c r="D46" s="164">
        <f>C46*D38</f>
        <v>0</v>
      </c>
    </row>
    <row r="47" spans="1:4">
      <c r="A47" s="154"/>
      <c r="B47" s="155"/>
      <c r="C47" s="156"/>
      <c r="D47" s="157"/>
    </row>
    <row r="48" spans="1:4">
      <c r="A48" s="158" t="s">
        <v>47</v>
      </c>
      <c r="B48" s="159"/>
      <c r="C48" s="162"/>
      <c r="D48" s="168">
        <f>SUM(D43:D47)</f>
        <v>0</v>
      </c>
    </row>
    <row r="49" spans="1:4">
      <c r="A49" s="154"/>
      <c r="B49" s="155"/>
      <c r="C49" s="156"/>
      <c r="D49" s="157"/>
    </row>
    <row r="50" spans="1:4">
      <c r="A50" s="92" t="s">
        <v>97</v>
      </c>
      <c r="B50" s="159"/>
      <c r="C50" s="169"/>
      <c r="D50" s="164">
        <f>C50*D48</f>
        <v>0</v>
      </c>
    </row>
    <row r="51" spans="1:4">
      <c r="A51" s="170"/>
      <c r="B51" s="113"/>
      <c r="C51" s="171"/>
      <c r="D51" s="114"/>
    </row>
    <row r="52" spans="1:4" ht="27.75" customHeight="1">
      <c r="A52" s="146" t="s">
        <v>257</v>
      </c>
      <c r="B52" s="147"/>
      <c r="C52" s="148"/>
      <c r="D52" s="149"/>
    </row>
    <row r="53" spans="1:4" ht="21.75" customHeight="1">
      <c r="A53" s="150" t="s">
        <v>258</v>
      </c>
      <c r="B53" s="151"/>
      <c r="C53" s="152"/>
      <c r="D53" s="153"/>
    </row>
    <row r="54" spans="1:4">
      <c r="A54" s="154"/>
      <c r="B54" s="155"/>
      <c r="C54" s="156"/>
      <c r="D54" s="157"/>
    </row>
    <row r="55" spans="1:4" ht="15">
      <c r="A55" s="158" t="s">
        <v>44</v>
      </c>
      <c r="B55" s="159"/>
      <c r="C55" s="160"/>
      <c r="D55" s="161" t="s">
        <v>7</v>
      </c>
    </row>
    <row r="56" spans="1:4">
      <c r="A56" s="92" t="s">
        <v>77</v>
      </c>
      <c r="B56" s="159"/>
      <c r="C56" s="162"/>
      <c r="D56" s="163"/>
    </row>
    <row r="57" spans="1:4">
      <c r="A57" s="92" t="s">
        <v>142</v>
      </c>
      <c r="B57" s="159"/>
      <c r="C57" s="162"/>
      <c r="D57" s="163"/>
    </row>
    <row r="58" spans="1:4">
      <c r="A58" s="92" t="s">
        <v>185</v>
      </c>
      <c r="B58" s="159"/>
      <c r="C58" s="162"/>
      <c r="D58" s="164">
        <f>D56-D57</f>
        <v>0</v>
      </c>
    </row>
    <row r="59" spans="1:4">
      <c r="A59" s="92" t="s">
        <v>190</v>
      </c>
      <c r="B59" s="159"/>
      <c r="C59" s="162"/>
      <c r="D59" s="165"/>
    </row>
    <row r="60" spans="1:4">
      <c r="A60" s="92" t="s">
        <v>187</v>
      </c>
      <c r="B60" s="159"/>
      <c r="C60" s="162"/>
      <c r="D60" s="163"/>
    </row>
    <row r="61" spans="1:4">
      <c r="A61" s="154"/>
      <c r="B61" s="155"/>
      <c r="C61" s="156"/>
      <c r="D61" s="157"/>
    </row>
    <row r="62" spans="1:4">
      <c r="A62" s="158" t="s">
        <v>163</v>
      </c>
      <c r="B62" s="159"/>
      <c r="C62" s="162"/>
      <c r="D62" s="166"/>
    </row>
    <row r="63" spans="1:4">
      <c r="A63" s="92" t="s">
        <v>143</v>
      </c>
      <c r="B63" s="159"/>
      <c r="C63" s="162"/>
      <c r="D63" s="164">
        <f>IF(D59=0,0,(D58-D60)/D59)</f>
        <v>0</v>
      </c>
    </row>
    <row r="64" spans="1:4">
      <c r="A64" s="92" t="s">
        <v>122</v>
      </c>
      <c r="B64" s="159"/>
      <c r="C64" s="162"/>
      <c r="D64" s="163"/>
    </row>
    <row r="65" spans="1:4">
      <c r="A65" s="92" t="s">
        <v>154</v>
      </c>
      <c r="B65" s="159"/>
      <c r="C65" s="167"/>
      <c r="D65" s="164">
        <f>C65*D58</f>
        <v>0</v>
      </c>
    </row>
    <row r="66" spans="1:4">
      <c r="A66" s="92" t="s">
        <v>199</v>
      </c>
      <c r="B66" s="159"/>
      <c r="C66" s="167"/>
      <c r="D66" s="164">
        <f>C66*D58</f>
        <v>0</v>
      </c>
    </row>
    <row r="67" spans="1:4">
      <c r="A67" s="154"/>
      <c r="B67" s="155"/>
      <c r="C67" s="156"/>
      <c r="D67" s="157"/>
    </row>
    <row r="68" spans="1:4">
      <c r="A68" s="158" t="s">
        <v>47</v>
      </c>
      <c r="B68" s="159"/>
      <c r="C68" s="162"/>
      <c r="D68" s="168">
        <f>SUM(D63:D67)</f>
        <v>0</v>
      </c>
    </row>
    <row r="69" spans="1:4">
      <c r="A69" s="154"/>
      <c r="B69" s="155"/>
      <c r="C69" s="156"/>
      <c r="D69" s="157"/>
    </row>
    <row r="70" spans="1:4">
      <c r="A70" s="92" t="s">
        <v>97</v>
      </c>
      <c r="B70" s="159"/>
      <c r="C70" s="169"/>
      <c r="D70" s="164">
        <f>C70*D68</f>
        <v>0</v>
      </c>
    </row>
    <row r="71" spans="1:4">
      <c r="A71" s="170"/>
      <c r="B71" s="113"/>
      <c r="C71" s="171"/>
      <c r="D71" s="114"/>
    </row>
    <row r="72" spans="1:4" ht="15">
      <c r="A72" s="117" t="s">
        <v>141</v>
      </c>
      <c r="B72" s="172"/>
      <c r="C72" s="173"/>
      <c r="D72" s="114"/>
    </row>
    <row r="73" spans="1:4" ht="15">
      <c r="A73" s="174" t="s">
        <v>57</v>
      </c>
      <c r="B73" s="172"/>
      <c r="C73" s="173"/>
      <c r="D73" s="114"/>
    </row>
    <row r="74" spans="1:4" ht="15">
      <c r="A74" s="174" t="s">
        <v>0</v>
      </c>
      <c r="B74" s="172"/>
      <c r="C74" s="173"/>
      <c r="D74" s="114"/>
    </row>
    <row r="75" spans="1:4" ht="15">
      <c r="A75" s="174" t="s">
        <v>117</v>
      </c>
      <c r="B75" s="172"/>
      <c r="C75" s="173"/>
      <c r="D75" s="174"/>
    </row>
  </sheetData>
  <phoneticPr fontId="12" type="noConversion"/>
  <pageMargins left="0.59055118110236227" right="0.59055118110236227" top="0.59055118110236227" bottom="0.98425196850393704" header="0.51181102362204722" footer="0.51181102362204722"/>
  <headerFooter alignWithMargins="0">
    <oddFooter>&amp;L&amp;"Verdana,Regular"&amp;F-&amp;A
Atir b.v. ©&amp;C&amp;R&amp;"Lucida Grande,Regular"printversie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showZeros="0" workbookViewId="0">
      <pane ySplit="12" topLeftCell="A13" activePane="bottomLeft" state="frozen"/>
      <selection sqref="A1:XFD1048576"/>
      <selection pane="bottomLeft" activeCell="A40" sqref="A40"/>
    </sheetView>
  </sheetViews>
  <sheetFormatPr defaultColWidth="11.42578125" defaultRowHeight="12.75"/>
  <cols>
    <col min="1" max="1" width="33.85546875" style="35" customWidth="1"/>
    <col min="2" max="6" width="17.5703125" style="35" customWidth="1"/>
    <col min="7" max="16384" width="11.42578125" style="35"/>
  </cols>
  <sheetData>
    <row r="1" spans="1:6">
      <c r="A1" s="133" t="s">
        <v>103</v>
      </c>
    </row>
    <row r="3" spans="1:6" ht="15">
      <c r="A3" s="71" t="str">
        <f>'1-Contractblad perceel 1 SMO'!A3</f>
        <v>Naam opdrachtgever</v>
      </c>
      <c r="B3" s="72" t="str">
        <f>'1-Contractblad perceel 1 SMO'!B3</f>
        <v>CSG het Noordik</v>
      </c>
      <c r="C3" s="73"/>
      <c r="D3" s="73"/>
    </row>
    <row r="4" spans="1:6" ht="15">
      <c r="A4" s="71" t="str">
        <f>'1-Contractblad perceel 1 SMO'!A4</f>
        <v>Calculatie onderdeel</v>
      </c>
      <c r="B4" s="72" t="s">
        <v>121</v>
      </c>
      <c r="C4" s="74"/>
      <c r="D4" s="75"/>
    </row>
    <row r="5" spans="1:6" ht="15">
      <c r="A5" s="71" t="str">
        <f>'1-Contractblad perceel 1 SMO'!A5</f>
        <v>Gebouw/plaats</v>
      </c>
      <c r="B5" s="72" t="str">
        <f>'1-Contractblad perceel 1 SMO'!B5</f>
        <v>Diversen</v>
      </c>
      <c r="C5" s="74"/>
      <c r="D5" s="75"/>
    </row>
    <row r="6" spans="1:6" ht="15">
      <c r="A6" s="71" t="str">
        <f>'1-Contractblad perceel 1 SMO'!A6</f>
        <v>Besteknummer</v>
      </c>
      <c r="B6" s="72" t="str">
        <f>'1-Contractblad perceel 1 SMO'!B6</f>
        <v>CSGN-EA-RT-2014</v>
      </c>
      <c r="C6" s="74"/>
      <c r="D6" s="75"/>
    </row>
    <row r="7" spans="1:6" ht="15">
      <c r="A7" s="71" t="str">
        <f>'1-Contractblad perceel 1 SMO'!A7</f>
        <v>Naam leverancier</v>
      </c>
      <c r="B7" s="72">
        <f>'1-Contractblad perceel 1 SMO'!B7</f>
        <v>0</v>
      </c>
      <c r="C7" s="74"/>
      <c r="D7" s="75"/>
    </row>
    <row r="8" spans="1:6" ht="15">
      <c r="A8" s="71" t="str">
        <f>'1-Contractblad perceel 1 SMO'!A8</f>
        <v>Prijspeil</v>
      </c>
      <c r="B8" s="76">
        <f>'1-Contractblad perceel 1 SMO'!B8</f>
        <v>2015</v>
      </c>
      <c r="C8" s="74"/>
      <c r="D8" s="75"/>
    </row>
    <row r="9" spans="1:6" ht="15">
      <c r="A9" s="71" t="str">
        <f>'1-Contractblad perceel 1 SMO'!A9</f>
        <v>Bijzonderheden</v>
      </c>
      <c r="B9" s="77" t="s">
        <v>17</v>
      </c>
      <c r="C9" s="74"/>
      <c r="D9" s="75"/>
    </row>
    <row r="10" spans="1:6" ht="15">
      <c r="A10" s="71"/>
      <c r="B10" s="77"/>
      <c r="C10" s="74"/>
      <c r="D10" s="75"/>
    </row>
    <row r="11" spans="1:6">
      <c r="A11" s="78"/>
      <c r="B11" s="79"/>
      <c r="C11" s="79"/>
      <c r="D11" s="79"/>
    </row>
    <row r="12" spans="1:6" ht="15">
      <c r="A12" s="80" t="s">
        <v>219</v>
      </c>
      <c r="B12" s="81"/>
      <c r="C12" s="81"/>
      <c r="D12" s="82"/>
      <c r="E12" s="82"/>
      <c r="F12" s="83"/>
    </row>
    <row r="14" spans="1:6">
      <c r="A14" s="84"/>
      <c r="B14" s="85"/>
      <c r="C14" s="671" t="s">
        <v>88</v>
      </c>
      <c r="D14" s="672"/>
      <c r="E14" s="672"/>
      <c r="F14" s="673"/>
    </row>
    <row r="15" spans="1:6">
      <c r="A15" s="86" t="s">
        <v>176</v>
      </c>
      <c r="B15" s="86" t="s">
        <v>46</v>
      </c>
      <c r="C15" s="87" t="s">
        <v>36</v>
      </c>
      <c r="D15" s="88" t="s">
        <v>37</v>
      </c>
      <c r="E15" s="88" t="s">
        <v>38</v>
      </c>
      <c r="F15" s="88" t="s">
        <v>39</v>
      </c>
    </row>
    <row r="16" spans="1:6">
      <c r="A16" s="89" t="s">
        <v>247</v>
      </c>
      <c r="B16" s="90" t="s">
        <v>133</v>
      </c>
      <c r="C16" s="91">
        <v>0</v>
      </c>
      <c r="D16" s="91">
        <v>0</v>
      </c>
      <c r="E16" s="91">
        <v>0</v>
      </c>
      <c r="F16" s="91">
        <v>0</v>
      </c>
    </row>
    <row r="17" spans="1:6">
      <c r="A17" s="89" t="s">
        <v>248</v>
      </c>
      <c r="B17" s="90" t="s">
        <v>134</v>
      </c>
      <c r="C17" s="91">
        <v>0</v>
      </c>
      <c r="D17" s="91">
        <v>0</v>
      </c>
      <c r="E17" s="91">
        <v>0</v>
      </c>
      <c r="F17" s="91">
        <v>0</v>
      </c>
    </row>
    <row r="18" spans="1:6">
      <c r="A18" s="92" t="s">
        <v>249</v>
      </c>
      <c r="B18" s="90"/>
      <c r="C18" s="91">
        <v>0</v>
      </c>
      <c r="D18" s="91">
        <v>0</v>
      </c>
      <c r="E18" s="91">
        <v>0</v>
      </c>
      <c r="F18" s="91">
        <v>0</v>
      </c>
    </row>
    <row r="19" spans="1:6">
      <c r="A19" s="92" t="s">
        <v>25</v>
      </c>
      <c r="B19" s="90"/>
      <c r="C19" s="91">
        <v>0</v>
      </c>
      <c r="D19" s="91">
        <v>0</v>
      </c>
      <c r="E19" s="91">
        <v>0</v>
      </c>
      <c r="F19" s="91">
        <v>0</v>
      </c>
    </row>
    <row r="20" spans="1:6" ht="12" customHeight="1">
      <c r="A20" s="93" t="s">
        <v>26</v>
      </c>
      <c r="B20" s="90"/>
      <c r="C20" s="91">
        <v>0</v>
      </c>
      <c r="D20" s="91">
        <v>0</v>
      </c>
      <c r="E20" s="91">
        <v>0</v>
      </c>
      <c r="F20" s="91">
        <v>0</v>
      </c>
    </row>
    <row r="21" spans="1:6">
      <c r="A21" s="93" t="s">
        <v>29</v>
      </c>
      <c r="B21" s="90"/>
      <c r="C21" s="91">
        <v>0</v>
      </c>
      <c r="D21" s="91">
        <v>0</v>
      </c>
      <c r="E21" s="91">
        <v>0</v>
      </c>
      <c r="F21" s="91">
        <v>0</v>
      </c>
    </row>
    <row r="22" spans="1:6">
      <c r="A22" s="94"/>
      <c r="B22" s="94"/>
      <c r="C22" s="94"/>
      <c r="D22" s="95"/>
    </row>
    <row r="23" spans="1:6" ht="15">
      <c r="A23" s="96" t="s">
        <v>246</v>
      </c>
      <c r="B23" s="97"/>
      <c r="C23" s="97"/>
      <c r="D23" s="98"/>
      <c r="E23" s="98"/>
      <c r="F23" s="99"/>
    </row>
    <row r="24" spans="1:6">
      <c r="A24" s="100" t="s">
        <v>99</v>
      </c>
      <c r="B24" s="101"/>
      <c r="C24" s="101"/>
      <c r="D24" s="102"/>
      <c r="E24" s="102"/>
      <c r="F24" s="103"/>
    </row>
    <row r="25" spans="1:6">
      <c r="A25" s="104"/>
      <c r="B25" s="104"/>
      <c r="C25" s="104"/>
      <c r="D25" s="104"/>
      <c r="E25" s="105"/>
      <c r="F25" s="105"/>
    </row>
    <row r="26" spans="1:6">
      <c r="A26" s="106"/>
      <c r="B26" s="107"/>
      <c r="C26" s="671" t="s">
        <v>89</v>
      </c>
      <c r="D26" s="672"/>
      <c r="E26" s="672"/>
      <c r="F26" s="673"/>
    </row>
    <row r="27" spans="1:6" s="108" customFormat="1">
      <c r="A27" s="86" t="s">
        <v>176</v>
      </c>
      <c r="B27" s="86" t="s">
        <v>46</v>
      </c>
      <c r="C27" s="87" t="s">
        <v>10</v>
      </c>
      <c r="D27" s="87" t="s">
        <v>189</v>
      </c>
      <c r="E27" s="87" t="s">
        <v>84</v>
      </c>
      <c r="F27" s="87" t="s">
        <v>62</v>
      </c>
    </row>
    <row r="28" spans="1:6">
      <c r="A28" s="109" t="s">
        <v>27</v>
      </c>
      <c r="B28" s="110"/>
      <c r="C28" s="91">
        <v>0</v>
      </c>
      <c r="D28" s="91">
        <v>0</v>
      </c>
      <c r="E28" s="91">
        <v>0</v>
      </c>
      <c r="F28" s="91">
        <v>0</v>
      </c>
    </row>
    <row r="29" spans="1:6">
      <c r="A29" s="109" t="s">
        <v>209</v>
      </c>
      <c r="B29" s="110"/>
      <c r="C29" s="91">
        <v>0</v>
      </c>
      <c r="D29" s="91">
        <v>0</v>
      </c>
      <c r="E29" s="91">
        <v>0</v>
      </c>
      <c r="F29" s="91">
        <v>0</v>
      </c>
    </row>
    <row r="30" spans="1:6">
      <c r="A30" s="109" t="s">
        <v>157</v>
      </c>
      <c r="B30" s="111"/>
      <c r="C30" s="91">
        <v>0</v>
      </c>
      <c r="D30" s="91">
        <v>0</v>
      </c>
      <c r="E30" s="91">
        <v>0</v>
      </c>
      <c r="F30" s="91">
        <v>0</v>
      </c>
    </row>
    <row r="31" spans="1:6">
      <c r="A31" s="112"/>
      <c r="B31" s="113"/>
      <c r="C31" s="113"/>
      <c r="D31" s="114"/>
    </row>
    <row r="32" spans="1:6" ht="15">
      <c r="A32" s="80" t="s">
        <v>59</v>
      </c>
      <c r="B32" s="115"/>
      <c r="C32" s="115"/>
      <c r="D32" s="115"/>
      <c r="E32" s="115"/>
      <c r="F32" s="116"/>
    </row>
    <row r="33" spans="1:7">
      <c r="A33" s="117"/>
      <c r="B33" s="94"/>
      <c r="C33" s="94"/>
      <c r="D33" s="95"/>
    </row>
    <row r="34" spans="1:7">
      <c r="A34" s="118" t="s">
        <v>176</v>
      </c>
      <c r="B34" s="84" t="s">
        <v>46</v>
      </c>
      <c r="C34" s="119"/>
      <c r="D34" s="119"/>
      <c r="E34" s="119"/>
      <c r="F34" s="120" t="s">
        <v>172</v>
      </c>
    </row>
    <row r="35" spans="1:7">
      <c r="A35" s="93" t="s">
        <v>5</v>
      </c>
      <c r="B35" s="121"/>
      <c r="C35" s="121"/>
      <c r="D35" s="121"/>
      <c r="E35" s="121"/>
      <c r="F35" s="122">
        <v>0</v>
      </c>
    </row>
    <row r="36" spans="1:7">
      <c r="A36" s="93" t="s">
        <v>207</v>
      </c>
      <c r="B36" s="123"/>
      <c r="C36" s="123"/>
      <c r="D36" s="123"/>
      <c r="E36" s="123"/>
      <c r="F36" s="122">
        <v>0</v>
      </c>
    </row>
    <row r="37" spans="1:7">
      <c r="A37" s="119"/>
      <c r="B37" s="119"/>
      <c r="C37" s="119"/>
      <c r="D37" s="119"/>
      <c r="E37" s="124"/>
      <c r="F37" s="124"/>
      <c r="G37" s="124"/>
    </row>
    <row r="38" spans="1:7" ht="25.5">
      <c r="A38" s="118" t="s">
        <v>176</v>
      </c>
      <c r="B38" s="125" t="s">
        <v>46</v>
      </c>
      <c r="C38" s="126"/>
      <c r="D38" s="127"/>
      <c r="E38" s="128" t="s">
        <v>255</v>
      </c>
      <c r="F38" s="129" t="s">
        <v>127</v>
      </c>
    </row>
    <row r="39" spans="1:7">
      <c r="A39" s="93" t="s">
        <v>132</v>
      </c>
      <c r="B39" s="130" t="s">
        <v>68</v>
      </c>
      <c r="C39" s="131"/>
      <c r="D39" s="123"/>
      <c r="E39" s="122">
        <v>0</v>
      </c>
      <c r="F39" s="122">
        <v>0</v>
      </c>
    </row>
    <row r="40" spans="1:7">
      <c r="A40" s="93" t="s">
        <v>24</v>
      </c>
      <c r="B40" s="130" t="s">
        <v>68</v>
      </c>
      <c r="C40" s="131"/>
      <c r="D40" s="123"/>
      <c r="E40" s="122">
        <v>0</v>
      </c>
      <c r="F40" s="122">
        <v>0</v>
      </c>
    </row>
    <row r="41" spans="1:7">
      <c r="A41" s="119"/>
      <c r="B41" s="119"/>
      <c r="C41" s="119"/>
      <c r="D41" s="119"/>
      <c r="E41" s="124"/>
      <c r="F41" s="124"/>
      <c r="G41" s="124"/>
    </row>
    <row r="42" spans="1:7" ht="25.5">
      <c r="A42" s="118" t="s">
        <v>176</v>
      </c>
      <c r="B42" s="125" t="s">
        <v>46</v>
      </c>
      <c r="C42" s="126"/>
      <c r="D42" s="127"/>
      <c r="E42" s="128" t="s">
        <v>140</v>
      </c>
      <c r="F42" s="129" t="s">
        <v>139</v>
      </c>
    </row>
    <row r="43" spans="1:7">
      <c r="A43" s="93" t="s">
        <v>250</v>
      </c>
      <c r="B43" s="130" t="s">
        <v>68</v>
      </c>
      <c r="C43" s="131"/>
      <c r="D43" s="123"/>
      <c r="E43" s="122">
        <v>0</v>
      </c>
      <c r="F43" s="122">
        <v>0</v>
      </c>
    </row>
    <row r="44" spans="1:7">
      <c r="A44" s="94"/>
      <c r="B44" s="95"/>
      <c r="C44" s="95"/>
      <c r="D44" s="94"/>
    </row>
    <row r="45" spans="1:7" ht="15">
      <c r="A45" s="132" t="s">
        <v>6</v>
      </c>
      <c r="B45" s="95"/>
      <c r="C45" s="95"/>
      <c r="D45" s="94"/>
    </row>
    <row r="46" spans="1:7">
      <c r="A46" s="94" t="s">
        <v>144</v>
      </c>
      <c r="B46" s="95"/>
      <c r="C46" s="95"/>
      <c r="D46" s="94"/>
    </row>
    <row r="47" spans="1:7">
      <c r="A47" s="94" t="s">
        <v>48</v>
      </c>
      <c r="B47" s="95"/>
      <c r="C47" s="95"/>
      <c r="D47" s="94"/>
    </row>
    <row r="48" spans="1:7">
      <c r="A48" s="94"/>
      <c r="B48" s="95"/>
      <c r="C48" s="95"/>
      <c r="D48" s="94"/>
    </row>
    <row r="49" spans="1:4">
      <c r="B49" s="134"/>
      <c r="C49" s="135"/>
      <c r="D49" s="136"/>
    </row>
    <row r="50" spans="1:4">
      <c r="A50" s="134"/>
      <c r="B50" s="134"/>
      <c r="C50" s="134"/>
      <c r="D50" s="134"/>
    </row>
  </sheetData>
  <mergeCells count="2">
    <mergeCell ref="C26:F26"/>
    <mergeCell ref="C14:F14"/>
  </mergeCells>
  <phoneticPr fontId="11"/>
  <conditionalFormatting sqref="F35:F36 C28:F30 E43:F43 E39:F40">
    <cfRule type="cellIs" dxfId="0" priority="1" stopIfTrue="1" operator="equal">
      <formula>"nvt"</formula>
    </cfRule>
  </conditionalFormatting>
  <printOptions horizontalCentered="1"/>
  <pageMargins left="0.59055118110236227" right="0.59055118110236227" top="0.59055118110236227" bottom="0.78740157480314965" header="0.39370078740157483" footer="0.19685039370078741"/>
  <headerFooter alignWithMargins="0">
    <oddFooter>&amp;L&amp;"Verdana,Regular"&amp;F-&amp;A
Atir b.v. ©&amp;C&amp;R&amp;"Verdana,Regular"printversie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showZeros="0" showOutlineSymbols="0" workbookViewId="0">
      <selection activeCell="A14" sqref="A14"/>
    </sheetView>
  </sheetViews>
  <sheetFormatPr defaultColWidth="9.28515625" defaultRowHeight="12.75"/>
  <cols>
    <col min="1" max="1" width="36.7109375" style="35" bestFit="1" customWidth="1"/>
    <col min="2" max="5" width="15.7109375" style="35" customWidth="1"/>
    <col min="6" max="6" width="12.85546875" style="35" bestFit="1" customWidth="1"/>
    <col min="7" max="7" width="2.140625" style="35" customWidth="1"/>
    <col min="8" max="8" width="7.85546875" style="35" customWidth="1"/>
    <col min="9" max="9" width="27" style="35" bestFit="1" customWidth="1"/>
    <col min="10" max="16384" width="9.28515625" style="35"/>
  </cols>
  <sheetData>
    <row r="1" spans="1:8" ht="18">
      <c r="A1" s="32" t="s">
        <v>188</v>
      </c>
      <c r="B1" s="33"/>
      <c r="C1" s="33"/>
      <c r="D1" s="33"/>
      <c r="E1" s="33"/>
      <c r="F1" s="34"/>
      <c r="G1" s="34"/>
      <c r="H1" s="34"/>
    </row>
    <row r="2" spans="1:8" ht="26.1" customHeight="1">
      <c r="A2" s="32" t="s">
        <v>82</v>
      </c>
      <c r="B2" s="26"/>
      <c r="C2" s="26"/>
      <c r="D2" s="26"/>
      <c r="E2" s="26"/>
      <c r="F2" s="36"/>
      <c r="G2" s="36"/>
      <c r="H2" s="36"/>
    </row>
    <row r="3" spans="1:8" ht="15">
      <c r="A3" s="37"/>
      <c r="B3" s="26"/>
      <c r="C3" s="26"/>
      <c r="D3" s="26"/>
      <c r="E3" s="26"/>
      <c r="F3" s="38"/>
      <c r="G3" s="39"/>
      <c r="H3" s="36"/>
    </row>
    <row r="4" spans="1:8" ht="15">
      <c r="A4" s="40" t="s">
        <v>215</v>
      </c>
      <c r="B4" s="41"/>
      <c r="C4" s="41"/>
      <c r="G4" s="42" t="s">
        <v>78</v>
      </c>
      <c r="H4" s="42"/>
    </row>
    <row r="5" spans="1:8" ht="15">
      <c r="A5" s="40"/>
      <c r="B5" s="41"/>
      <c r="C5" s="41"/>
      <c r="F5" s="43"/>
      <c r="G5" s="39"/>
      <c r="H5" s="36"/>
    </row>
    <row r="6" spans="1:8">
      <c r="A6" s="50"/>
      <c r="B6" s="44"/>
      <c r="C6" s="50"/>
      <c r="D6" s="44"/>
      <c r="E6" s="50"/>
      <c r="F6" s="45"/>
      <c r="G6" s="45"/>
      <c r="H6" s="46"/>
    </row>
    <row r="7" spans="1:8">
      <c r="A7" s="36"/>
      <c r="B7" s="51"/>
      <c r="C7" s="44"/>
      <c r="D7" s="51"/>
      <c r="E7" s="44"/>
      <c r="F7" s="45"/>
      <c r="G7" s="45"/>
      <c r="H7" s="46"/>
    </row>
    <row r="8" spans="1:8">
      <c r="A8" s="36"/>
      <c r="B8" s="51"/>
      <c r="C8" s="44"/>
      <c r="D8" s="51"/>
      <c r="E8" s="44"/>
      <c r="F8" s="45"/>
      <c r="G8" s="45"/>
      <c r="H8" s="46"/>
    </row>
    <row r="9" spans="1:8">
      <c r="A9" s="36"/>
      <c r="B9" s="51"/>
      <c r="C9" s="44"/>
      <c r="D9" s="51"/>
      <c r="E9" s="44"/>
      <c r="F9" s="45"/>
      <c r="G9" s="45"/>
      <c r="H9" s="46"/>
    </row>
    <row r="10" spans="1:8">
      <c r="A10" s="36"/>
      <c r="B10" s="51"/>
      <c r="C10" s="44"/>
      <c r="D10" s="51"/>
      <c r="E10" s="44"/>
      <c r="F10" s="52"/>
      <c r="G10" s="53"/>
      <c r="H10" s="54"/>
    </row>
    <row r="11" spans="1:8">
      <c r="A11" s="36"/>
      <c r="B11" s="51"/>
      <c r="C11" s="44"/>
      <c r="D11" s="51"/>
      <c r="E11" s="44"/>
      <c r="F11" s="52"/>
      <c r="G11" s="53"/>
      <c r="H11" s="55"/>
    </row>
    <row r="12" spans="1:8">
      <c r="A12" s="56"/>
      <c r="B12" s="44"/>
      <c r="C12" s="57"/>
      <c r="D12" s="44"/>
      <c r="E12" s="57"/>
      <c r="F12" s="58"/>
      <c r="G12" s="53"/>
      <c r="H12" s="59"/>
    </row>
    <row r="13" spans="1:8">
      <c r="A13" s="60"/>
      <c r="B13" s="44"/>
      <c r="C13" s="60"/>
      <c r="D13" s="44"/>
      <c r="E13" s="60"/>
      <c r="F13" s="61"/>
      <c r="G13" s="53"/>
      <c r="H13" s="59"/>
    </row>
    <row r="14" spans="1:8">
      <c r="A14" s="56"/>
      <c r="B14" s="51"/>
      <c r="C14" s="62"/>
      <c r="D14" s="44"/>
      <c r="E14" s="62"/>
      <c r="F14" s="58"/>
      <c r="G14" s="53"/>
      <c r="H14" s="59"/>
    </row>
    <row r="15" spans="1:8">
      <c r="A15" s="56"/>
      <c r="B15" s="51"/>
      <c r="C15" s="62"/>
      <c r="D15" s="44"/>
      <c r="E15" s="62"/>
      <c r="F15" s="58"/>
      <c r="G15" s="53"/>
      <c r="H15" s="59"/>
    </row>
    <row r="16" spans="1:8">
      <c r="A16" s="63"/>
      <c r="B16" s="63"/>
      <c r="C16" s="63"/>
      <c r="D16" s="63"/>
      <c r="E16" s="63"/>
      <c r="F16" s="64"/>
      <c r="G16" s="34"/>
      <c r="H16" s="34"/>
    </row>
    <row r="17" spans="1:8">
      <c r="A17" s="65"/>
      <c r="B17" s="65"/>
      <c r="C17" s="66"/>
      <c r="D17" s="66"/>
      <c r="E17" s="66"/>
      <c r="F17" s="34"/>
      <c r="G17" s="34"/>
      <c r="H17" s="34"/>
    </row>
    <row r="18" spans="1:8">
      <c r="A18" s="67"/>
      <c r="B18" s="68"/>
      <c r="C18" s="68"/>
      <c r="D18" s="69"/>
      <c r="E18" s="69"/>
      <c r="F18" s="34"/>
      <c r="G18" s="34"/>
      <c r="H18" s="34"/>
    </row>
    <row r="19" spans="1:8">
      <c r="C19" s="70"/>
      <c r="D19" s="70"/>
      <c r="E19" s="70"/>
      <c r="F19" s="10"/>
      <c r="G19" s="10"/>
      <c r="H19" s="10"/>
    </row>
  </sheetData>
  <dataConsolidate/>
  <phoneticPr fontId="8"/>
  <pageMargins left="0.59055118110236227" right="0.59055118110236227"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showZeros="0" zoomScale="91" zoomScaleNormal="91" workbookViewId="0">
      <pane ySplit="11" topLeftCell="A15" activePane="bottomLeft" state="frozen"/>
      <selection pane="bottomLeft" activeCell="E9" sqref="E9"/>
    </sheetView>
  </sheetViews>
  <sheetFormatPr defaultColWidth="9.28515625" defaultRowHeight="12.75"/>
  <cols>
    <col min="1" max="1" width="45.28515625" style="460" customWidth="1"/>
    <col min="2" max="2" width="16.140625" style="460" customWidth="1"/>
    <col min="3" max="3" width="21.5703125" style="460" customWidth="1"/>
    <col min="4" max="4" width="10.7109375" style="460" customWidth="1"/>
    <col min="5" max="5" width="16.85546875" style="460" bestFit="1" customWidth="1"/>
    <col min="6" max="6" width="17" style="460" bestFit="1" customWidth="1"/>
    <col min="7" max="7" width="16.28515625" style="460" customWidth="1"/>
    <col min="8" max="8" width="2.42578125" style="460" customWidth="1"/>
    <col min="9" max="9" width="17.7109375" style="460" customWidth="1"/>
    <col min="10" max="16384" width="9.28515625" style="460"/>
  </cols>
  <sheetData>
    <row r="1" spans="1:9">
      <c r="A1" s="458" t="s">
        <v>103</v>
      </c>
      <c r="B1" s="459"/>
    </row>
    <row r="2" spans="1:9" ht="15">
      <c r="A2" s="461"/>
      <c r="B2" s="459"/>
      <c r="E2" s="409"/>
      <c r="F2" s="409"/>
      <c r="G2" s="409"/>
    </row>
    <row r="3" spans="1:9" s="409" customFormat="1" ht="15">
      <c r="A3" s="462" t="s">
        <v>108</v>
      </c>
      <c r="B3" s="72" t="s">
        <v>362</v>
      </c>
      <c r="C3" s="413"/>
      <c r="D3" s="413"/>
    </row>
    <row r="4" spans="1:9" s="409" customFormat="1" ht="15">
      <c r="A4" s="462" t="s">
        <v>53</v>
      </c>
      <c r="B4" s="72" t="s">
        <v>714</v>
      </c>
      <c r="C4" s="413"/>
      <c r="D4" s="413"/>
    </row>
    <row r="5" spans="1:9" s="409" customFormat="1" ht="15">
      <c r="A5" s="462" t="s">
        <v>260</v>
      </c>
      <c r="B5" s="72" t="s">
        <v>363</v>
      </c>
      <c r="C5" s="413"/>
      <c r="D5" s="413"/>
    </row>
    <row r="6" spans="1:9" s="409" customFormat="1" ht="15">
      <c r="A6" s="462" t="s">
        <v>137</v>
      </c>
      <c r="B6" s="72" t="s">
        <v>364</v>
      </c>
      <c r="C6" s="413"/>
      <c r="D6" s="413"/>
    </row>
    <row r="7" spans="1:9" s="409" customFormat="1" ht="15">
      <c r="A7" s="462" t="s">
        <v>198</v>
      </c>
      <c r="B7" s="658"/>
      <c r="C7" s="659"/>
      <c r="D7" s="413"/>
    </row>
    <row r="8" spans="1:9" s="409" customFormat="1" ht="15">
      <c r="A8" s="462" t="s">
        <v>43</v>
      </c>
      <c r="B8" s="317">
        <v>2015</v>
      </c>
      <c r="C8" s="413"/>
      <c r="D8" s="413"/>
    </row>
    <row r="9" spans="1:9" s="409" customFormat="1" ht="15">
      <c r="A9" s="462" t="s">
        <v>138</v>
      </c>
      <c r="B9" s="413" t="s">
        <v>262</v>
      </c>
      <c r="C9" s="413"/>
      <c r="D9" s="413"/>
    </row>
    <row r="10" spans="1:9" s="409" customFormat="1" ht="15">
      <c r="A10" s="464"/>
      <c r="F10" s="463"/>
      <c r="G10" s="463"/>
    </row>
    <row r="11" spans="1:9" s="409" customFormat="1" ht="15">
      <c r="A11" s="465" t="s">
        <v>156</v>
      </c>
      <c r="B11" s="466"/>
      <c r="C11" s="466"/>
      <c r="D11" s="466"/>
      <c r="E11" s="466"/>
      <c r="F11" s="467"/>
      <c r="G11" s="468"/>
    </row>
    <row r="12" spans="1:9">
      <c r="I12" s="469"/>
    </row>
    <row r="13" spans="1:9" ht="38.25">
      <c r="A13" s="470" t="s">
        <v>45</v>
      </c>
      <c r="C13" s="471" t="s">
        <v>230</v>
      </c>
      <c r="D13" s="471" t="s">
        <v>161</v>
      </c>
      <c r="E13" s="471" t="s">
        <v>162</v>
      </c>
      <c r="F13" s="471" t="s">
        <v>28</v>
      </c>
      <c r="G13" s="472" t="s">
        <v>149</v>
      </c>
      <c r="H13" s="473"/>
      <c r="I13" s="473"/>
    </row>
    <row r="14" spans="1:9">
      <c r="A14" s="474" t="s">
        <v>56</v>
      </c>
      <c r="B14" s="475"/>
      <c r="C14" s="475"/>
      <c r="D14" s="476"/>
      <c r="E14" s="476"/>
      <c r="F14" s="477"/>
      <c r="G14" s="476"/>
      <c r="H14" s="473"/>
      <c r="I14" s="473"/>
    </row>
    <row r="15" spans="1:9">
      <c r="A15" s="478" t="s">
        <v>174</v>
      </c>
      <c r="G15" s="479"/>
    </row>
    <row r="16" spans="1:9">
      <c r="A16" s="480" t="s">
        <v>155</v>
      </c>
      <c r="B16" s="481"/>
      <c r="C16" s="482"/>
      <c r="D16" s="483"/>
      <c r="E16" s="484">
        <f>(SUM(uren_mavr)+SUM(uren_naloop))*C16</f>
        <v>0</v>
      </c>
      <c r="F16" s="485">
        <f>'5-Opbouw uurtarieven'!E48</f>
        <v>7.0888694399999999</v>
      </c>
      <c r="G16" s="485">
        <f>F16*E16</f>
        <v>0</v>
      </c>
      <c r="H16" s="486"/>
    </row>
    <row r="17" spans="1:9">
      <c r="A17" s="478" t="s">
        <v>83</v>
      </c>
      <c r="G17" s="479"/>
    </row>
    <row r="18" spans="1:9">
      <c r="A18" s="480" t="s">
        <v>155</v>
      </c>
      <c r="B18" s="481"/>
      <c r="C18" s="482"/>
      <c r="D18" s="483"/>
      <c r="E18" s="484">
        <f>(SUM(uren_mavr)+SUM(uren_naloop))*C18</f>
        <v>0</v>
      </c>
      <c r="F18" s="485">
        <f>'5-Opbouw uurtarieven'!H48</f>
        <v>9.550872</v>
      </c>
      <c r="G18" s="485">
        <f>F18*E18</f>
        <v>0</v>
      </c>
      <c r="H18" s="486"/>
    </row>
    <row r="19" spans="1:9">
      <c r="A19" s="478" t="s">
        <v>51</v>
      </c>
      <c r="C19" s="487"/>
      <c r="G19" s="479"/>
    </row>
    <row r="20" spans="1:9">
      <c r="A20" s="480" t="s">
        <v>155</v>
      </c>
      <c r="B20" s="481"/>
      <c r="C20" s="482"/>
      <c r="D20" s="483"/>
      <c r="E20" s="484">
        <f>(SUM(uren_mavr)+SUM(uren_naloop))*C20</f>
        <v>0</v>
      </c>
      <c r="F20" s="485">
        <f>'5-Opbouw uurtarieven'!K48</f>
        <v>10.90921824</v>
      </c>
      <c r="G20" s="485">
        <f>F20*E20</f>
        <v>0</v>
      </c>
      <c r="H20" s="486"/>
    </row>
    <row r="21" spans="1:9">
      <c r="A21" s="478" t="s">
        <v>40</v>
      </c>
      <c r="C21" s="487"/>
      <c r="G21" s="479"/>
    </row>
    <row r="22" spans="1:9">
      <c r="A22" s="480" t="s">
        <v>155</v>
      </c>
      <c r="B22" s="481"/>
      <c r="C22" s="482"/>
      <c r="D22" s="483"/>
      <c r="E22" s="484">
        <f>(SUM(uren_mavr)+SUM(uren_naloop))*C22</f>
        <v>0</v>
      </c>
      <c r="F22" s="485">
        <f>'5-Opbouw uurtarieven'!N48</f>
        <v>11.238192720000001</v>
      </c>
      <c r="G22" s="485">
        <f>F22*E22</f>
        <v>0</v>
      </c>
      <c r="H22" s="486"/>
    </row>
    <row r="23" spans="1:9">
      <c r="A23" s="478" t="s">
        <v>67</v>
      </c>
      <c r="C23" s="487"/>
      <c r="D23" s="484"/>
      <c r="E23" s="484"/>
      <c r="F23" s="485"/>
      <c r="G23" s="485"/>
    </row>
    <row r="24" spans="1:9">
      <c r="A24" s="480" t="s">
        <v>155</v>
      </c>
      <c r="B24" s="481"/>
      <c r="C24" s="482">
        <v>0</v>
      </c>
      <c r="D24" s="483"/>
      <c r="E24" s="488">
        <f>(SUM(uren_mavr)+SUM(uren_naloop))*C24</f>
        <v>0</v>
      </c>
      <c r="F24" s="485">
        <f>'5-Opbouw uurtarieven'!T48</f>
        <v>12.02348664</v>
      </c>
      <c r="G24" s="489">
        <f>F24*E24</f>
        <v>0</v>
      </c>
      <c r="I24" s="490" t="s">
        <v>98</v>
      </c>
    </row>
    <row r="25" spans="1:9">
      <c r="A25" s="491"/>
      <c r="C25" s="492">
        <f>SUM(C16:C24)</f>
        <v>0</v>
      </c>
      <c r="D25" s="476"/>
      <c r="E25" s="493">
        <f>SUM(E16:E24)</f>
        <v>0</v>
      </c>
      <c r="F25" s="494"/>
      <c r="G25" s="495">
        <f>SUM(G16:G24)</f>
        <v>0</v>
      </c>
      <c r="I25" s="496" t="e">
        <f>G25/E25</f>
        <v>#DIV/0!</v>
      </c>
    </row>
    <row r="26" spans="1:9">
      <c r="A26" s="491"/>
      <c r="C26" s="492"/>
      <c r="D26" s="476"/>
      <c r="E26" s="493"/>
      <c r="F26" s="494"/>
      <c r="G26" s="495"/>
      <c r="I26" s="600"/>
    </row>
    <row r="27" spans="1:9">
      <c r="A27" s="491" t="s">
        <v>746</v>
      </c>
      <c r="C27" s="601" t="s">
        <v>731</v>
      </c>
      <c r="D27" s="602"/>
      <c r="E27" s="603">
        <f>-SUMIF('3-Basis ruimtestaat'!R:R,"eigendienst",uren_mavr)</f>
        <v>0</v>
      </c>
      <c r="F27" s="604" t="e">
        <f>I25</f>
        <v>#DIV/0!</v>
      </c>
      <c r="G27" s="604" t="e">
        <f>F27*E27</f>
        <v>#DIV/0!</v>
      </c>
      <c r="I27" s="600"/>
    </row>
    <row r="28" spans="1:9">
      <c r="A28" s="491"/>
      <c r="C28" s="601"/>
      <c r="D28" s="602"/>
      <c r="E28" s="603"/>
      <c r="F28" s="604"/>
      <c r="G28" s="604"/>
      <c r="I28" s="600"/>
    </row>
    <row r="29" spans="1:9">
      <c r="A29" s="491" t="s">
        <v>744</v>
      </c>
      <c r="C29" s="601"/>
      <c r="D29" s="602">
        <v>200</v>
      </c>
      <c r="E29" s="501"/>
      <c r="F29" s="604" t="e">
        <f>I25</f>
        <v>#DIV/0!</v>
      </c>
      <c r="G29" s="604" t="e">
        <f>F29*E29</f>
        <v>#DIV/0!</v>
      </c>
      <c r="I29" s="600"/>
    </row>
    <row r="30" spans="1:9">
      <c r="A30" s="491"/>
      <c r="C30" s="492"/>
      <c r="D30" s="476"/>
      <c r="E30" s="493"/>
      <c r="F30" s="494"/>
      <c r="G30" s="497"/>
    </row>
    <row r="31" spans="1:9" ht="25.5">
      <c r="A31" s="605" t="s">
        <v>732</v>
      </c>
      <c r="B31" s="498" t="s">
        <v>230</v>
      </c>
      <c r="C31" s="498"/>
      <c r="D31" s="471"/>
      <c r="E31" s="471" t="s">
        <v>162</v>
      </c>
      <c r="F31" s="471" t="s">
        <v>28</v>
      </c>
      <c r="G31" s="472" t="s">
        <v>149</v>
      </c>
      <c r="H31" s="499"/>
      <c r="I31" s="499"/>
    </row>
    <row r="32" spans="1:9">
      <c r="A32" s="478" t="s">
        <v>191</v>
      </c>
      <c r="B32" s="500"/>
      <c r="C32" s="498"/>
      <c r="D32" s="471"/>
      <c r="G32" s="479"/>
      <c r="H32" s="499"/>
      <c r="I32" s="499"/>
    </row>
    <row r="33" spans="1:9">
      <c r="A33" s="480" t="s">
        <v>155</v>
      </c>
      <c r="B33" s="481">
        <f>IF(E$25=0,0,E33/E$25)</f>
        <v>0</v>
      </c>
      <c r="C33" s="498"/>
      <c r="D33" s="471"/>
      <c r="E33" s="501">
        <v>0</v>
      </c>
      <c r="F33" s="485">
        <f>'5-Opbouw uurtarieven'!T48</f>
        <v>12.02348664</v>
      </c>
      <c r="G33" s="485">
        <f>F33*E33</f>
        <v>0</v>
      </c>
      <c r="H33" s="499"/>
      <c r="I33" s="499"/>
    </row>
    <row r="34" spans="1:9">
      <c r="A34" s="478" t="s">
        <v>91</v>
      </c>
      <c r="B34" s="113"/>
      <c r="C34" s="498"/>
      <c r="D34" s="471"/>
      <c r="F34" s="485"/>
      <c r="G34" s="485"/>
      <c r="H34" s="499"/>
      <c r="I34" s="499"/>
    </row>
    <row r="35" spans="1:9">
      <c r="A35" s="480" t="s">
        <v>155</v>
      </c>
      <c r="B35" s="481">
        <f>IF(E$25=0,0,E35/E$25)</f>
        <v>0</v>
      </c>
      <c r="C35" s="498"/>
      <c r="D35" s="471"/>
      <c r="E35" s="501">
        <v>0</v>
      </c>
      <c r="F35" s="485">
        <f>'5-Opbouw uurtarieven'!Z48</f>
        <v>11.461046400000003</v>
      </c>
      <c r="G35" s="485">
        <f>F35*E35</f>
        <v>0</v>
      </c>
      <c r="H35" s="499"/>
      <c r="I35" s="499"/>
    </row>
    <row r="36" spans="1:9">
      <c r="A36" s="478" t="s">
        <v>114</v>
      </c>
      <c r="B36" s="113"/>
      <c r="C36" s="498"/>
      <c r="D36" s="471"/>
      <c r="F36" s="485"/>
      <c r="G36" s="485"/>
      <c r="H36" s="499"/>
      <c r="I36" s="499"/>
    </row>
    <row r="37" spans="1:9">
      <c r="A37" s="480" t="s">
        <v>155</v>
      </c>
      <c r="B37" s="481">
        <f>IF(E$25=0,0,E37/E$25)</f>
        <v>0</v>
      </c>
      <c r="C37" s="498"/>
      <c r="D37" s="471"/>
      <c r="E37" s="501">
        <f>E25*9.5%</f>
        <v>0</v>
      </c>
      <c r="F37" s="485">
        <f>'5-Opbouw uurtarieven'!AC48</f>
        <v>13.137755040000002</v>
      </c>
      <c r="G37" s="485">
        <f>F37*E37</f>
        <v>0</v>
      </c>
      <c r="H37" s="499"/>
      <c r="I37" s="499"/>
    </row>
    <row r="38" spans="1:9">
      <c r="A38" s="478" t="s">
        <v>115</v>
      </c>
      <c r="B38" s="113"/>
      <c r="C38" s="498"/>
      <c r="D38" s="471"/>
      <c r="E38" s="484"/>
      <c r="F38" s="485"/>
      <c r="G38" s="485"/>
      <c r="H38" s="499"/>
      <c r="I38" s="499"/>
    </row>
    <row r="39" spans="1:9">
      <c r="A39" s="480" t="s">
        <v>155</v>
      </c>
      <c r="B39" s="502">
        <f>IF(E$25=0,0,E39/E$25)</f>
        <v>0</v>
      </c>
      <c r="C39" s="498"/>
      <c r="D39" s="471"/>
      <c r="E39" s="501">
        <v>0</v>
      </c>
      <c r="F39" s="485">
        <f>'5-Opbouw uurtarieven'!AF48</f>
        <v>13.477341600000001</v>
      </c>
      <c r="G39" s="489">
        <f>F39*E39</f>
        <v>0</v>
      </c>
      <c r="H39" s="499"/>
      <c r="I39" s="490" t="s">
        <v>98</v>
      </c>
    </row>
    <row r="40" spans="1:9">
      <c r="A40" s="491"/>
      <c r="B40" s="481">
        <f>IF(E$25=0,0,E40/E$25)</f>
        <v>0</v>
      </c>
      <c r="C40" s="493"/>
      <c r="D40" s="476"/>
      <c r="E40" s="493">
        <f>SUM(E33:E39)</f>
        <v>0</v>
      </c>
      <c r="F40" s="494"/>
      <c r="G40" s="497">
        <f>SUM(G33:G39)</f>
        <v>0</v>
      </c>
      <c r="H40" s="499"/>
      <c r="I40" s="496" t="e">
        <f>G40/E40</f>
        <v>#DIV/0!</v>
      </c>
    </row>
    <row r="41" spans="1:9">
      <c r="A41" s="491"/>
      <c r="B41" s="499"/>
      <c r="C41" s="499"/>
      <c r="D41" s="499"/>
      <c r="E41" s="499"/>
      <c r="F41" s="494"/>
      <c r="G41" s="499"/>
      <c r="H41" s="499"/>
      <c r="I41" s="499"/>
    </row>
    <row r="42" spans="1:9">
      <c r="A42" s="491" t="s">
        <v>192</v>
      </c>
      <c r="B42" s="499"/>
      <c r="C42" s="499"/>
      <c r="D42" s="499"/>
      <c r="E42" s="499"/>
      <c r="F42" s="494"/>
      <c r="G42" s="485">
        <f>('7-Machine-investeringskosten'!D30+'7-Machine-investeringskosten'!D50+'7-Machine-investeringskosten'!D70)</f>
        <v>0</v>
      </c>
      <c r="H42" s="499"/>
      <c r="I42" s="499"/>
    </row>
    <row r="43" spans="1:9">
      <c r="A43" s="491"/>
      <c r="B43" s="499"/>
      <c r="C43" s="499"/>
      <c r="D43" s="499"/>
      <c r="E43" s="499"/>
      <c r="F43" s="494"/>
      <c r="G43" s="499"/>
      <c r="H43" s="499"/>
      <c r="I43" s="499"/>
    </row>
    <row r="44" spans="1:9">
      <c r="A44" s="503" t="s">
        <v>41</v>
      </c>
      <c r="G44" s="504" t="e">
        <f>G25+G40+G42+G27+G29</f>
        <v>#DIV/0!</v>
      </c>
      <c r="H44" s="499"/>
      <c r="I44" s="504"/>
    </row>
    <row r="45" spans="1:9">
      <c r="A45" s="505" t="s">
        <v>42</v>
      </c>
      <c r="F45" s="506">
        <v>0.21</v>
      </c>
      <c r="G45" s="489" t="e">
        <f>F45*G44</f>
        <v>#DIV/0!</v>
      </c>
      <c r="H45" s="499"/>
      <c r="I45" s="499"/>
    </row>
    <row r="46" spans="1:9">
      <c r="A46" s="505" t="s">
        <v>104</v>
      </c>
      <c r="F46" s="473" t="s">
        <v>186</v>
      </c>
      <c r="G46" s="485" t="e">
        <f>G45+G44</f>
        <v>#DIV/0!</v>
      </c>
      <c r="H46" s="499"/>
      <c r="I46" s="499"/>
    </row>
    <row r="47" spans="1:9">
      <c r="A47" s="491"/>
      <c r="B47" s="499"/>
      <c r="C47" s="499"/>
      <c r="D47" s="499"/>
      <c r="E47" s="499"/>
      <c r="F47" s="499"/>
      <c r="G47" s="485"/>
      <c r="H47" s="499"/>
      <c r="I47" s="499"/>
    </row>
    <row r="48" spans="1:9">
      <c r="I48" s="469"/>
    </row>
  </sheetData>
  <mergeCells count="1">
    <mergeCell ref="B7:C7"/>
  </mergeCells>
  <phoneticPr fontId="7"/>
  <pageMargins left="0.59055118110236227" right="0.59055118110236227" top="0.59055118110236227" bottom="0.78740157480314965" header="0.39370078740157483" footer="0.19685039370078741"/>
  <pageSetup paperSize="9" orientation="portrait" r:id="rId1"/>
  <headerFooter alignWithMargins="0">
    <oddHeader>&amp;L&amp;C&amp;R</oddHeader>
    <oddFooter>&amp;L&amp;"Verdana,Regular"&amp;F-&amp;A
Atir b.v. ©&amp;C&amp;R&amp;"Verdana,Regular"printversie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showZeros="0" zoomScale="86" zoomScaleNormal="86" workbookViewId="0">
      <pane ySplit="10" topLeftCell="A11" activePane="bottomLeft" state="frozen"/>
      <selection sqref="A1:XFD1048576"/>
      <selection pane="bottomLeft" activeCell="C12" sqref="C12"/>
    </sheetView>
  </sheetViews>
  <sheetFormatPr defaultColWidth="11.42578125" defaultRowHeight="12.75"/>
  <cols>
    <col min="1" max="1" width="22.85546875" style="35" customWidth="1"/>
    <col min="2" max="2" width="14.7109375" style="35" customWidth="1"/>
    <col min="3" max="3" width="14.5703125" style="35" customWidth="1"/>
    <col min="4" max="6" width="14.7109375" style="35" customWidth="1"/>
    <col min="7" max="8" width="16.42578125" style="35" customWidth="1"/>
    <col min="9" max="9" width="14.7109375" style="571" customWidth="1"/>
    <col min="10" max="10" width="14.7109375" style="35" customWidth="1"/>
    <col min="11" max="11" width="16.28515625" style="35" customWidth="1"/>
    <col min="12" max="12" width="14.7109375" style="35" customWidth="1"/>
    <col min="13" max="16384" width="11.42578125" style="35"/>
  </cols>
  <sheetData>
    <row r="1" spans="1:12">
      <c r="A1" s="579" t="s">
        <v>103</v>
      </c>
    </row>
    <row r="3" spans="1:12">
      <c r="A3" s="580" t="str">
        <f>'1-Contractblad perceel 1 SMO'!A3</f>
        <v>Naam opdrachtgever</v>
      </c>
      <c r="B3" s="581" t="str">
        <f>'1-Contractblad perceel 1 SMO'!B3</f>
        <v>CSG het Noordik</v>
      </c>
      <c r="C3" s="582"/>
      <c r="D3" s="582"/>
      <c r="E3" s="582"/>
    </row>
    <row r="4" spans="1:12">
      <c r="A4" s="580" t="str">
        <f>'1-Contractblad perceel 1 SMO'!A4</f>
        <v>Calculatie onderdeel</v>
      </c>
      <c r="B4" s="581" t="s">
        <v>717</v>
      </c>
      <c r="C4" s="583"/>
      <c r="D4" s="584"/>
      <c r="E4" s="584"/>
    </row>
    <row r="5" spans="1:12">
      <c r="A5" s="580" t="str">
        <f>'1-Contractblad perceel 1 SMO'!A5</f>
        <v>Gebouw/plaats</v>
      </c>
      <c r="B5" s="581" t="str">
        <f>'1-Contractblad perceel 1 SMO'!B5</f>
        <v>Diversen</v>
      </c>
      <c r="C5" s="583"/>
      <c r="D5" s="584"/>
      <c r="E5" s="584"/>
    </row>
    <row r="6" spans="1:12">
      <c r="A6" s="580" t="str">
        <f>'1-Contractblad perceel 1 SMO'!A6</f>
        <v>Besteknummer</v>
      </c>
      <c r="B6" s="581" t="str">
        <f>'1-Contractblad perceel 1 SMO'!B6</f>
        <v>CSGN-EA-RT-2014</v>
      </c>
      <c r="C6" s="583"/>
      <c r="D6" s="584"/>
      <c r="E6" s="584"/>
    </row>
    <row r="7" spans="1:12">
      <c r="A7" s="580" t="str">
        <f>'1-Contractblad perceel 1 SMO'!A7</f>
        <v>Naam leverancier</v>
      </c>
      <c r="B7" s="581">
        <f>'1-Contractblad perceel 1 SMO'!B7</f>
        <v>0</v>
      </c>
      <c r="C7" s="583"/>
      <c r="D7" s="584"/>
      <c r="E7" s="584"/>
    </row>
    <row r="8" spans="1:12">
      <c r="A8" s="580" t="str">
        <f>'1-Contractblad perceel 1 SMO'!A8</f>
        <v>Prijspeil</v>
      </c>
      <c r="B8" s="585">
        <f>'1-Contractblad perceel 1 SMO'!B8</f>
        <v>2015</v>
      </c>
      <c r="C8" s="583"/>
      <c r="D8" s="584"/>
      <c r="E8" s="584"/>
    </row>
    <row r="9" spans="1:12">
      <c r="A9" s="580" t="str">
        <f>'1-Contractblad perceel 1 SMO'!A9</f>
        <v>Bijzonderheden</v>
      </c>
      <c r="B9" s="586"/>
      <c r="C9" s="583"/>
      <c r="D9" s="584"/>
      <c r="E9" s="584"/>
    </row>
    <row r="10" spans="1:12">
      <c r="A10" s="78"/>
      <c r="B10" s="79"/>
      <c r="C10" s="79"/>
      <c r="D10" s="79"/>
      <c r="E10" s="79"/>
    </row>
    <row r="11" spans="1:12" ht="51">
      <c r="A11" s="418" t="s">
        <v>272</v>
      </c>
      <c r="B11" s="557" t="s">
        <v>368</v>
      </c>
      <c r="C11" s="557" t="s">
        <v>719</v>
      </c>
      <c r="D11" s="557" t="s">
        <v>720</v>
      </c>
      <c r="E11" s="557" t="s">
        <v>733</v>
      </c>
      <c r="F11" s="557" t="s">
        <v>718</v>
      </c>
      <c r="G11" s="576" t="s">
        <v>725</v>
      </c>
      <c r="H11" s="576" t="s">
        <v>745</v>
      </c>
      <c r="I11" s="576" t="s">
        <v>721</v>
      </c>
      <c r="J11" s="576" t="s">
        <v>722</v>
      </c>
      <c r="K11" s="587" t="s">
        <v>723</v>
      </c>
      <c r="L11" s="587" t="s">
        <v>724</v>
      </c>
    </row>
    <row r="12" spans="1:12" s="70" customFormat="1">
      <c r="A12" s="560" t="s">
        <v>698</v>
      </c>
      <c r="B12" s="591">
        <f>SUMIF(gebouw,A12,'3-Basis ruimtestaat'!H:H)</f>
        <v>392.01</v>
      </c>
      <c r="C12" s="597">
        <f>B12/$B$17</f>
        <v>1.8177636420376789E-2</v>
      </c>
      <c r="D12" s="592">
        <f>SUMIF(gebouw,A12,'3-Basis ruimtestaat'!K:K)+SUMIF(gebouw,A12,'3-Basis ruimtestaat'!L:L)</f>
        <v>0</v>
      </c>
      <c r="E12" s="611"/>
      <c r="F12" s="593">
        <f>D12*'1-Contractblad perceel 1 SMO'!$B$40</f>
        <v>0</v>
      </c>
      <c r="G12" s="577" t="e">
        <f>D12*'1-Contractblad perceel 1 SMO'!$I$25</f>
        <v>#DIV/0!</v>
      </c>
      <c r="H12" s="577"/>
      <c r="I12" s="572" t="e">
        <f>F12*'1-Contractblad perceel 1 SMO'!$I$40</f>
        <v>#DIV/0!</v>
      </c>
      <c r="J12" s="615"/>
      <c r="K12" s="564" t="e">
        <f>SUM(G12:J12)</f>
        <v>#DIV/0!</v>
      </c>
      <c r="L12" s="564" t="e">
        <f>K12/12</f>
        <v>#DIV/0!</v>
      </c>
    </row>
    <row r="13" spans="1:12" s="70" customFormat="1">
      <c r="A13" s="393" t="s">
        <v>595</v>
      </c>
      <c r="B13" s="591">
        <f>SUMIF(gebouw,A13,'3-Basis ruimtestaat'!H:H)</f>
        <v>11367.500000000007</v>
      </c>
      <c r="C13" s="597">
        <f>B13/$B$17</f>
        <v>0.52711482362346185</v>
      </c>
      <c r="D13" s="592">
        <f>SUMIF(gebouw,A13,'3-Basis ruimtestaat'!K:K)+SUMIF(gebouw,A13,'3-Basis ruimtestaat'!L:L)</f>
        <v>0</v>
      </c>
      <c r="E13" s="592"/>
      <c r="F13" s="593">
        <f>D13*'1-Contractblad perceel 1 SMO'!$B$40</f>
        <v>0</v>
      </c>
      <c r="G13" s="577" t="e">
        <f>D13*'1-Contractblad perceel 1 SMO'!$I$25</f>
        <v>#DIV/0!</v>
      </c>
      <c r="H13" s="577" t="e">
        <f>'1-Contractblad perceel 1 SMO'!G29</f>
        <v>#DIV/0!</v>
      </c>
      <c r="I13" s="572" t="e">
        <f>F13*'1-Contractblad perceel 1 SMO'!$I$40</f>
        <v>#DIV/0!</v>
      </c>
      <c r="J13" s="615"/>
      <c r="K13" s="564" t="e">
        <f t="shared" ref="K13:K15" si="0">SUM(G13:J13)</f>
        <v>#DIV/0!</v>
      </c>
      <c r="L13" s="564" t="e">
        <f>K13/12</f>
        <v>#DIV/0!</v>
      </c>
    </row>
    <row r="14" spans="1:12" s="70" customFormat="1">
      <c r="A14" s="560" t="s">
        <v>504</v>
      </c>
      <c r="B14" s="591">
        <f>SUMIF(gebouw,A14,'3-Basis ruimtestaat'!H:H)</f>
        <v>5898</v>
      </c>
      <c r="C14" s="597">
        <f>B14/$B$17</f>
        <v>0.27349225684901479</v>
      </c>
      <c r="D14" s="592">
        <f>SUMIF(gebouw,A14,'3-Basis ruimtestaat'!K:K)+SUMIF(gebouw,A14,'3-Basis ruimtestaat'!L:L)</f>
        <v>0</v>
      </c>
      <c r="E14" s="592">
        <f>'1-Contractblad perceel 1 SMO'!E27</f>
        <v>0</v>
      </c>
      <c r="F14" s="593">
        <f>D14*'1-Contractblad perceel 1 SMO'!$B$40</f>
        <v>0</v>
      </c>
      <c r="G14" s="577" t="e">
        <f>(D14+E14)*'1-Contractblad perceel 1 SMO'!$I$25</f>
        <v>#DIV/0!</v>
      </c>
      <c r="H14" s="577"/>
      <c r="I14" s="572" t="e">
        <f>F14*'1-Contractblad perceel 1 SMO'!$I$40</f>
        <v>#DIV/0!</v>
      </c>
      <c r="J14" s="615"/>
      <c r="K14" s="564" t="e">
        <f t="shared" si="0"/>
        <v>#DIV/0!</v>
      </c>
      <c r="L14" s="564" t="e">
        <f t="shared" ref="L14:L15" si="1">K14/12</f>
        <v>#DIV/0!</v>
      </c>
    </row>
    <row r="15" spans="1:12" s="70" customFormat="1">
      <c r="A15" s="560" t="s">
        <v>370</v>
      </c>
      <c r="B15" s="591">
        <f>SUMIF(gebouw,A15,'3-Basis ruimtestaat'!H:H)</f>
        <v>3907.9999999999991</v>
      </c>
      <c r="C15" s="597">
        <f>B15/$B$17</f>
        <v>0.18121528310714644</v>
      </c>
      <c r="D15" s="592">
        <f>SUMIF(gebouw,A15,'3-Basis ruimtestaat'!K:K)+SUMIF(gebouw,A15,'3-Basis ruimtestaat'!L:L)</f>
        <v>0</v>
      </c>
      <c r="E15" s="592"/>
      <c r="F15" s="593">
        <f>D15*'1-Contractblad perceel 1 SMO'!$B$40</f>
        <v>0</v>
      </c>
      <c r="G15" s="577" t="e">
        <f>D15*'1-Contractblad perceel 1 SMO'!$I$25</f>
        <v>#DIV/0!</v>
      </c>
      <c r="H15" s="577"/>
      <c r="I15" s="572" t="e">
        <f>F15*'1-Contractblad perceel 1 SMO'!$I$40</f>
        <v>#DIV/0!</v>
      </c>
      <c r="J15" s="615"/>
      <c r="K15" s="564" t="e">
        <f t="shared" si="0"/>
        <v>#DIV/0!</v>
      </c>
      <c r="L15" s="564" t="e">
        <f t="shared" si="1"/>
        <v>#DIV/0!</v>
      </c>
    </row>
    <row r="16" spans="1:12" s="70" customFormat="1">
      <c r="A16" s="560"/>
      <c r="B16" s="591"/>
      <c r="C16" s="598"/>
      <c r="D16" s="592"/>
      <c r="E16" s="592"/>
      <c r="F16" s="593"/>
      <c r="G16" s="394"/>
      <c r="H16" s="394"/>
      <c r="I16" s="572"/>
      <c r="J16" s="572"/>
      <c r="K16" s="564"/>
      <c r="L16" s="564"/>
    </row>
    <row r="17" spans="1:12" s="382" customFormat="1">
      <c r="A17" s="594" t="s">
        <v>34</v>
      </c>
      <c r="B17" s="595">
        <f>SUM(B12:B16)</f>
        <v>21565.510000000009</v>
      </c>
      <c r="C17" s="596">
        <f>SUM(C12:C16)</f>
        <v>0.99999999999999989</v>
      </c>
      <c r="D17" s="595">
        <f t="shared" ref="D17:L17" si="2">SUM(D12:D16)</f>
        <v>0</v>
      </c>
      <c r="E17" s="595">
        <f t="shared" si="2"/>
        <v>0</v>
      </c>
      <c r="F17" s="595">
        <f t="shared" si="2"/>
        <v>0</v>
      </c>
      <c r="G17" s="599" t="e">
        <f t="shared" si="2"/>
        <v>#DIV/0!</v>
      </c>
      <c r="H17" s="599" t="e">
        <f t="shared" si="2"/>
        <v>#DIV/0!</v>
      </c>
      <c r="I17" s="606" t="e">
        <f t="shared" si="2"/>
        <v>#DIV/0!</v>
      </c>
      <c r="J17" s="606">
        <f t="shared" si="2"/>
        <v>0</v>
      </c>
      <c r="K17" s="599" t="e">
        <f t="shared" si="2"/>
        <v>#DIV/0!</v>
      </c>
      <c r="L17" s="599" t="e">
        <f t="shared" si="2"/>
        <v>#DIV/0!</v>
      </c>
    </row>
    <row r="18" spans="1:12">
      <c r="A18" s="117"/>
      <c r="B18" s="94"/>
      <c r="C18" s="94"/>
      <c r="D18" s="94"/>
      <c r="E18" s="94"/>
    </row>
    <row r="19" spans="1:12">
      <c r="A19" s="94"/>
      <c r="B19" s="94"/>
      <c r="C19" s="94"/>
      <c r="D19" s="94"/>
      <c r="E19" s="94"/>
    </row>
    <row r="20" spans="1:12">
      <c r="A20" s="94"/>
      <c r="B20" s="94"/>
      <c r="C20" s="94"/>
      <c r="D20" s="94"/>
      <c r="E20" s="94"/>
    </row>
    <row r="21" spans="1:12">
      <c r="A21" s="94"/>
      <c r="B21" s="94"/>
      <c r="C21" s="94"/>
      <c r="D21" s="94"/>
      <c r="E21" s="94"/>
    </row>
    <row r="22" spans="1:12">
      <c r="B22" s="588"/>
      <c r="C22" s="589"/>
      <c r="D22" s="590"/>
      <c r="E22" s="590"/>
    </row>
    <row r="23" spans="1:12">
      <c r="A23" s="588"/>
      <c r="B23" s="588"/>
      <c r="C23" s="588"/>
      <c r="D23" s="588"/>
      <c r="E23" s="588"/>
    </row>
  </sheetData>
  <printOptions horizontalCentered="1"/>
  <pageMargins left="0.59055118110236227" right="0.59055118110236227"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showZeros="0" zoomScale="89" zoomScaleNormal="89" workbookViewId="0">
      <pane ySplit="12" topLeftCell="A13" activePane="bottomLeft" state="frozen"/>
      <selection sqref="A1:XFD1048576"/>
      <selection pane="bottomLeft" activeCell="C18" sqref="C18"/>
    </sheetView>
  </sheetViews>
  <sheetFormatPr defaultColWidth="11.42578125" defaultRowHeight="12.75"/>
  <cols>
    <col min="1" max="1" width="33.85546875" style="35" customWidth="1"/>
    <col min="2" max="6" width="17.5703125" style="35" customWidth="1"/>
    <col min="7" max="7" width="18.140625" style="571" customWidth="1"/>
    <col min="8" max="8" width="15.28515625" style="35" customWidth="1"/>
    <col min="9" max="16384" width="11.42578125" style="35"/>
  </cols>
  <sheetData>
    <row r="1" spans="1:8">
      <c r="A1" s="579" t="s">
        <v>103</v>
      </c>
    </row>
    <row r="3" spans="1:8">
      <c r="A3" s="580" t="str">
        <f>'1-Contractblad perceel 1 SMO'!A3</f>
        <v>Naam opdrachtgever</v>
      </c>
      <c r="B3" s="581" t="str">
        <f>'1-Contractblad perceel 1 SMO'!B3</f>
        <v>CSG het Noordik</v>
      </c>
      <c r="C3" s="582"/>
      <c r="D3" s="582"/>
    </row>
    <row r="4" spans="1:8">
      <c r="A4" s="580" t="str">
        <f>'1-Contractblad perceel 1 SMO'!A4</f>
        <v>Calculatie onderdeel</v>
      </c>
      <c r="B4" s="581" t="s">
        <v>238</v>
      </c>
      <c r="C4" s="583"/>
      <c r="D4" s="584"/>
    </row>
    <row r="5" spans="1:8">
      <c r="A5" s="580" t="str">
        <f>'1-Contractblad perceel 1 SMO'!A5</f>
        <v>Gebouw/plaats</v>
      </c>
      <c r="B5" s="581" t="str">
        <f>'1-Contractblad perceel 1 SMO'!B5</f>
        <v>Diversen</v>
      </c>
      <c r="C5" s="583"/>
      <c r="D5" s="584"/>
    </row>
    <row r="6" spans="1:8">
      <c r="A6" s="580" t="str">
        <f>'1-Contractblad perceel 1 SMO'!A6</f>
        <v>Besteknummer</v>
      </c>
      <c r="B6" s="581" t="str">
        <f>'1-Contractblad perceel 1 SMO'!B6</f>
        <v>CSGN-EA-RT-2014</v>
      </c>
      <c r="C6" s="583"/>
      <c r="D6" s="584"/>
    </row>
    <row r="7" spans="1:8">
      <c r="A7" s="580" t="str">
        <f>'1-Contractblad perceel 1 SMO'!A7</f>
        <v>Naam leverancier</v>
      </c>
      <c r="B7" s="581">
        <f>'1-Contractblad perceel 1 SMO'!B7</f>
        <v>0</v>
      </c>
      <c r="C7" s="583"/>
      <c r="D7" s="584"/>
    </row>
    <row r="8" spans="1:8">
      <c r="A8" s="580" t="str">
        <f>'1-Contractblad perceel 1 SMO'!A8</f>
        <v>Prijspeil</v>
      </c>
      <c r="B8" s="585">
        <f>'1-Contractblad perceel 1 SMO'!B8</f>
        <v>2015</v>
      </c>
      <c r="C8" s="583"/>
      <c r="D8" s="584"/>
    </row>
    <row r="9" spans="1:8">
      <c r="A9" s="580" t="str">
        <f>'1-Contractblad perceel 1 SMO'!A9</f>
        <v>Bijzonderheden</v>
      </c>
      <c r="B9" s="586" t="s">
        <v>17</v>
      </c>
      <c r="C9" s="583"/>
      <c r="D9" s="584"/>
    </row>
    <row r="10" spans="1:8">
      <c r="A10" s="580"/>
      <c r="B10" s="586"/>
      <c r="C10" s="583"/>
      <c r="D10" s="584"/>
    </row>
    <row r="11" spans="1:8">
      <c r="A11" s="580" t="s">
        <v>747</v>
      </c>
      <c r="B11" s="616">
        <f>SUM(H14:H26)</f>
        <v>0</v>
      </c>
      <c r="C11" s="583"/>
      <c r="D11" s="584"/>
    </row>
    <row r="12" spans="1:8">
      <c r="A12" s="78"/>
      <c r="B12" s="79"/>
      <c r="C12" s="79"/>
      <c r="D12" s="79"/>
    </row>
    <row r="13" spans="1:8" ht="51">
      <c r="A13" s="418" t="s">
        <v>272</v>
      </c>
      <c r="B13" s="557" t="s">
        <v>365</v>
      </c>
      <c r="C13" s="558" t="s">
        <v>368</v>
      </c>
      <c r="D13" s="418" t="s">
        <v>366</v>
      </c>
      <c r="E13" s="559" t="s">
        <v>110</v>
      </c>
      <c r="F13" s="612" t="s">
        <v>180</v>
      </c>
      <c r="G13" s="613" t="s">
        <v>699</v>
      </c>
      <c r="H13" s="614" t="s">
        <v>149</v>
      </c>
    </row>
    <row r="14" spans="1:8" s="70" customFormat="1" ht="25.5">
      <c r="A14" s="560" t="s">
        <v>698</v>
      </c>
      <c r="B14" s="561" t="s">
        <v>367</v>
      </c>
      <c r="C14" s="562">
        <v>81</v>
      </c>
      <c r="D14" s="615"/>
      <c r="E14" s="563">
        <f>C14*D14</f>
        <v>0</v>
      </c>
      <c r="F14" s="394">
        <v>2</v>
      </c>
      <c r="G14" s="615"/>
      <c r="H14" s="564">
        <f>(E14*F14 )+(G14*F14)</f>
        <v>0</v>
      </c>
    </row>
    <row r="15" spans="1:8" s="70" customFormat="1" ht="25.5">
      <c r="A15" s="560" t="s">
        <v>698</v>
      </c>
      <c r="B15" s="561" t="s">
        <v>252</v>
      </c>
      <c r="C15" s="562">
        <v>81</v>
      </c>
      <c r="D15" s="615"/>
      <c r="E15" s="563">
        <f t="shared" ref="E15:E26" si="0">C15*D15</f>
        <v>0</v>
      </c>
      <c r="F15" s="394">
        <v>2</v>
      </c>
      <c r="G15" s="615"/>
      <c r="H15" s="564">
        <f t="shared" ref="H15:H26" si="1">(E15*F15 )+(G15*F15)</f>
        <v>0</v>
      </c>
    </row>
    <row r="16" spans="1:8" s="70" customFormat="1" ht="25.5">
      <c r="A16" s="560" t="s">
        <v>698</v>
      </c>
      <c r="B16" s="561" t="s">
        <v>369</v>
      </c>
      <c r="C16" s="562">
        <f>10.6*2</f>
        <v>21.2</v>
      </c>
      <c r="D16" s="615"/>
      <c r="E16" s="563">
        <f t="shared" si="0"/>
        <v>0</v>
      </c>
      <c r="F16" s="394">
        <v>2</v>
      </c>
      <c r="G16" s="615"/>
      <c r="H16" s="564">
        <f t="shared" si="1"/>
        <v>0</v>
      </c>
    </row>
    <row r="17" spans="1:8" s="70" customFormat="1" ht="25.5">
      <c r="A17" s="393" t="s">
        <v>595</v>
      </c>
      <c r="B17" s="561" t="s">
        <v>367</v>
      </c>
      <c r="C17" s="562">
        <v>1988</v>
      </c>
      <c r="D17" s="615"/>
      <c r="E17" s="563">
        <f t="shared" si="0"/>
        <v>0</v>
      </c>
      <c r="F17" s="394">
        <v>2</v>
      </c>
      <c r="G17" s="615"/>
      <c r="H17" s="564">
        <f t="shared" si="1"/>
        <v>0</v>
      </c>
    </row>
    <row r="18" spans="1:8" s="70" customFormat="1" ht="25.5">
      <c r="A18" s="393" t="s">
        <v>595</v>
      </c>
      <c r="B18" s="561" t="s">
        <v>252</v>
      </c>
      <c r="C18" s="562">
        <v>1988</v>
      </c>
      <c r="D18" s="615"/>
      <c r="E18" s="563">
        <f t="shared" si="0"/>
        <v>0</v>
      </c>
      <c r="F18" s="394">
        <v>2</v>
      </c>
      <c r="G18" s="615"/>
      <c r="H18" s="564">
        <f t="shared" si="1"/>
        <v>0</v>
      </c>
    </row>
    <row r="19" spans="1:8" s="70" customFormat="1" ht="25.5">
      <c r="A19" s="393" t="s">
        <v>595</v>
      </c>
      <c r="B19" s="561" t="s">
        <v>369</v>
      </c>
      <c r="C19" s="562">
        <f>628*2</f>
        <v>1256</v>
      </c>
      <c r="D19" s="615"/>
      <c r="E19" s="563">
        <f t="shared" si="0"/>
        <v>0</v>
      </c>
      <c r="F19" s="394">
        <v>2</v>
      </c>
      <c r="G19" s="615"/>
      <c r="H19" s="564">
        <f t="shared" si="1"/>
        <v>0</v>
      </c>
    </row>
    <row r="20" spans="1:8" s="70" customFormat="1" ht="25.5">
      <c r="A20" s="560" t="s">
        <v>504</v>
      </c>
      <c r="B20" s="561" t="s">
        <v>367</v>
      </c>
      <c r="C20" s="562">
        <v>1061</v>
      </c>
      <c r="D20" s="615"/>
      <c r="E20" s="563">
        <f t="shared" si="0"/>
        <v>0</v>
      </c>
      <c r="F20" s="394">
        <v>2</v>
      </c>
      <c r="G20" s="615"/>
      <c r="H20" s="564">
        <f t="shared" si="1"/>
        <v>0</v>
      </c>
    </row>
    <row r="21" spans="1:8" s="70" customFormat="1" ht="25.5">
      <c r="A21" s="560" t="s">
        <v>504</v>
      </c>
      <c r="B21" s="561" t="s">
        <v>252</v>
      </c>
      <c r="C21" s="562">
        <v>1061</v>
      </c>
      <c r="D21" s="615"/>
      <c r="E21" s="563">
        <f t="shared" si="0"/>
        <v>0</v>
      </c>
      <c r="F21" s="394">
        <v>2</v>
      </c>
      <c r="G21" s="615"/>
      <c r="H21" s="564">
        <f t="shared" si="1"/>
        <v>0</v>
      </c>
    </row>
    <row r="22" spans="1:8" s="70" customFormat="1" ht="25.5">
      <c r="A22" s="560" t="s">
        <v>504</v>
      </c>
      <c r="B22" s="561" t="s">
        <v>369</v>
      </c>
      <c r="C22" s="562">
        <f>300*2</f>
        <v>600</v>
      </c>
      <c r="D22" s="615"/>
      <c r="E22" s="563">
        <f t="shared" si="0"/>
        <v>0</v>
      </c>
      <c r="F22" s="394">
        <v>2</v>
      </c>
      <c r="G22" s="615"/>
      <c r="H22" s="564">
        <f t="shared" si="1"/>
        <v>0</v>
      </c>
    </row>
    <row r="23" spans="1:8" s="70" customFormat="1" ht="25.5">
      <c r="A23" s="560" t="s">
        <v>370</v>
      </c>
      <c r="B23" s="561" t="s">
        <v>367</v>
      </c>
      <c r="C23" s="562">
        <v>829</v>
      </c>
      <c r="D23" s="615"/>
      <c r="E23" s="563">
        <f t="shared" si="0"/>
        <v>0</v>
      </c>
      <c r="F23" s="394">
        <v>2</v>
      </c>
      <c r="G23" s="615"/>
      <c r="H23" s="564">
        <f t="shared" si="1"/>
        <v>0</v>
      </c>
    </row>
    <row r="24" spans="1:8" s="70" customFormat="1" ht="25.5">
      <c r="A24" s="560" t="s">
        <v>370</v>
      </c>
      <c r="B24" s="561" t="s">
        <v>252</v>
      </c>
      <c r="C24" s="562">
        <v>829</v>
      </c>
      <c r="D24" s="615"/>
      <c r="E24" s="563">
        <f t="shared" si="0"/>
        <v>0</v>
      </c>
      <c r="F24" s="394">
        <v>2</v>
      </c>
      <c r="G24" s="615"/>
      <c r="H24" s="564">
        <f t="shared" si="1"/>
        <v>0</v>
      </c>
    </row>
    <row r="25" spans="1:8" s="70" customFormat="1" ht="25.5">
      <c r="A25" s="560" t="s">
        <v>370</v>
      </c>
      <c r="B25" s="561" t="s">
        <v>369</v>
      </c>
      <c r="C25" s="562">
        <f>190*2</f>
        <v>380</v>
      </c>
      <c r="D25" s="615"/>
      <c r="E25" s="563">
        <f t="shared" si="0"/>
        <v>0</v>
      </c>
      <c r="F25" s="394">
        <v>2</v>
      </c>
      <c r="G25" s="615"/>
      <c r="H25" s="564">
        <f t="shared" si="1"/>
        <v>0</v>
      </c>
    </row>
    <row r="26" spans="1:8" s="70" customFormat="1">
      <c r="A26" s="560" t="s">
        <v>370</v>
      </c>
      <c r="B26" s="561" t="s">
        <v>700</v>
      </c>
      <c r="C26" s="562">
        <v>135</v>
      </c>
      <c r="D26" s="615"/>
      <c r="E26" s="563">
        <f t="shared" si="0"/>
        <v>0</v>
      </c>
      <c r="F26" s="394">
        <v>1</v>
      </c>
      <c r="G26" s="615"/>
      <c r="H26" s="564">
        <f t="shared" si="1"/>
        <v>0</v>
      </c>
    </row>
    <row r="27" spans="1:8">
      <c r="A27" s="117" t="s">
        <v>6</v>
      </c>
      <c r="B27" s="94"/>
      <c r="C27" s="94"/>
      <c r="D27" s="94"/>
    </row>
    <row r="28" spans="1:8">
      <c r="A28" s="94" t="s">
        <v>144</v>
      </c>
      <c r="B28" s="94"/>
      <c r="C28" s="94"/>
      <c r="D28" s="94"/>
    </row>
    <row r="29" spans="1:8">
      <c r="A29" s="94" t="s">
        <v>48</v>
      </c>
      <c r="B29" s="94"/>
      <c r="C29" s="94"/>
      <c r="D29" s="94"/>
    </row>
    <row r="30" spans="1:8">
      <c r="A30" s="94"/>
      <c r="B30" s="94"/>
      <c r="C30" s="94"/>
      <c r="D30" s="94"/>
    </row>
    <row r="31" spans="1:8">
      <c r="B31" s="588"/>
      <c r="C31" s="589"/>
      <c r="D31" s="590"/>
    </row>
    <row r="32" spans="1:8">
      <c r="A32" s="588"/>
      <c r="B32" s="588"/>
      <c r="C32" s="588"/>
      <c r="D32" s="588"/>
    </row>
  </sheetData>
  <printOptions horizontalCentered="1"/>
  <pageMargins left="0.59055118110236227" right="0.59055118110236227"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showGridLines="0" showZeros="0" tabSelected="1" zoomScale="86" zoomScaleNormal="86" workbookViewId="0">
      <pane xSplit="1" ySplit="9" topLeftCell="B16" activePane="bottomRight" state="frozen"/>
      <selection pane="topRight" activeCell="B1" sqref="B1"/>
      <selection pane="bottomLeft" activeCell="A10" sqref="A10"/>
      <selection pane="bottomRight" activeCell="B31" sqref="B31"/>
    </sheetView>
  </sheetViews>
  <sheetFormatPr defaultColWidth="10.7109375" defaultRowHeight="12.75"/>
  <cols>
    <col min="1" max="1" width="29.28515625" style="454" bestFit="1" customWidth="1"/>
    <col min="2" max="2" width="13" style="454" customWidth="1"/>
    <col min="3" max="3" width="21.140625" style="454" bestFit="1" customWidth="1"/>
    <col min="4" max="4" width="29.42578125" style="454" bestFit="1" customWidth="1"/>
    <col min="5" max="7" width="12.85546875" style="454" customWidth="1"/>
    <col min="8" max="8" width="11.5703125" style="454" customWidth="1"/>
    <col min="9" max="9" width="9" style="454" bestFit="1" customWidth="1"/>
    <col min="10" max="10" width="11.28515625" style="454" bestFit="1" customWidth="1"/>
    <col min="11" max="11" width="9.85546875" style="454" bestFit="1" customWidth="1"/>
    <col min="12" max="12" width="4.42578125" style="454" bestFit="1" customWidth="1"/>
    <col min="13" max="13" width="2.140625" style="454" customWidth="1"/>
    <col min="14" max="18" width="10.7109375" style="454"/>
    <col min="19" max="19" width="15.5703125" style="454" customWidth="1"/>
    <col min="20" max="16384" width="10.7109375" style="454"/>
  </cols>
  <sheetData>
    <row r="1" spans="1:19" s="408" customFormat="1">
      <c r="A1" s="453" t="s">
        <v>103</v>
      </c>
      <c r="B1" s="400"/>
      <c r="C1" s="401"/>
      <c r="D1" s="406"/>
      <c r="E1" s="402"/>
      <c r="F1" s="402"/>
      <c r="G1" s="402"/>
      <c r="H1" s="403"/>
      <c r="I1" s="451"/>
      <c r="J1" s="452"/>
      <c r="K1" s="406"/>
      <c r="L1" s="407"/>
      <c r="S1" s="35"/>
    </row>
    <row r="2" spans="1:19" s="408" customFormat="1">
      <c r="A2" s="400"/>
      <c r="B2" s="400"/>
      <c r="C2" s="401"/>
      <c r="D2" s="401"/>
      <c r="E2" s="402"/>
      <c r="F2" s="402"/>
      <c r="G2" s="402"/>
      <c r="H2" s="403"/>
      <c r="I2" s="404"/>
      <c r="J2" s="405"/>
      <c r="K2" s="406"/>
      <c r="L2" s="407"/>
      <c r="S2" s="35"/>
    </row>
    <row r="3" spans="1:19" s="409" customFormat="1" ht="15">
      <c r="A3" s="71" t="str">
        <f>'1-Contractblad perceel 1 SMO'!A3</f>
        <v>Naam opdrachtgever</v>
      </c>
      <c r="B3" s="72" t="str">
        <f>'1-Contractblad perceel 1 SMO'!B3</f>
        <v>CSG het Noordik</v>
      </c>
      <c r="E3" s="410"/>
      <c r="F3" s="410"/>
      <c r="G3" s="410"/>
      <c r="H3" s="411"/>
      <c r="I3" s="411"/>
      <c r="J3" s="412"/>
    </row>
    <row r="4" spans="1:19" s="409" customFormat="1" ht="15">
      <c r="A4" s="71" t="str">
        <f>'1-Contractblad perceel 1 SMO'!A4</f>
        <v>Calculatie onderdeel</v>
      </c>
      <c r="B4" s="72" t="s">
        <v>35</v>
      </c>
      <c r="C4" s="413"/>
      <c r="D4" s="413"/>
      <c r="E4" s="410"/>
      <c r="F4" s="410"/>
      <c r="G4" s="410"/>
      <c r="H4" s="411"/>
      <c r="I4" s="411"/>
      <c r="J4" s="412"/>
    </row>
    <row r="5" spans="1:19" s="409" customFormat="1" ht="15">
      <c r="A5" s="71" t="str">
        <f>'1-Contractblad perceel 1 SMO'!A5</f>
        <v>Gebouw/plaats</v>
      </c>
      <c r="B5" s="72" t="str">
        <f>'1-Contractblad perceel 1 SMO'!B5</f>
        <v>Diversen</v>
      </c>
      <c r="C5" s="413"/>
      <c r="D5" s="413"/>
      <c r="E5" s="410"/>
      <c r="F5" s="410"/>
      <c r="G5" s="410"/>
      <c r="H5" s="411"/>
      <c r="I5" s="411"/>
      <c r="J5" s="412"/>
    </row>
    <row r="6" spans="1:19" s="409" customFormat="1" ht="15">
      <c r="A6" s="71" t="str">
        <f>'1-Contractblad perceel 1 SMO'!A6</f>
        <v>Besteknummer</v>
      </c>
      <c r="B6" s="72" t="str">
        <f>'1-Contractblad perceel 1 SMO'!B6</f>
        <v>CSGN-EA-RT-2014</v>
      </c>
      <c r="C6" s="413"/>
      <c r="D6" s="413"/>
      <c r="E6" s="410"/>
      <c r="F6" s="410"/>
      <c r="G6" s="410"/>
      <c r="H6" s="411"/>
      <c r="I6" s="411"/>
      <c r="J6" s="412"/>
    </row>
    <row r="7" spans="1:19" s="409" customFormat="1" ht="15">
      <c r="A7" s="71" t="str">
        <f>'1-Contractblad perceel 1 SMO'!A7</f>
        <v>Naam leverancier</v>
      </c>
      <c r="B7" s="72">
        <f>'1-Contractblad perceel 1 SMO'!B7</f>
        <v>0</v>
      </c>
      <c r="C7" s="413"/>
      <c r="D7" s="413"/>
      <c r="E7" s="410"/>
      <c r="F7" s="410"/>
      <c r="G7" s="410"/>
      <c r="H7" s="411"/>
      <c r="I7" s="411"/>
      <c r="J7" s="412"/>
    </row>
    <row r="8" spans="1:19" s="408" customFormat="1">
      <c r="A8" s="414"/>
      <c r="B8" s="415"/>
      <c r="C8" s="416"/>
      <c r="D8" s="416"/>
      <c r="E8" s="402"/>
      <c r="F8" s="402"/>
      <c r="G8" s="402"/>
      <c r="H8" s="403"/>
      <c r="I8" s="404"/>
      <c r="J8" s="405"/>
      <c r="K8" s="406"/>
      <c r="L8" s="407"/>
      <c r="S8" s="35"/>
    </row>
    <row r="9" spans="1:19" s="35" customFormat="1" ht="38.25">
      <c r="A9" s="417" t="s">
        <v>74</v>
      </c>
      <c r="B9" s="418" t="s">
        <v>178</v>
      </c>
      <c r="C9" s="419" t="s">
        <v>173</v>
      </c>
      <c r="D9" s="420" t="s">
        <v>197</v>
      </c>
      <c r="E9" s="421" t="s">
        <v>73</v>
      </c>
      <c r="F9" s="421" t="s">
        <v>233</v>
      </c>
      <c r="G9" s="421" t="s">
        <v>33</v>
      </c>
      <c r="H9" s="422" t="s">
        <v>95</v>
      </c>
      <c r="I9" s="422" t="s">
        <v>87</v>
      </c>
      <c r="J9" s="423" t="s">
        <v>169</v>
      </c>
      <c r="K9" s="424" t="s">
        <v>101</v>
      </c>
      <c r="L9" s="424" t="s">
        <v>96</v>
      </c>
      <c r="M9" s="408"/>
      <c r="N9" s="408"/>
      <c r="O9" s="408"/>
      <c r="P9" s="408"/>
    </row>
    <row r="10" spans="1:19" s="434" customFormat="1">
      <c r="A10" s="425"/>
      <c r="B10" s="426"/>
      <c r="C10" s="427"/>
      <c r="D10" s="427"/>
      <c r="E10" s="428"/>
      <c r="F10" s="428"/>
      <c r="G10" s="428"/>
      <c r="H10" s="429"/>
      <c r="I10" s="430"/>
      <c r="J10" s="431"/>
      <c r="K10" s="432"/>
      <c r="L10" s="433"/>
      <c r="N10" s="35"/>
      <c r="O10" s="408"/>
      <c r="S10" s="435"/>
    </row>
    <row r="11" spans="1:19" s="434" customFormat="1">
      <c r="A11" s="436">
        <v>1042</v>
      </c>
      <c r="B11" s="437">
        <v>42</v>
      </c>
      <c r="C11" s="438" t="s">
        <v>100</v>
      </c>
      <c r="D11" s="439" t="s">
        <v>236</v>
      </c>
      <c r="E11" s="440"/>
      <c r="F11" s="578"/>
      <c r="G11" s="578"/>
      <c r="H11" s="429">
        <f>IF(E11=0,0,B11/(E11+G11+F11))</f>
        <v>0</v>
      </c>
      <c r="I11" s="441">
        <f>SUMIF('3-Basis ruimtestaat'!I:I,A11,'3-Basis ruimtestaat'!H:H)</f>
        <v>11</v>
      </c>
      <c r="J11" s="442">
        <f t="shared" ref="J11:J19" si="0">IF(I11=0,"",I11/$I$40)</f>
        <v>5.1007372420128249E-4</v>
      </c>
      <c r="K11" s="432"/>
      <c r="L11" s="433" t="s">
        <v>227</v>
      </c>
      <c r="N11" s="35"/>
      <c r="O11" s="408"/>
      <c r="S11" s="435"/>
    </row>
    <row r="12" spans="1:19" s="434" customFormat="1">
      <c r="A12" s="436">
        <v>1126</v>
      </c>
      <c r="B12" s="437">
        <v>126</v>
      </c>
      <c r="C12" s="438" t="s">
        <v>100</v>
      </c>
      <c r="D12" s="439" t="s">
        <v>707</v>
      </c>
      <c r="E12" s="440"/>
      <c r="F12" s="578"/>
      <c r="G12" s="578"/>
      <c r="H12" s="429">
        <f t="shared" ref="H12:H36" si="1">IF(E12=0,0,B12/(E12+G12+F12))</f>
        <v>0</v>
      </c>
      <c r="I12" s="441">
        <f>SUMIF('3-Basis ruimtestaat'!I:I,A12,'3-Basis ruimtestaat'!H:H)</f>
        <v>1360.3899999999996</v>
      </c>
      <c r="J12" s="442">
        <f t="shared" si="0"/>
        <v>6.3081744878743864E-2</v>
      </c>
      <c r="K12" s="432"/>
      <c r="L12" s="433" t="s">
        <v>227</v>
      </c>
      <c r="N12" s="35"/>
      <c r="O12" s="408"/>
      <c r="S12" s="435"/>
    </row>
    <row r="13" spans="1:19" s="434" customFormat="1">
      <c r="A13" s="436">
        <v>1200</v>
      </c>
      <c r="B13" s="437">
        <v>200</v>
      </c>
      <c r="C13" s="438" t="s">
        <v>100</v>
      </c>
      <c r="D13" s="439" t="s">
        <v>705</v>
      </c>
      <c r="E13" s="440"/>
      <c r="F13" s="578"/>
      <c r="G13" s="578"/>
      <c r="H13" s="429">
        <f t="shared" si="1"/>
        <v>0</v>
      </c>
      <c r="I13" s="441">
        <f>SUMIF('3-Basis ruimtestaat'!I:I,A13,'3-Basis ruimtestaat'!H:H)</f>
        <v>236.32999999999998</v>
      </c>
      <c r="J13" s="442">
        <f t="shared" si="0"/>
        <v>1.0958702112771734E-2</v>
      </c>
      <c r="K13" s="432"/>
      <c r="L13" s="433" t="s">
        <v>227</v>
      </c>
      <c r="N13" s="35"/>
      <c r="O13" s="408"/>
      <c r="S13" s="435"/>
    </row>
    <row r="14" spans="1:19" s="434" customFormat="1">
      <c r="A14" s="436">
        <v>1210</v>
      </c>
      <c r="B14" s="437">
        <v>210</v>
      </c>
      <c r="C14" s="438" t="s">
        <v>100</v>
      </c>
      <c r="D14" s="439" t="s">
        <v>704</v>
      </c>
      <c r="E14" s="440"/>
      <c r="F14" s="578"/>
      <c r="G14" s="578"/>
      <c r="H14" s="429">
        <f t="shared" si="1"/>
        <v>0</v>
      </c>
      <c r="I14" s="441">
        <f>SUMIF('3-Basis ruimtestaat'!I:I,A14,'3-Basis ruimtestaat'!H:H)</f>
        <v>75</v>
      </c>
      <c r="J14" s="442">
        <f t="shared" si="0"/>
        <v>3.4777753922814714E-3</v>
      </c>
      <c r="K14" s="432"/>
      <c r="L14" s="433" t="s">
        <v>227</v>
      </c>
      <c r="N14" s="35"/>
      <c r="O14" s="408"/>
      <c r="S14" s="435"/>
    </row>
    <row r="15" spans="1:19" s="434" customFormat="1">
      <c r="A15" s="436">
        <v>1255</v>
      </c>
      <c r="B15" s="437">
        <v>255</v>
      </c>
      <c r="C15" s="438" t="s">
        <v>100</v>
      </c>
      <c r="D15" s="439" t="s">
        <v>254</v>
      </c>
      <c r="E15" s="440"/>
      <c r="F15" s="578"/>
      <c r="G15" s="578"/>
      <c r="H15" s="429">
        <f t="shared" si="1"/>
        <v>0</v>
      </c>
      <c r="I15" s="441">
        <f>SUMIF('3-Basis ruimtestaat'!I:I,A15,'3-Basis ruimtestaat'!H:H)</f>
        <v>295.36</v>
      </c>
      <c r="J15" s="442">
        <f t="shared" si="0"/>
        <v>1.3695943198190072E-2</v>
      </c>
      <c r="K15" s="432"/>
      <c r="L15" s="433" t="s">
        <v>227</v>
      </c>
      <c r="N15" s="35"/>
      <c r="O15" s="408"/>
      <c r="S15" s="435"/>
    </row>
    <row r="16" spans="1:19" s="434" customFormat="1">
      <c r="A16" s="436">
        <v>2105</v>
      </c>
      <c r="B16" s="437">
        <v>105</v>
      </c>
      <c r="C16" s="399" t="s">
        <v>65</v>
      </c>
      <c r="D16" s="443" t="s">
        <v>711</v>
      </c>
      <c r="E16" s="440"/>
      <c r="F16" s="578"/>
      <c r="G16" s="578"/>
      <c r="H16" s="429">
        <f t="shared" si="1"/>
        <v>0</v>
      </c>
      <c r="I16" s="441">
        <f>SUMIF('3-Basis ruimtestaat'!I:I,A16,'3-Basis ruimtestaat'!H:H)</f>
        <v>2.4</v>
      </c>
      <c r="J16" s="442">
        <f t="shared" si="0"/>
        <v>1.1128881255300708E-4</v>
      </c>
      <c r="K16" s="432"/>
      <c r="L16" s="433" t="s">
        <v>196</v>
      </c>
      <c r="N16" s="35"/>
      <c r="O16" s="408"/>
      <c r="S16" s="435"/>
    </row>
    <row r="17" spans="1:19" s="434" customFormat="1">
      <c r="A17" s="436">
        <v>2200</v>
      </c>
      <c r="B17" s="437">
        <v>200</v>
      </c>
      <c r="C17" s="399" t="s">
        <v>65</v>
      </c>
      <c r="D17" s="443" t="s">
        <v>705</v>
      </c>
      <c r="E17" s="440"/>
      <c r="F17" s="578"/>
      <c r="G17" s="578"/>
      <c r="H17" s="429">
        <f t="shared" si="1"/>
        <v>0</v>
      </c>
      <c r="I17" s="441">
        <f>SUMIF('3-Basis ruimtestaat'!I:I,A17,'3-Basis ruimtestaat'!H:H)</f>
        <v>264.67</v>
      </c>
      <c r="J17" s="442">
        <f t="shared" si="0"/>
        <v>1.2272837507668494E-2</v>
      </c>
      <c r="K17" s="432"/>
      <c r="L17" s="433" t="s">
        <v>196</v>
      </c>
      <c r="N17" s="35"/>
      <c r="O17" s="408"/>
      <c r="S17" s="435"/>
    </row>
    <row r="18" spans="1:19" s="434" customFormat="1">
      <c r="A18" s="436">
        <v>2210</v>
      </c>
      <c r="B18" s="437">
        <v>210</v>
      </c>
      <c r="C18" s="399" t="s">
        <v>65</v>
      </c>
      <c r="D18" s="443" t="s">
        <v>704</v>
      </c>
      <c r="E18" s="440"/>
      <c r="F18" s="578"/>
      <c r="G18" s="578"/>
      <c r="H18" s="429">
        <f t="shared" si="1"/>
        <v>0</v>
      </c>
      <c r="I18" s="441">
        <f>SUMIF('3-Basis ruimtestaat'!I:I,A18,'3-Basis ruimtestaat'!H:H)</f>
        <v>180.4</v>
      </c>
      <c r="J18" s="442">
        <f t="shared" si="0"/>
        <v>8.3652090769010326E-3</v>
      </c>
      <c r="K18" s="432"/>
      <c r="L18" s="433" t="s">
        <v>196</v>
      </c>
      <c r="N18" s="35"/>
      <c r="O18" s="408"/>
      <c r="S18" s="435"/>
    </row>
    <row r="19" spans="1:19" s="434" customFormat="1">
      <c r="A19" s="436">
        <v>2255</v>
      </c>
      <c r="B19" s="437">
        <v>255</v>
      </c>
      <c r="C19" s="399" t="s">
        <v>65</v>
      </c>
      <c r="D19" s="443" t="s">
        <v>254</v>
      </c>
      <c r="E19" s="440"/>
      <c r="F19" s="578"/>
      <c r="G19" s="578"/>
      <c r="H19" s="429">
        <f t="shared" si="1"/>
        <v>0</v>
      </c>
      <c r="I19" s="441">
        <f>SUMIF('3-Basis ruimtestaat'!I:I,A19,'3-Basis ruimtestaat'!H:H)</f>
        <v>35.57</v>
      </c>
      <c r="J19" s="442">
        <f t="shared" si="0"/>
        <v>1.6493929427126926E-3</v>
      </c>
      <c r="K19" s="432"/>
      <c r="L19" s="433" t="s">
        <v>196</v>
      </c>
      <c r="N19" s="35"/>
      <c r="O19" s="408"/>
      <c r="S19" s="435"/>
    </row>
    <row r="20" spans="1:19" s="434" customFormat="1">
      <c r="A20" s="436">
        <v>2400</v>
      </c>
      <c r="B20" s="437">
        <v>400</v>
      </c>
      <c r="C20" s="399" t="s">
        <v>65</v>
      </c>
      <c r="D20" s="443" t="s">
        <v>716</v>
      </c>
      <c r="E20" s="440"/>
      <c r="F20" s="440"/>
      <c r="G20" s="578"/>
      <c r="H20" s="429">
        <f t="shared" si="1"/>
        <v>0</v>
      </c>
      <c r="I20" s="441">
        <f>SUMIF('3-Basis ruimtestaat'!I:I,A20,'3-Basis ruimtestaat'!H:H)</f>
        <v>90.62</v>
      </c>
      <c r="J20" s="442">
        <f t="shared" ref="J20" si="2">IF(I20=0,"",I20/$I$40)</f>
        <v>4.2020800806472931E-3</v>
      </c>
      <c r="K20" s="432"/>
      <c r="L20" s="433" t="s">
        <v>196</v>
      </c>
      <c r="N20" s="35"/>
      <c r="O20" s="408"/>
      <c r="S20" s="435"/>
    </row>
    <row r="21" spans="1:19" s="434" customFormat="1">
      <c r="A21" s="436">
        <v>3200</v>
      </c>
      <c r="B21" s="437">
        <v>200</v>
      </c>
      <c r="C21" s="438" t="s">
        <v>93</v>
      </c>
      <c r="D21" s="439" t="s">
        <v>705</v>
      </c>
      <c r="E21" s="440"/>
      <c r="F21" s="578"/>
      <c r="G21" s="578"/>
      <c r="H21" s="429">
        <f t="shared" si="1"/>
        <v>0</v>
      </c>
      <c r="I21" s="441">
        <f>SUMIF('3-Basis ruimtestaat'!I:I,A21,'3-Basis ruimtestaat'!H:H)</f>
        <v>4386.7499999999991</v>
      </c>
      <c r="J21" s="442">
        <f t="shared" ref="J21:J31" si="3">IF(I21=0,"",I21/$I$40)</f>
        <v>0.20341508269454323</v>
      </c>
      <c r="K21" s="432"/>
      <c r="L21" s="433" t="s">
        <v>102</v>
      </c>
      <c r="N21" s="35"/>
      <c r="O21" s="408"/>
      <c r="S21" s="435"/>
    </row>
    <row r="22" spans="1:19" s="434" customFormat="1">
      <c r="A22" s="436">
        <v>3210</v>
      </c>
      <c r="B22" s="437">
        <v>210</v>
      </c>
      <c r="C22" s="438" t="s">
        <v>93</v>
      </c>
      <c r="D22" s="439" t="s">
        <v>704</v>
      </c>
      <c r="E22" s="440"/>
      <c r="F22" s="578"/>
      <c r="G22" s="578"/>
      <c r="H22" s="429">
        <f t="shared" si="1"/>
        <v>0</v>
      </c>
      <c r="I22" s="441">
        <f>SUMIF('3-Basis ruimtestaat'!I:I,A22,'3-Basis ruimtestaat'!H:H)</f>
        <v>34</v>
      </c>
      <c r="J22" s="442">
        <f t="shared" si="3"/>
        <v>1.5765915111676002E-3</v>
      </c>
      <c r="K22" s="432"/>
      <c r="L22" s="433" t="s">
        <v>102</v>
      </c>
      <c r="N22" s="35"/>
      <c r="O22" s="408"/>
      <c r="S22" s="435"/>
    </row>
    <row r="23" spans="1:19" s="434" customFormat="1">
      <c r="A23" s="436">
        <v>3255</v>
      </c>
      <c r="B23" s="437">
        <v>255</v>
      </c>
      <c r="C23" s="438" t="s">
        <v>93</v>
      </c>
      <c r="D23" s="439" t="s">
        <v>703</v>
      </c>
      <c r="E23" s="440"/>
      <c r="F23" s="578"/>
      <c r="G23" s="578"/>
      <c r="H23" s="429">
        <f t="shared" si="1"/>
        <v>0</v>
      </c>
      <c r="I23" s="441">
        <f>SUMIF('3-Basis ruimtestaat'!I:I,A23,'3-Basis ruimtestaat'!H:H)</f>
        <v>653.76</v>
      </c>
      <c r="J23" s="442">
        <f t="shared" si="3"/>
        <v>3.0315072539439127E-2</v>
      </c>
      <c r="K23" s="432"/>
      <c r="L23" s="433" t="s">
        <v>102</v>
      </c>
      <c r="N23" s="35"/>
      <c r="O23" s="408"/>
      <c r="S23" s="435"/>
    </row>
    <row r="24" spans="1:19" s="434" customFormat="1">
      <c r="A24" s="444">
        <v>4200</v>
      </c>
      <c r="B24" s="445">
        <v>200</v>
      </c>
      <c r="C24" s="446" t="s">
        <v>109</v>
      </c>
      <c r="D24" s="447" t="s">
        <v>705</v>
      </c>
      <c r="E24" s="440"/>
      <c r="F24" s="578"/>
      <c r="G24" s="578"/>
      <c r="H24" s="429">
        <f t="shared" si="1"/>
        <v>0</v>
      </c>
      <c r="I24" s="441">
        <f>SUMIF('3-Basis ruimtestaat'!I:I,A24,'3-Basis ruimtestaat'!H:H)</f>
        <v>5</v>
      </c>
      <c r="J24" s="442">
        <f t="shared" si="3"/>
        <v>2.3185169281876475E-4</v>
      </c>
      <c r="K24" s="432"/>
      <c r="L24" s="433" t="s">
        <v>102</v>
      </c>
      <c r="N24" s="35"/>
      <c r="O24" s="408"/>
      <c r="S24" s="435"/>
    </row>
    <row r="25" spans="1:19" s="434" customFormat="1">
      <c r="A25" s="436">
        <v>5200</v>
      </c>
      <c r="B25" s="437">
        <v>200</v>
      </c>
      <c r="C25" s="438" t="s">
        <v>113</v>
      </c>
      <c r="D25" s="439" t="s">
        <v>705</v>
      </c>
      <c r="E25" s="440"/>
      <c r="F25" s="578"/>
      <c r="G25" s="578"/>
      <c r="H25" s="429">
        <f t="shared" si="1"/>
        <v>0</v>
      </c>
      <c r="I25" s="441">
        <f>SUMIF('3-Basis ruimtestaat'!I:I,A25,'3-Basis ruimtestaat'!H:H)</f>
        <v>332.1</v>
      </c>
      <c r="J25" s="442">
        <f t="shared" si="3"/>
        <v>1.5399589437022356E-2</v>
      </c>
      <c r="K25" s="432"/>
      <c r="L25" s="433" t="s">
        <v>102</v>
      </c>
      <c r="N25" s="35"/>
      <c r="O25" s="408"/>
      <c r="S25" s="435"/>
    </row>
    <row r="26" spans="1:19" s="434" customFormat="1">
      <c r="A26" s="436">
        <v>6200</v>
      </c>
      <c r="B26" s="437">
        <v>200</v>
      </c>
      <c r="C26" s="399" t="s">
        <v>708</v>
      </c>
      <c r="D26" s="443" t="s">
        <v>254</v>
      </c>
      <c r="E26" s="440"/>
      <c r="F26" s="578"/>
      <c r="G26" s="578"/>
      <c r="H26" s="429">
        <f t="shared" si="1"/>
        <v>0</v>
      </c>
      <c r="I26" s="441">
        <f>SUMIF('3-Basis ruimtestaat'!I:I,A26,'3-Basis ruimtestaat'!H:H)</f>
        <v>155.9</v>
      </c>
      <c r="J26" s="442">
        <f t="shared" si="3"/>
        <v>7.2291357820890856E-3</v>
      </c>
      <c r="K26" s="432"/>
      <c r="L26" s="433" t="s">
        <v>102</v>
      </c>
      <c r="N26" s="35"/>
      <c r="O26" s="408"/>
      <c r="S26" s="435"/>
    </row>
    <row r="27" spans="1:19" s="434" customFormat="1">
      <c r="A27" s="436">
        <v>6255</v>
      </c>
      <c r="B27" s="437">
        <v>255</v>
      </c>
      <c r="C27" s="399" t="s">
        <v>708</v>
      </c>
      <c r="D27" s="443" t="s">
        <v>254</v>
      </c>
      <c r="E27" s="440"/>
      <c r="F27" s="578"/>
      <c r="G27" s="578"/>
      <c r="H27" s="429">
        <f t="shared" si="1"/>
        <v>0</v>
      </c>
      <c r="I27" s="441">
        <f>SUMIF('3-Basis ruimtestaat'!I:I,A27,'3-Basis ruimtestaat'!H:H)</f>
        <v>33.119999999999997</v>
      </c>
      <c r="J27" s="442">
        <f t="shared" si="3"/>
        <v>1.5357856132314977E-3</v>
      </c>
      <c r="K27" s="432"/>
      <c r="L27" s="433" t="s">
        <v>102</v>
      </c>
      <c r="N27" s="35"/>
      <c r="O27" s="408"/>
      <c r="S27" s="435"/>
    </row>
    <row r="28" spans="1:19" s="434" customFormat="1">
      <c r="A28" s="436">
        <v>7200</v>
      </c>
      <c r="B28" s="437">
        <v>200</v>
      </c>
      <c r="C28" s="399" t="s">
        <v>432</v>
      </c>
      <c r="D28" s="443" t="s">
        <v>254</v>
      </c>
      <c r="E28" s="440"/>
      <c r="F28" s="578"/>
      <c r="G28" s="578"/>
      <c r="H28" s="429">
        <f t="shared" si="1"/>
        <v>0</v>
      </c>
      <c r="I28" s="441">
        <f>SUMIF('3-Basis ruimtestaat'!I:I,A28,'3-Basis ruimtestaat'!H:H)</f>
        <v>2328.91</v>
      </c>
      <c r="J28" s="442">
        <f t="shared" si="3"/>
        <v>0.10799234518450988</v>
      </c>
      <c r="K28" s="432"/>
      <c r="L28" s="433" t="s">
        <v>102</v>
      </c>
      <c r="N28" s="35"/>
      <c r="O28" s="408"/>
      <c r="S28" s="435"/>
    </row>
    <row r="29" spans="1:19" s="434" customFormat="1">
      <c r="A29" s="436">
        <v>8200</v>
      </c>
      <c r="B29" s="437">
        <v>200</v>
      </c>
      <c r="C29" s="399" t="s">
        <v>712</v>
      </c>
      <c r="D29" s="443" t="s">
        <v>254</v>
      </c>
      <c r="E29" s="440"/>
      <c r="F29" s="578"/>
      <c r="G29" s="578"/>
      <c r="H29" s="429">
        <f t="shared" si="1"/>
        <v>0</v>
      </c>
      <c r="I29" s="441">
        <f>SUMIF('3-Basis ruimtestaat'!I:I,A29,'3-Basis ruimtestaat'!H:H)</f>
        <v>756</v>
      </c>
      <c r="J29" s="442">
        <f t="shared" si="3"/>
        <v>3.5055975954197231E-2</v>
      </c>
      <c r="K29" s="432"/>
      <c r="L29" s="433" t="s">
        <v>102</v>
      </c>
      <c r="N29" s="35"/>
      <c r="O29" s="408"/>
      <c r="S29" s="435"/>
    </row>
    <row r="30" spans="1:19" s="434" customFormat="1">
      <c r="A30" s="436">
        <v>11200</v>
      </c>
      <c r="B30" s="437">
        <v>200</v>
      </c>
      <c r="C30" s="399" t="s">
        <v>3</v>
      </c>
      <c r="D30" s="443" t="s">
        <v>254</v>
      </c>
      <c r="E30" s="440"/>
      <c r="F30" s="578"/>
      <c r="G30" s="578"/>
      <c r="H30" s="429">
        <f t="shared" si="1"/>
        <v>0</v>
      </c>
      <c r="I30" s="441">
        <f>SUMIF('3-Basis ruimtestaat'!I:I,A30,'3-Basis ruimtestaat'!H:H)</f>
        <v>107.08</v>
      </c>
      <c r="J30" s="442">
        <f t="shared" si="3"/>
        <v>4.9653358534066661E-3</v>
      </c>
      <c r="K30" s="432"/>
      <c r="L30" s="433" t="s">
        <v>102</v>
      </c>
      <c r="N30" s="35"/>
      <c r="O30" s="408"/>
      <c r="S30" s="435"/>
    </row>
    <row r="31" spans="1:19" s="434" customFormat="1">
      <c r="A31" s="436">
        <v>12200</v>
      </c>
      <c r="B31" s="437">
        <v>200</v>
      </c>
      <c r="C31" s="399" t="s">
        <v>164</v>
      </c>
      <c r="D31" s="443" t="s">
        <v>254</v>
      </c>
      <c r="E31" s="440"/>
      <c r="F31" s="578"/>
      <c r="G31" s="578"/>
      <c r="H31" s="429">
        <f t="shared" si="1"/>
        <v>0</v>
      </c>
      <c r="I31" s="441">
        <f>SUMIF('3-Basis ruimtestaat'!I:I,A31,'3-Basis ruimtestaat'!H:H)</f>
        <v>16.72</v>
      </c>
      <c r="J31" s="442">
        <f t="shared" si="3"/>
        <v>7.7531206078594931E-4</v>
      </c>
      <c r="K31" s="432"/>
      <c r="L31" s="433" t="s">
        <v>102</v>
      </c>
      <c r="N31" s="35"/>
      <c r="O31" s="408"/>
      <c r="S31" s="435"/>
    </row>
    <row r="32" spans="1:19" s="434" customFormat="1">
      <c r="A32" s="436">
        <v>13120</v>
      </c>
      <c r="B32" s="437">
        <v>120</v>
      </c>
      <c r="C32" s="399" t="s">
        <v>706</v>
      </c>
      <c r="D32" s="443" t="s">
        <v>715</v>
      </c>
      <c r="E32" s="440"/>
      <c r="F32" s="578"/>
      <c r="G32" s="578"/>
      <c r="H32" s="429">
        <f t="shared" si="1"/>
        <v>0</v>
      </c>
      <c r="I32" s="441">
        <f>SUMIF('3-Basis ruimtestaat'!I:I,A32,'3-Basis ruimtestaat'!H:H)</f>
        <v>6945.6400000000012</v>
      </c>
      <c r="J32" s="442">
        <f t="shared" ref="J32" si="4">IF(I32=0,"",I32/$I$40)</f>
        <v>0.32207167834194511</v>
      </c>
      <c r="K32" s="432"/>
      <c r="L32" s="433" t="s">
        <v>713</v>
      </c>
      <c r="N32" s="35"/>
      <c r="O32" s="408"/>
      <c r="S32" s="435"/>
    </row>
    <row r="33" spans="1:19" s="434" customFormat="1">
      <c r="A33" s="436">
        <v>14012</v>
      </c>
      <c r="B33" s="437">
        <v>12</v>
      </c>
      <c r="C33" s="399" t="s">
        <v>71</v>
      </c>
      <c r="D33" s="443" t="s">
        <v>306</v>
      </c>
      <c r="E33" s="440"/>
      <c r="F33" s="578"/>
      <c r="G33" s="578"/>
      <c r="H33" s="429">
        <f t="shared" si="1"/>
        <v>0</v>
      </c>
      <c r="I33" s="441">
        <f>SUMIF('3-Basis ruimtestaat'!I:I,A33,'3-Basis ruimtestaat'!H:H)</f>
        <v>334.93</v>
      </c>
      <c r="J33" s="442">
        <f t="shared" ref="J33:J39" si="5">IF(I33=0,"",I33/$I$40)</f>
        <v>1.5530817495157776E-2</v>
      </c>
      <c r="K33" s="432"/>
      <c r="L33" s="433" t="s">
        <v>102</v>
      </c>
      <c r="N33" s="35"/>
      <c r="O33" s="408"/>
      <c r="S33" s="435"/>
    </row>
    <row r="34" spans="1:19" s="434" customFormat="1">
      <c r="A34" s="436">
        <v>14040</v>
      </c>
      <c r="B34" s="437">
        <v>40</v>
      </c>
      <c r="C34" s="399" t="s">
        <v>71</v>
      </c>
      <c r="D34" s="443" t="s">
        <v>236</v>
      </c>
      <c r="E34" s="440"/>
      <c r="F34" s="578"/>
      <c r="G34" s="578"/>
      <c r="H34" s="429">
        <f t="shared" si="1"/>
        <v>0</v>
      </c>
      <c r="I34" s="441">
        <f>SUMIF('3-Basis ruimtestaat'!I:I,A34,'3-Basis ruimtestaat'!H:H)</f>
        <v>56.9</v>
      </c>
      <c r="J34" s="442">
        <f t="shared" si="5"/>
        <v>2.6384722642775428E-3</v>
      </c>
      <c r="K34" s="432"/>
      <c r="L34" s="433" t="s">
        <v>102</v>
      </c>
      <c r="N34" s="35"/>
      <c r="O34" s="408"/>
      <c r="S34" s="435"/>
    </row>
    <row r="35" spans="1:19" s="434" customFormat="1">
      <c r="A35" s="436">
        <v>15126</v>
      </c>
      <c r="B35" s="437">
        <v>126</v>
      </c>
      <c r="C35" s="399" t="s">
        <v>146</v>
      </c>
      <c r="D35" s="443" t="s">
        <v>707</v>
      </c>
      <c r="E35" s="440"/>
      <c r="F35" s="578"/>
      <c r="G35" s="578"/>
      <c r="H35" s="429">
        <f t="shared" ref="H35" si="6">IF(E35=0,0,B35/(E35+G35+F35))</f>
        <v>0</v>
      </c>
      <c r="I35" s="441">
        <f>SUMIF('3-Basis ruimtestaat'!I:I,A35,'3-Basis ruimtestaat'!H:H)</f>
        <v>89</v>
      </c>
      <c r="J35" s="442">
        <f t="shared" si="5"/>
        <v>4.1269601321740129E-3</v>
      </c>
      <c r="K35" s="432"/>
      <c r="L35" s="433" t="s">
        <v>227</v>
      </c>
      <c r="N35" s="35"/>
      <c r="O35" s="408"/>
      <c r="S35" s="435"/>
    </row>
    <row r="36" spans="1:19" s="434" customFormat="1">
      <c r="A36" s="436">
        <v>15210</v>
      </c>
      <c r="B36" s="437">
        <v>210</v>
      </c>
      <c r="C36" s="399" t="s">
        <v>146</v>
      </c>
      <c r="D36" s="443" t="s">
        <v>704</v>
      </c>
      <c r="E36" s="440"/>
      <c r="F36" s="578"/>
      <c r="G36" s="578"/>
      <c r="H36" s="429">
        <f t="shared" si="1"/>
        <v>0</v>
      </c>
      <c r="I36" s="441">
        <f>SUMIF('3-Basis ruimtestaat'!I:I,A36,'3-Basis ruimtestaat'!H:H)</f>
        <v>0</v>
      </c>
      <c r="J36" s="442" t="str">
        <f t="shared" si="5"/>
        <v/>
      </c>
      <c r="K36" s="432"/>
      <c r="L36" s="433" t="s">
        <v>227</v>
      </c>
      <c r="N36" s="35"/>
      <c r="O36" s="408"/>
      <c r="S36" s="435"/>
    </row>
    <row r="37" spans="1:19" s="434" customFormat="1">
      <c r="A37" s="436">
        <v>16200</v>
      </c>
      <c r="B37" s="437">
        <v>200</v>
      </c>
      <c r="C37" s="399" t="s">
        <v>709</v>
      </c>
      <c r="D37" s="443" t="s">
        <v>254</v>
      </c>
      <c r="E37" s="440"/>
      <c r="F37" s="578"/>
      <c r="G37" s="578"/>
      <c r="H37" s="429">
        <f t="shared" ref="H37" si="7">IF(E37=0,0,B37/(E37+G37))</f>
        <v>0</v>
      </c>
      <c r="I37" s="441">
        <f>SUMIF('3-Basis ruimtestaat'!I:I,A37,'3-Basis ruimtestaat'!H:H)</f>
        <v>2553.8500000000004</v>
      </c>
      <c r="J37" s="442">
        <f t="shared" si="5"/>
        <v>0.11842288914104049</v>
      </c>
      <c r="K37" s="432"/>
      <c r="L37" s="433" t="s">
        <v>713</v>
      </c>
      <c r="N37" s="35"/>
      <c r="O37" s="408"/>
      <c r="S37" s="435"/>
    </row>
    <row r="38" spans="1:19" s="434" customFormat="1">
      <c r="A38" s="436" t="s">
        <v>229</v>
      </c>
      <c r="B38" s="437"/>
      <c r="C38" s="438" t="s">
        <v>216</v>
      </c>
      <c r="D38" s="439"/>
      <c r="E38" s="448"/>
      <c r="F38" s="448"/>
      <c r="G38" s="448"/>
      <c r="H38" s="429"/>
      <c r="I38" s="441">
        <f>SUMIF('3-Basis ruimtestaat'!I:I,A38,'3-Basis ruimtestaat'!H:H)</f>
        <v>224.11</v>
      </c>
      <c r="J38" s="442">
        <f t="shared" si="5"/>
        <v>1.0392056575522675E-2</v>
      </c>
      <c r="K38" s="432"/>
      <c r="L38" s="433"/>
      <c r="N38" s="35"/>
      <c r="O38" s="408"/>
      <c r="S38" s="435"/>
    </row>
    <row r="39" spans="1:19" s="434" customFormat="1">
      <c r="A39" s="436"/>
      <c r="B39" s="437"/>
      <c r="C39" s="438"/>
      <c r="D39" s="439"/>
      <c r="E39" s="448"/>
      <c r="F39" s="448"/>
      <c r="G39" s="448"/>
      <c r="H39" s="429"/>
      <c r="I39" s="441">
        <f>SUMIF('3-Basis ruimtestaat'!I:I,A39,'3-Basis ruimtestaat'!H:H)</f>
        <v>0</v>
      </c>
      <c r="J39" s="442" t="str">
        <f t="shared" si="5"/>
        <v/>
      </c>
      <c r="K39" s="432"/>
      <c r="L39" s="433"/>
      <c r="N39" s="35"/>
      <c r="O39" s="408"/>
      <c r="S39" s="435"/>
    </row>
    <row r="40" spans="1:19" s="434" customFormat="1">
      <c r="A40" s="425"/>
      <c r="B40" s="426"/>
      <c r="C40" s="427">
        <v>0</v>
      </c>
      <c r="D40" s="427"/>
      <c r="E40" s="428"/>
      <c r="F40" s="428"/>
      <c r="G40" s="428"/>
      <c r="H40" s="428"/>
      <c r="I40" s="449">
        <f>SUM(I11:I38)</f>
        <v>21565.510000000002</v>
      </c>
      <c r="J40" s="450">
        <f>SUM(J11:J38)</f>
        <v>0.99999999999999989</v>
      </c>
      <c r="K40" s="432"/>
      <c r="L40" s="433"/>
      <c r="N40" s="35"/>
      <c r="O40" s="408"/>
      <c r="S40" s="435"/>
    </row>
    <row r="41" spans="1:19">
      <c r="D41" s="455"/>
    </row>
    <row r="42" spans="1:19">
      <c r="A42" s="456" t="s">
        <v>202</v>
      </c>
      <c r="B42" s="68"/>
      <c r="C42" s="68"/>
      <c r="D42" s="455"/>
    </row>
    <row r="43" spans="1:19">
      <c r="A43" s="68" t="s">
        <v>226</v>
      </c>
      <c r="B43" s="68" t="s">
        <v>203</v>
      </c>
      <c r="D43" s="455"/>
    </row>
    <row r="44" spans="1:19">
      <c r="A44" s="68" t="s">
        <v>204</v>
      </c>
      <c r="B44" s="68" t="s">
        <v>168</v>
      </c>
      <c r="D44" s="455"/>
    </row>
    <row r="45" spans="1:19">
      <c r="A45" s="68" t="s">
        <v>183</v>
      </c>
      <c r="B45" s="68" t="s">
        <v>4</v>
      </c>
      <c r="D45" s="455"/>
    </row>
    <row r="46" spans="1:19">
      <c r="A46" s="68" t="s">
        <v>145</v>
      </c>
      <c r="B46" s="68" t="s">
        <v>213</v>
      </c>
      <c r="D46" s="455"/>
    </row>
    <row r="47" spans="1:19">
      <c r="A47" s="68" t="s">
        <v>55</v>
      </c>
      <c r="B47" s="68" t="s">
        <v>72</v>
      </c>
      <c r="D47" s="455"/>
    </row>
    <row r="48" spans="1:19">
      <c r="A48" s="68" t="s">
        <v>234</v>
      </c>
      <c r="B48" s="68" t="s">
        <v>69</v>
      </c>
      <c r="D48" s="455"/>
    </row>
    <row r="49" spans="1:4">
      <c r="A49" s="68" t="s">
        <v>70</v>
      </c>
      <c r="B49" s="68" t="s">
        <v>30</v>
      </c>
      <c r="D49" s="455"/>
    </row>
    <row r="50" spans="1:4">
      <c r="A50" s="457"/>
      <c r="D50" s="455"/>
    </row>
    <row r="51" spans="1:4">
      <c r="A51" s="457"/>
      <c r="D51" s="455"/>
    </row>
  </sheetData>
  <autoFilter ref="A9:L40"/>
  <phoneticPr fontId="8"/>
  <printOptions horizontalCentered="1" gridLinesSet="0"/>
  <pageMargins left="0.59055118110236227" right="0.59055118110236227"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3"/>
  <sheetViews>
    <sheetView showGridLines="0" showZeros="0" zoomScale="78" zoomScaleNormal="78" workbookViewId="0">
      <pane ySplit="9" topLeftCell="A171" activePane="bottomLeft" state="frozen"/>
      <selection sqref="A1:XFD1048576"/>
      <selection pane="bottomLeft" sqref="A1:A1048576"/>
    </sheetView>
  </sheetViews>
  <sheetFormatPr defaultColWidth="8.7109375" defaultRowHeight="14.1" customHeight="1"/>
  <cols>
    <col min="1" max="1" width="4" style="35" hidden="1" customWidth="1"/>
    <col min="2" max="2" width="22.42578125" style="35" customWidth="1"/>
    <col min="3" max="3" width="23.7109375" style="35" bestFit="1" customWidth="1"/>
    <col min="4" max="4" width="9.5703125" style="370" customWidth="1"/>
    <col min="5" max="5" width="27.42578125" style="35" bestFit="1" customWidth="1"/>
    <col min="6" max="6" width="24.5703125" style="371" customWidth="1"/>
    <col min="7" max="7" width="44" style="35" bestFit="1" customWidth="1"/>
    <col min="8" max="8" width="7.42578125" style="35" customWidth="1"/>
    <col min="9" max="9" width="10.28515625" style="35" customWidth="1"/>
    <col min="10" max="14" width="9.140625" style="35" customWidth="1"/>
    <col min="15" max="17" width="9.28515625" style="35" customWidth="1"/>
    <col min="18" max="18" width="14.7109375" style="35" customWidth="1"/>
    <col min="19" max="19" width="10" style="35" customWidth="1"/>
    <col min="20" max="20" width="9.28515625" style="35" customWidth="1"/>
    <col min="21" max="21" width="8.7109375" style="35"/>
    <col min="22" max="22" width="14.140625" style="35" customWidth="1"/>
    <col min="23" max="23" width="6.85546875" style="35" bestFit="1" customWidth="1"/>
    <col min="24" max="16384" width="8.7109375" style="35"/>
  </cols>
  <sheetData>
    <row r="1" spans="1:22" ht="14.1" customHeight="1">
      <c r="A1" s="368">
        <v>1</v>
      </c>
      <c r="B1" s="369" t="s">
        <v>231</v>
      </c>
      <c r="C1" s="370"/>
      <c r="F1" s="567"/>
      <c r="H1" s="372"/>
      <c r="I1" s="373"/>
      <c r="J1" s="70"/>
      <c r="K1" s="374"/>
      <c r="L1" s="374"/>
      <c r="M1" s="374"/>
      <c r="N1" s="374"/>
      <c r="O1" s="374"/>
      <c r="P1" s="374"/>
      <c r="Q1" s="375"/>
      <c r="R1" s="376"/>
      <c r="S1" s="376"/>
      <c r="T1" s="376"/>
    </row>
    <row r="2" spans="1:22" ht="14.1" customHeight="1">
      <c r="A2" s="377">
        <v>2</v>
      </c>
      <c r="B2" s="378"/>
      <c r="C2" s="314"/>
      <c r="D2" s="314"/>
      <c r="E2" s="379"/>
      <c r="F2" s="568"/>
      <c r="G2" s="105"/>
      <c r="H2" s="380"/>
      <c r="I2" s="381"/>
      <c r="J2" s="382"/>
      <c r="K2" s="383"/>
      <c r="L2" s="383"/>
      <c r="M2" s="383"/>
      <c r="N2" s="383"/>
      <c r="O2" s="383"/>
      <c r="P2" s="383"/>
      <c r="Q2" s="384"/>
      <c r="R2" s="385"/>
      <c r="S2" s="385"/>
      <c r="T2" s="385"/>
    </row>
    <row r="3" spans="1:22" ht="14.1" customHeight="1">
      <c r="A3" s="377">
        <v>3</v>
      </c>
      <c r="B3" s="71" t="str">
        <f>'1-Contractblad perceel 1 SMO'!A3</f>
        <v>Naam opdrachtgever</v>
      </c>
      <c r="C3" s="72" t="str">
        <f>'1-Contractblad perceel 1 SMO'!B3</f>
        <v>CSG het Noordik</v>
      </c>
      <c r="D3" s="565"/>
      <c r="G3" s="105"/>
      <c r="H3" s="380"/>
      <c r="I3" s="381"/>
      <c r="J3" s="382"/>
      <c r="K3" s="383"/>
      <c r="L3" s="383"/>
      <c r="M3" s="383"/>
      <c r="N3" s="383"/>
      <c r="O3" s="383"/>
      <c r="P3" s="383"/>
      <c r="Q3" s="384"/>
      <c r="R3" s="105"/>
      <c r="S3" s="105"/>
      <c r="T3" s="105"/>
    </row>
    <row r="4" spans="1:22" ht="14.1" customHeight="1">
      <c r="A4" s="377">
        <v>4</v>
      </c>
      <c r="B4" s="71" t="str">
        <f>'1-Contractblad perceel 1 SMO'!A4</f>
        <v>Calculatie onderdeel</v>
      </c>
      <c r="C4" s="72" t="s">
        <v>253</v>
      </c>
      <c r="D4" s="566"/>
      <c r="F4" s="569"/>
      <c r="G4" s="105"/>
      <c r="H4" s="380"/>
      <c r="I4" s="381"/>
      <c r="J4" s="382"/>
      <c r="K4" s="383"/>
      <c r="L4" s="383"/>
      <c r="M4" s="383"/>
      <c r="N4" s="383"/>
      <c r="O4" s="383"/>
      <c r="P4" s="383"/>
      <c r="Q4" s="384"/>
      <c r="R4" s="105"/>
      <c r="S4" s="105"/>
      <c r="T4" s="105"/>
    </row>
    <row r="5" spans="1:22" ht="14.1" customHeight="1">
      <c r="A5" s="377">
        <v>5</v>
      </c>
      <c r="B5" s="71" t="str">
        <f>'1-Contractblad perceel 1 SMO'!A5</f>
        <v>Gebouw/plaats</v>
      </c>
      <c r="C5" s="72" t="str">
        <f>'1-Contractblad perceel 1 SMO'!B5</f>
        <v>Diversen</v>
      </c>
      <c r="D5" s="565"/>
      <c r="G5" s="105"/>
      <c r="H5" s="380"/>
      <c r="I5" s="381"/>
      <c r="J5" s="382"/>
      <c r="K5" s="383"/>
      <c r="L5" s="383"/>
      <c r="M5" s="383"/>
      <c r="N5" s="383"/>
      <c r="O5" s="383"/>
      <c r="P5" s="383"/>
      <c r="Q5" s="384"/>
      <c r="R5" s="105"/>
      <c r="S5" s="105"/>
      <c r="T5" s="105"/>
    </row>
    <row r="6" spans="1:22" ht="14.1" customHeight="1">
      <c r="A6" s="377">
        <v>6</v>
      </c>
      <c r="B6" s="71" t="str">
        <f>'1-Contractblad perceel 1 SMO'!A6</f>
        <v>Besteknummer</v>
      </c>
      <c r="C6" s="72" t="str">
        <f>'1-Contractblad perceel 1 SMO'!B6</f>
        <v>CSGN-EA-RT-2014</v>
      </c>
      <c r="D6" s="565"/>
      <c r="G6" s="105"/>
      <c r="H6" s="380"/>
      <c r="I6" s="381"/>
      <c r="J6" s="382"/>
      <c r="K6" s="383"/>
      <c r="L6" s="383"/>
      <c r="M6" s="383"/>
      <c r="N6" s="383"/>
      <c r="O6" s="383"/>
      <c r="P6" s="383"/>
      <c r="Q6" s="384"/>
      <c r="R6" s="105"/>
      <c r="S6" s="105"/>
      <c r="T6" s="105"/>
    </row>
    <row r="7" spans="1:22" ht="14.1" customHeight="1">
      <c r="A7" s="377">
        <v>7</v>
      </c>
      <c r="B7" s="71" t="str">
        <f>'1-Contractblad perceel 1 SMO'!A7</f>
        <v>Naam leverancier</v>
      </c>
      <c r="C7" s="72">
        <f>'1-Contractblad perceel 1 SMO'!B7</f>
        <v>0</v>
      </c>
      <c r="D7" s="565"/>
      <c r="G7" s="105"/>
      <c r="H7" s="380"/>
      <c r="I7" s="381"/>
      <c r="J7" s="382"/>
      <c r="K7" s="383"/>
      <c r="L7" s="383"/>
      <c r="M7" s="383"/>
      <c r="N7" s="383"/>
      <c r="O7" s="383"/>
      <c r="P7" s="383"/>
      <c r="Q7" s="384"/>
      <c r="R7" s="105"/>
      <c r="S7" s="105"/>
      <c r="T7" s="105"/>
    </row>
    <row r="8" spans="1:22" ht="14.1" customHeight="1">
      <c r="A8" s="377">
        <v>8</v>
      </c>
      <c r="B8" s="379"/>
      <c r="C8" s="314"/>
      <c r="D8" s="314"/>
      <c r="E8" s="379"/>
      <c r="F8" s="568"/>
      <c r="G8" s="105"/>
      <c r="H8" s="380"/>
      <c r="I8" s="381"/>
      <c r="J8" s="382"/>
      <c r="K8" s="383"/>
      <c r="L8" s="383"/>
      <c r="M8" s="383"/>
      <c r="N8" s="383"/>
      <c r="O8" s="383"/>
      <c r="P8" s="383"/>
      <c r="Q8" s="384"/>
      <c r="R8" s="385"/>
      <c r="S8" s="385"/>
      <c r="T8" s="385"/>
    </row>
    <row r="9" spans="1:22" ht="44.1" customHeight="1">
      <c r="A9" s="377">
        <v>9</v>
      </c>
      <c r="B9" s="386" t="s">
        <v>85</v>
      </c>
      <c r="C9" s="387" t="s">
        <v>106</v>
      </c>
      <c r="D9" s="387" t="s">
        <v>228</v>
      </c>
      <c r="E9" s="386" t="s">
        <v>165</v>
      </c>
      <c r="F9" s="570" t="s">
        <v>150</v>
      </c>
      <c r="G9" s="388" t="s">
        <v>193</v>
      </c>
      <c r="H9" s="389" t="s">
        <v>87</v>
      </c>
      <c r="I9" s="390" t="s">
        <v>232</v>
      </c>
      <c r="J9" s="391" t="s">
        <v>129</v>
      </c>
      <c r="K9" s="391" t="s">
        <v>2</v>
      </c>
      <c r="L9" s="391" t="s">
        <v>81</v>
      </c>
      <c r="M9" s="391" t="s">
        <v>31</v>
      </c>
      <c r="N9" s="391" t="s">
        <v>49</v>
      </c>
      <c r="O9" s="391" t="s">
        <v>50</v>
      </c>
      <c r="P9" s="391" t="s">
        <v>32</v>
      </c>
      <c r="Q9" s="392" t="s">
        <v>86</v>
      </c>
      <c r="R9" s="388" t="s">
        <v>742</v>
      </c>
      <c r="S9" s="388" t="s">
        <v>21</v>
      </c>
      <c r="T9" s="388" t="s">
        <v>64</v>
      </c>
    </row>
    <row r="10" spans="1:22" s="16" customFormat="1" ht="14.1" customHeight="1">
      <c r="A10" s="377">
        <v>10</v>
      </c>
      <c r="B10" s="617" t="s">
        <v>698</v>
      </c>
      <c r="C10" s="618" t="s">
        <v>312</v>
      </c>
      <c r="D10" s="619" t="s">
        <v>313</v>
      </c>
      <c r="E10" s="620" t="s">
        <v>314</v>
      </c>
      <c r="F10" s="621" t="str">
        <f t="shared" ref="F10:F72" si="0">IF($I10="",0,VLOOKUP($I10,Kengetal,3,FALSE))</f>
        <v>Gangen en hallen</v>
      </c>
      <c r="G10" s="622" t="s">
        <v>315</v>
      </c>
      <c r="H10" s="623">
        <v>3.15</v>
      </c>
      <c r="I10" s="635">
        <v>3255</v>
      </c>
      <c r="J10" s="395">
        <f t="shared" ref="J10:J72" si="1">SUM(IF(I10="",0,VLOOKUP(I10,Kengetal,2)))</f>
        <v>255</v>
      </c>
      <c r="K10" s="396">
        <f t="shared" ref="K10:K72" si="2">N10*H10</f>
        <v>0</v>
      </c>
      <c r="L10" s="396">
        <f t="shared" ref="L10:L72" si="3">O10*H10</f>
        <v>0</v>
      </c>
      <c r="M10" s="396">
        <f t="shared" ref="M10:M72" si="4">P10*H10</f>
        <v>0</v>
      </c>
      <c r="N10" s="396">
        <f t="shared" ref="N10:N72" si="5">IF($I10="",0,VLOOKUP($I10,Kengetal,5,FALSE))</f>
        <v>0</v>
      </c>
      <c r="O10" s="396">
        <f t="shared" ref="O10:O72" si="6">IF($I10="",0,VLOOKUP($I10,Kengetal,6,FALSE))</f>
        <v>0</v>
      </c>
      <c r="P10" s="396">
        <f>IF($I10="",0,VLOOKUP($I10,Kengetal,7,FALSE))</f>
        <v>0</v>
      </c>
      <c r="Q10" s="397" t="str">
        <f t="shared" ref="Q10:Q72" si="7">IF(I10="","",VLOOKUP(I10,Kengetal,12,FALSE))</f>
        <v>V</v>
      </c>
      <c r="R10" s="398"/>
      <c r="S10" s="398"/>
      <c r="T10" s="398"/>
      <c r="U10" s="35"/>
      <c r="V10" s="16">
        <f t="shared" ref="V10:V72" si="8">H10*J10</f>
        <v>803.25</v>
      </c>
    </row>
    <row r="11" spans="1:22" ht="14.1" customHeight="1">
      <c r="A11" s="377">
        <v>11</v>
      </c>
      <c r="B11" s="617" t="s">
        <v>698</v>
      </c>
      <c r="C11" s="618" t="s">
        <v>312</v>
      </c>
      <c r="D11" s="619" t="s">
        <v>316</v>
      </c>
      <c r="E11" s="620" t="s">
        <v>317</v>
      </c>
      <c r="F11" s="621" t="str">
        <f t="shared" si="0"/>
        <v>Gangen en hallen</v>
      </c>
      <c r="G11" s="622" t="s">
        <v>318</v>
      </c>
      <c r="H11" s="623">
        <v>13</v>
      </c>
      <c r="I11" s="635">
        <v>3255</v>
      </c>
      <c r="J11" s="395">
        <f t="shared" si="1"/>
        <v>255</v>
      </c>
      <c r="K11" s="396">
        <f t="shared" si="2"/>
        <v>0</v>
      </c>
      <c r="L11" s="396">
        <f t="shared" si="3"/>
        <v>0</v>
      </c>
      <c r="M11" s="396">
        <f t="shared" si="4"/>
        <v>0</v>
      </c>
      <c r="N11" s="396">
        <f t="shared" si="5"/>
        <v>0</v>
      </c>
      <c r="O11" s="396">
        <f t="shared" si="6"/>
        <v>0</v>
      </c>
      <c r="P11" s="396">
        <f t="shared" ref="P11:P73" si="9">IF($I11="",0,VLOOKUP($I11,Kengetal,7,FALSE))</f>
        <v>0</v>
      </c>
      <c r="Q11" s="397" t="str">
        <f t="shared" si="7"/>
        <v>V</v>
      </c>
      <c r="R11" s="394"/>
      <c r="S11" s="394"/>
      <c r="T11" s="394"/>
      <c r="V11" s="16">
        <f t="shared" si="8"/>
        <v>3315</v>
      </c>
    </row>
    <row r="12" spans="1:22" ht="14.1" customHeight="1">
      <c r="A12" s="377">
        <v>12</v>
      </c>
      <c r="B12" s="617" t="s">
        <v>698</v>
      </c>
      <c r="C12" s="618" t="s">
        <v>312</v>
      </c>
      <c r="D12" s="619" t="s">
        <v>319</v>
      </c>
      <c r="E12" s="620" t="s">
        <v>320</v>
      </c>
      <c r="F12" s="621" t="str">
        <f t="shared" si="0"/>
        <v>Gangen en hallen</v>
      </c>
      <c r="G12" s="622" t="s">
        <v>321</v>
      </c>
      <c r="H12" s="623">
        <v>9.5</v>
      </c>
      <c r="I12" s="635">
        <v>3255</v>
      </c>
      <c r="J12" s="395">
        <f t="shared" si="1"/>
        <v>255</v>
      </c>
      <c r="K12" s="396">
        <f t="shared" si="2"/>
        <v>0</v>
      </c>
      <c r="L12" s="396">
        <f t="shared" si="3"/>
        <v>0</v>
      </c>
      <c r="M12" s="396">
        <f t="shared" si="4"/>
        <v>0</v>
      </c>
      <c r="N12" s="396">
        <f t="shared" si="5"/>
        <v>0</v>
      </c>
      <c r="O12" s="396">
        <f t="shared" si="6"/>
        <v>0</v>
      </c>
      <c r="P12" s="396">
        <f t="shared" si="9"/>
        <v>0</v>
      </c>
      <c r="Q12" s="397" t="str">
        <f t="shared" si="7"/>
        <v>V</v>
      </c>
      <c r="R12" s="394"/>
      <c r="S12" s="394"/>
      <c r="T12" s="394"/>
      <c r="V12" s="16">
        <f t="shared" si="8"/>
        <v>2422.5</v>
      </c>
    </row>
    <row r="13" spans="1:22" ht="14.1" customHeight="1">
      <c r="A13" s="377">
        <v>13</v>
      </c>
      <c r="B13" s="617" t="s">
        <v>698</v>
      </c>
      <c r="C13" s="618" t="s">
        <v>312</v>
      </c>
      <c r="D13" s="619" t="s">
        <v>322</v>
      </c>
      <c r="E13" s="622" t="s">
        <v>323</v>
      </c>
      <c r="F13" s="621" t="str">
        <f t="shared" si="0"/>
        <v>Administratieve ruimten</v>
      </c>
      <c r="G13" s="622" t="s">
        <v>201</v>
      </c>
      <c r="H13" s="623">
        <v>22.5</v>
      </c>
      <c r="I13" s="635">
        <v>1255</v>
      </c>
      <c r="J13" s="395">
        <f t="shared" si="1"/>
        <v>255</v>
      </c>
      <c r="K13" s="396">
        <f t="shared" si="2"/>
        <v>0</v>
      </c>
      <c r="L13" s="396">
        <f t="shared" si="3"/>
        <v>0</v>
      </c>
      <c r="M13" s="396">
        <f t="shared" si="4"/>
        <v>0</v>
      </c>
      <c r="N13" s="396">
        <f t="shared" si="5"/>
        <v>0</v>
      </c>
      <c r="O13" s="396">
        <f t="shared" si="6"/>
        <v>0</v>
      </c>
      <c r="P13" s="396">
        <f t="shared" si="9"/>
        <v>0</v>
      </c>
      <c r="Q13" s="397" t="str">
        <f t="shared" si="7"/>
        <v>B</v>
      </c>
      <c r="R13" s="394"/>
      <c r="S13" s="394"/>
      <c r="T13" s="394"/>
      <c r="V13" s="16">
        <f t="shared" si="8"/>
        <v>5737.5</v>
      </c>
    </row>
    <row r="14" spans="1:22" ht="14.1" customHeight="1">
      <c r="A14" s="377">
        <v>14</v>
      </c>
      <c r="B14" s="617" t="s">
        <v>698</v>
      </c>
      <c r="C14" s="618" t="s">
        <v>312</v>
      </c>
      <c r="D14" s="619" t="s">
        <v>324</v>
      </c>
      <c r="E14" s="622" t="s">
        <v>325</v>
      </c>
      <c r="F14" s="621" t="str">
        <f t="shared" si="0"/>
        <v>Administratieve ruimten</v>
      </c>
      <c r="G14" s="622" t="s">
        <v>201</v>
      </c>
      <c r="H14" s="623">
        <v>11.4</v>
      </c>
      <c r="I14" s="635">
        <v>1255</v>
      </c>
      <c r="J14" s="395">
        <f t="shared" si="1"/>
        <v>255</v>
      </c>
      <c r="K14" s="396">
        <f t="shared" si="2"/>
        <v>0</v>
      </c>
      <c r="L14" s="396">
        <f t="shared" si="3"/>
        <v>0</v>
      </c>
      <c r="M14" s="396">
        <f t="shared" si="4"/>
        <v>0</v>
      </c>
      <c r="N14" s="396">
        <f t="shared" si="5"/>
        <v>0</v>
      </c>
      <c r="O14" s="396">
        <f t="shared" si="6"/>
        <v>0</v>
      </c>
      <c r="P14" s="396">
        <f t="shared" si="9"/>
        <v>0</v>
      </c>
      <c r="Q14" s="397" t="str">
        <f t="shared" si="7"/>
        <v>B</v>
      </c>
      <c r="R14" s="394"/>
      <c r="S14" s="394"/>
      <c r="T14" s="394"/>
      <c r="V14" s="16">
        <f t="shared" si="8"/>
        <v>2907</v>
      </c>
    </row>
    <row r="15" spans="1:22" ht="14.1" customHeight="1">
      <c r="A15" s="377">
        <v>15</v>
      </c>
      <c r="B15" s="617" t="s">
        <v>698</v>
      </c>
      <c r="C15" s="618" t="s">
        <v>312</v>
      </c>
      <c r="D15" s="619" t="s">
        <v>326</v>
      </c>
      <c r="E15" s="622" t="s">
        <v>323</v>
      </c>
      <c r="F15" s="621" t="str">
        <f t="shared" si="0"/>
        <v>Administratieve ruimten</v>
      </c>
      <c r="G15" s="622" t="s">
        <v>201</v>
      </c>
      <c r="H15" s="623">
        <v>18.25</v>
      </c>
      <c r="I15" s="635">
        <v>1255</v>
      </c>
      <c r="J15" s="395">
        <f t="shared" si="1"/>
        <v>255</v>
      </c>
      <c r="K15" s="396">
        <f t="shared" si="2"/>
        <v>0</v>
      </c>
      <c r="L15" s="396">
        <f t="shared" si="3"/>
        <v>0</v>
      </c>
      <c r="M15" s="396">
        <f t="shared" si="4"/>
        <v>0</v>
      </c>
      <c r="N15" s="396">
        <f t="shared" si="5"/>
        <v>0</v>
      </c>
      <c r="O15" s="396">
        <f t="shared" si="6"/>
        <v>0</v>
      </c>
      <c r="P15" s="396">
        <f t="shared" si="9"/>
        <v>0</v>
      </c>
      <c r="Q15" s="397" t="str">
        <f t="shared" si="7"/>
        <v>B</v>
      </c>
      <c r="R15" s="394"/>
      <c r="S15" s="394"/>
      <c r="T15" s="394"/>
      <c r="V15" s="16">
        <f t="shared" si="8"/>
        <v>4653.75</v>
      </c>
    </row>
    <row r="16" spans="1:22" ht="14.1" customHeight="1">
      <c r="A16" s="377">
        <v>16</v>
      </c>
      <c r="B16" s="617" t="s">
        <v>698</v>
      </c>
      <c r="C16" s="618" t="s">
        <v>312</v>
      </c>
      <c r="D16" s="619" t="s">
        <v>327</v>
      </c>
      <c r="E16" s="622" t="s">
        <v>323</v>
      </c>
      <c r="F16" s="621" t="str">
        <f t="shared" si="0"/>
        <v>Administratieve ruimten</v>
      </c>
      <c r="G16" s="622" t="s">
        <v>201</v>
      </c>
      <c r="H16" s="623">
        <v>16.45</v>
      </c>
      <c r="I16" s="635">
        <v>1255</v>
      </c>
      <c r="J16" s="395">
        <f t="shared" si="1"/>
        <v>255</v>
      </c>
      <c r="K16" s="396">
        <f t="shared" si="2"/>
        <v>0</v>
      </c>
      <c r="L16" s="396">
        <f t="shared" si="3"/>
        <v>0</v>
      </c>
      <c r="M16" s="396">
        <f t="shared" si="4"/>
        <v>0</v>
      </c>
      <c r="N16" s="396">
        <f t="shared" si="5"/>
        <v>0</v>
      </c>
      <c r="O16" s="396">
        <f t="shared" si="6"/>
        <v>0</v>
      </c>
      <c r="P16" s="396">
        <f t="shared" si="9"/>
        <v>0</v>
      </c>
      <c r="Q16" s="397" t="str">
        <f t="shared" si="7"/>
        <v>B</v>
      </c>
      <c r="R16" s="394"/>
      <c r="S16" s="394"/>
      <c r="T16" s="394"/>
      <c r="V16" s="16">
        <f t="shared" si="8"/>
        <v>4194.75</v>
      </c>
    </row>
    <row r="17" spans="1:22" ht="14.1" customHeight="1">
      <c r="A17" s="377">
        <v>17</v>
      </c>
      <c r="B17" s="617" t="s">
        <v>698</v>
      </c>
      <c r="C17" s="618" t="s">
        <v>312</v>
      </c>
      <c r="D17" s="619" t="s">
        <v>328</v>
      </c>
      <c r="E17" s="624" t="s">
        <v>323</v>
      </c>
      <c r="F17" s="621" t="str">
        <f t="shared" si="0"/>
        <v>Administratieve ruimten</v>
      </c>
      <c r="G17" s="622" t="s">
        <v>201</v>
      </c>
      <c r="H17" s="623">
        <v>37</v>
      </c>
      <c r="I17" s="635">
        <v>1255</v>
      </c>
      <c r="J17" s="395">
        <f t="shared" si="1"/>
        <v>255</v>
      </c>
      <c r="K17" s="396">
        <f t="shared" si="2"/>
        <v>0</v>
      </c>
      <c r="L17" s="396">
        <f t="shared" si="3"/>
        <v>0</v>
      </c>
      <c r="M17" s="396">
        <f t="shared" si="4"/>
        <v>0</v>
      </c>
      <c r="N17" s="396">
        <f t="shared" si="5"/>
        <v>0</v>
      </c>
      <c r="O17" s="396">
        <f t="shared" si="6"/>
        <v>0</v>
      </c>
      <c r="P17" s="396">
        <f t="shared" si="9"/>
        <v>0</v>
      </c>
      <c r="Q17" s="397" t="str">
        <f t="shared" si="7"/>
        <v>B</v>
      </c>
      <c r="R17" s="394"/>
      <c r="S17" s="394"/>
      <c r="T17" s="394"/>
      <c r="V17" s="16">
        <f t="shared" si="8"/>
        <v>9435</v>
      </c>
    </row>
    <row r="18" spans="1:22" ht="14.1" customHeight="1">
      <c r="A18" s="377">
        <v>18</v>
      </c>
      <c r="B18" s="617" t="s">
        <v>698</v>
      </c>
      <c r="C18" s="618" t="s">
        <v>312</v>
      </c>
      <c r="D18" s="619" t="s">
        <v>329</v>
      </c>
      <c r="E18" s="625" t="s">
        <v>330</v>
      </c>
      <c r="F18" s="621" t="str">
        <f t="shared" si="0"/>
        <v>Niet van toepassing</v>
      </c>
      <c r="G18" s="626" t="s">
        <v>331</v>
      </c>
      <c r="H18" s="623">
        <v>0</v>
      </c>
      <c r="I18" s="635" t="s">
        <v>229</v>
      </c>
      <c r="J18" s="395">
        <f t="shared" si="1"/>
        <v>0</v>
      </c>
      <c r="K18" s="396">
        <f t="shared" si="2"/>
        <v>0</v>
      </c>
      <c r="L18" s="396">
        <f t="shared" si="3"/>
        <v>0</v>
      </c>
      <c r="M18" s="396">
        <f t="shared" si="4"/>
        <v>0</v>
      </c>
      <c r="N18" s="396">
        <f t="shared" si="5"/>
        <v>0</v>
      </c>
      <c r="O18" s="396">
        <f t="shared" si="6"/>
        <v>0</v>
      </c>
      <c r="P18" s="396">
        <f t="shared" si="9"/>
        <v>0</v>
      </c>
      <c r="Q18" s="397">
        <f t="shared" si="7"/>
        <v>0</v>
      </c>
      <c r="R18" s="394"/>
      <c r="S18" s="394"/>
      <c r="T18" s="394"/>
      <c r="V18" s="16">
        <f t="shared" si="8"/>
        <v>0</v>
      </c>
    </row>
    <row r="19" spans="1:22" ht="14.1" customHeight="1">
      <c r="A19" s="377">
        <v>19</v>
      </c>
      <c r="B19" s="617" t="s">
        <v>698</v>
      </c>
      <c r="C19" s="627" t="s">
        <v>312</v>
      </c>
      <c r="D19" s="628" t="s">
        <v>332</v>
      </c>
      <c r="E19" s="629" t="s">
        <v>333</v>
      </c>
      <c r="F19" s="621" t="str">
        <f t="shared" si="0"/>
        <v>Sanitaire ruimten</v>
      </c>
      <c r="G19" s="622" t="s">
        <v>318</v>
      </c>
      <c r="H19" s="623">
        <v>1.1499999999999999</v>
      </c>
      <c r="I19" s="635">
        <v>2255</v>
      </c>
      <c r="J19" s="395">
        <f t="shared" si="1"/>
        <v>255</v>
      </c>
      <c r="K19" s="396">
        <f t="shared" si="2"/>
        <v>0</v>
      </c>
      <c r="L19" s="396">
        <f t="shared" si="3"/>
        <v>0</v>
      </c>
      <c r="M19" s="396">
        <f t="shared" si="4"/>
        <v>0</v>
      </c>
      <c r="N19" s="396">
        <f t="shared" si="5"/>
        <v>0</v>
      </c>
      <c r="O19" s="396">
        <f t="shared" si="6"/>
        <v>0</v>
      </c>
      <c r="P19" s="396">
        <f t="shared" si="9"/>
        <v>0</v>
      </c>
      <c r="Q19" s="397" t="str">
        <f t="shared" si="7"/>
        <v>S</v>
      </c>
      <c r="R19" s="394"/>
      <c r="S19" s="394"/>
      <c r="T19" s="394"/>
      <c r="V19" s="16">
        <f t="shared" si="8"/>
        <v>293.25</v>
      </c>
    </row>
    <row r="20" spans="1:22" ht="14.1" customHeight="1">
      <c r="A20" s="377">
        <v>20</v>
      </c>
      <c r="B20" s="617" t="s">
        <v>698</v>
      </c>
      <c r="C20" s="618" t="s">
        <v>312</v>
      </c>
      <c r="D20" s="619" t="s">
        <v>334</v>
      </c>
      <c r="E20" s="622" t="s">
        <v>335</v>
      </c>
      <c r="F20" s="621" t="str">
        <f t="shared" si="0"/>
        <v>Sanitaire ruimten</v>
      </c>
      <c r="G20" s="622" t="s">
        <v>318</v>
      </c>
      <c r="H20" s="623">
        <v>1.1399999999999999</v>
      </c>
      <c r="I20" s="635">
        <v>2255</v>
      </c>
      <c r="J20" s="395">
        <f t="shared" si="1"/>
        <v>255</v>
      </c>
      <c r="K20" s="396">
        <f t="shared" si="2"/>
        <v>0</v>
      </c>
      <c r="L20" s="396">
        <f t="shared" si="3"/>
        <v>0</v>
      </c>
      <c r="M20" s="396">
        <f t="shared" si="4"/>
        <v>0</v>
      </c>
      <c r="N20" s="396">
        <f t="shared" si="5"/>
        <v>0</v>
      </c>
      <c r="O20" s="396">
        <f t="shared" si="6"/>
        <v>0</v>
      </c>
      <c r="P20" s="396">
        <f t="shared" si="9"/>
        <v>0</v>
      </c>
      <c r="Q20" s="397" t="str">
        <f t="shared" si="7"/>
        <v>S</v>
      </c>
      <c r="R20" s="394"/>
      <c r="S20" s="394"/>
      <c r="T20" s="394"/>
      <c r="V20" s="16">
        <f t="shared" si="8"/>
        <v>290.7</v>
      </c>
    </row>
    <row r="21" spans="1:22" ht="14.1" customHeight="1">
      <c r="A21" s="377">
        <v>21</v>
      </c>
      <c r="B21" s="617" t="s">
        <v>698</v>
      </c>
      <c r="C21" s="618" t="s">
        <v>312</v>
      </c>
      <c r="D21" s="619" t="s">
        <v>336</v>
      </c>
      <c r="E21" s="630" t="s">
        <v>337</v>
      </c>
      <c r="F21" s="621" t="str">
        <f t="shared" si="0"/>
        <v>Pantry/keuken</v>
      </c>
      <c r="G21" s="622" t="s">
        <v>338</v>
      </c>
      <c r="H21" s="623">
        <v>33.119999999999997</v>
      </c>
      <c r="I21" s="635">
        <v>6255</v>
      </c>
      <c r="J21" s="395">
        <f t="shared" si="1"/>
        <v>255</v>
      </c>
      <c r="K21" s="396">
        <f t="shared" si="2"/>
        <v>0</v>
      </c>
      <c r="L21" s="396">
        <f t="shared" si="3"/>
        <v>0</v>
      </c>
      <c r="M21" s="396">
        <f t="shared" si="4"/>
        <v>0</v>
      </c>
      <c r="N21" s="396">
        <f t="shared" si="5"/>
        <v>0</v>
      </c>
      <c r="O21" s="396">
        <f t="shared" si="6"/>
        <v>0</v>
      </c>
      <c r="P21" s="396">
        <f t="shared" si="9"/>
        <v>0</v>
      </c>
      <c r="Q21" s="397" t="str">
        <f t="shared" si="7"/>
        <v>V</v>
      </c>
      <c r="R21" s="394"/>
      <c r="S21" s="394"/>
      <c r="T21" s="394"/>
      <c r="V21" s="16">
        <f t="shared" si="8"/>
        <v>8445.5999999999985</v>
      </c>
    </row>
    <row r="22" spans="1:22" ht="14.1" customHeight="1">
      <c r="A22" s="377">
        <v>22</v>
      </c>
      <c r="B22" s="617" t="s">
        <v>698</v>
      </c>
      <c r="C22" s="618" t="s">
        <v>339</v>
      </c>
      <c r="D22" s="619" t="s">
        <v>340</v>
      </c>
      <c r="E22" s="630" t="s">
        <v>341</v>
      </c>
      <c r="F22" s="621" t="str">
        <f t="shared" si="0"/>
        <v>Trappenhuizen</v>
      </c>
      <c r="G22" s="622" t="s">
        <v>201</v>
      </c>
      <c r="H22" s="623">
        <v>5</v>
      </c>
      <c r="I22" s="635">
        <v>5200</v>
      </c>
      <c r="J22" s="395">
        <f t="shared" si="1"/>
        <v>200</v>
      </c>
      <c r="K22" s="396">
        <f t="shared" si="2"/>
        <v>0</v>
      </c>
      <c r="L22" s="396">
        <f t="shared" si="3"/>
        <v>0</v>
      </c>
      <c r="M22" s="396">
        <f t="shared" si="4"/>
        <v>0</v>
      </c>
      <c r="N22" s="396">
        <f t="shared" si="5"/>
        <v>0</v>
      </c>
      <c r="O22" s="396">
        <f t="shared" si="6"/>
        <v>0</v>
      </c>
      <c r="P22" s="396">
        <f t="shared" si="9"/>
        <v>0</v>
      </c>
      <c r="Q22" s="397" t="str">
        <f t="shared" si="7"/>
        <v>V</v>
      </c>
      <c r="R22" s="394"/>
      <c r="S22" s="394"/>
      <c r="T22" s="394"/>
      <c r="V22" s="16">
        <f t="shared" si="8"/>
        <v>1000</v>
      </c>
    </row>
    <row r="23" spans="1:22" ht="14.1" customHeight="1">
      <c r="A23" s="377">
        <v>23</v>
      </c>
      <c r="B23" s="617" t="s">
        <v>698</v>
      </c>
      <c r="C23" s="618" t="s">
        <v>339</v>
      </c>
      <c r="D23" s="619" t="s">
        <v>342</v>
      </c>
      <c r="E23" s="630" t="s">
        <v>343</v>
      </c>
      <c r="F23" s="621" t="str">
        <f t="shared" si="0"/>
        <v>Gangen en hallen</v>
      </c>
      <c r="G23" s="622" t="s">
        <v>201</v>
      </c>
      <c r="H23" s="623">
        <v>4.92</v>
      </c>
      <c r="I23" s="635">
        <v>3255</v>
      </c>
      <c r="J23" s="395">
        <f t="shared" si="1"/>
        <v>255</v>
      </c>
      <c r="K23" s="396">
        <f t="shared" si="2"/>
        <v>0</v>
      </c>
      <c r="L23" s="396">
        <f t="shared" si="3"/>
        <v>0</v>
      </c>
      <c r="M23" s="396">
        <f t="shared" si="4"/>
        <v>0</v>
      </c>
      <c r="N23" s="396">
        <f t="shared" si="5"/>
        <v>0</v>
      </c>
      <c r="O23" s="396">
        <f t="shared" si="6"/>
        <v>0</v>
      </c>
      <c r="P23" s="396">
        <f t="shared" si="9"/>
        <v>0</v>
      </c>
      <c r="Q23" s="397" t="str">
        <f t="shared" si="7"/>
        <v>V</v>
      </c>
      <c r="R23" s="394"/>
      <c r="S23" s="394"/>
      <c r="T23" s="394"/>
      <c r="V23" s="16">
        <f t="shared" si="8"/>
        <v>1254.5999999999999</v>
      </c>
    </row>
    <row r="24" spans="1:22" ht="14.1" customHeight="1">
      <c r="A24" s="377">
        <v>24</v>
      </c>
      <c r="B24" s="617" t="s">
        <v>698</v>
      </c>
      <c r="C24" s="618">
        <v>1</v>
      </c>
      <c r="D24" s="619" t="s">
        <v>344</v>
      </c>
      <c r="E24" s="630" t="s">
        <v>345</v>
      </c>
      <c r="F24" s="621" t="str">
        <f t="shared" si="0"/>
        <v>Gangen en hallen</v>
      </c>
      <c r="G24" s="622" t="s">
        <v>201</v>
      </c>
      <c r="H24" s="623">
        <v>9.36</v>
      </c>
      <c r="I24" s="635">
        <v>3255</v>
      </c>
      <c r="J24" s="395">
        <f t="shared" si="1"/>
        <v>255</v>
      </c>
      <c r="K24" s="396">
        <f t="shared" si="2"/>
        <v>0</v>
      </c>
      <c r="L24" s="396">
        <f t="shared" si="3"/>
        <v>0</v>
      </c>
      <c r="M24" s="396">
        <f t="shared" si="4"/>
        <v>0</v>
      </c>
      <c r="N24" s="396">
        <f t="shared" si="5"/>
        <v>0</v>
      </c>
      <c r="O24" s="396">
        <f t="shared" si="6"/>
        <v>0</v>
      </c>
      <c r="P24" s="396">
        <f t="shared" si="9"/>
        <v>0</v>
      </c>
      <c r="Q24" s="397" t="str">
        <f t="shared" si="7"/>
        <v>V</v>
      </c>
      <c r="R24" s="394"/>
      <c r="S24" s="394"/>
      <c r="T24" s="394"/>
      <c r="V24" s="16">
        <f t="shared" si="8"/>
        <v>2386.7999999999997</v>
      </c>
    </row>
    <row r="25" spans="1:22" ht="14.1" customHeight="1">
      <c r="A25" s="377">
        <v>25</v>
      </c>
      <c r="B25" s="617" t="s">
        <v>698</v>
      </c>
      <c r="C25" s="618">
        <v>1</v>
      </c>
      <c r="D25" s="619" t="s">
        <v>346</v>
      </c>
      <c r="E25" s="630" t="s">
        <v>323</v>
      </c>
      <c r="F25" s="621" t="str">
        <f t="shared" si="0"/>
        <v>Administratieve ruimten</v>
      </c>
      <c r="G25" s="622" t="s">
        <v>201</v>
      </c>
      <c r="H25" s="623">
        <v>29.1</v>
      </c>
      <c r="I25" s="635">
        <v>1255</v>
      </c>
      <c r="J25" s="395">
        <f t="shared" si="1"/>
        <v>255</v>
      </c>
      <c r="K25" s="396">
        <f t="shared" si="2"/>
        <v>0</v>
      </c>
      <c r="L25" s="396">
        <f t="shared" si="3"/>
        <v>0</v>
      </c>
      <c r="M25" s="396">
        <f t="shared" si="4"/>
        <v>0</v>
      </c>
      <c r="N25" s="396">
        <f t="shared" si="5"/>
        <v>0</v>
      </c>
      <c r="O25" s="396">
        <f t="shared" si="6"/>
        <v>0</v>
      </c>
      <c r="P25" s="396">
        <f t="shared" si="9"/>
        <v>0</v>
      </c>
      <c r="Q25" s="397" t="str">
        <f t="shared" si="7"/>
        <v>B</v>
      </c>
      <c r="R25" s="394"/>
      <c r="S25" s="394"/>
      <c r="T25" s="394"/>
      <c r="V25" s="16">
        <f t="shared" si="8"/>
        <v>7420.5</v>
      </c>
    </row>
    <row r="26" spans="1:22" ht="14.1" customHeight="1">
      <c r="A26" s="377">
        <v>26</v>
      </c>
      <c r="B26" s="617" t="s">
        <v>698</v>
      </c>
      <c r="C26" s="618">
        <v>1</v>
      </c>
      <c r="D26" s="619" t="s">
        <v>347</v>
      </c>
      <c r="E26" s="630" t="s">
        <v>323</v>
      </c>
      <c r="F26" s="621" t="str">
        <f t="shared" si="0"/>
        <v>Administratieve ruimten</v>
      </c>
      <c r="G26" s="622" t="s">
        <v>201</v>
      </c>
      <c r="H26" s="623">
        <v>27.9</v>
      </c>
      <c r="I26" s="635">
        <v>1255</v>
      </c>
      <c r="J26" s="395">
        <f t="shared" si="1"/>
        <v>255</v>
      </c>
      <c r="K26" s="396">
        <f t="shared" si="2"/>
        <v>0</v>
      </c>
      <c r="L26" s="396">
        <f t="shared" si="3"/>
        <v>0</v>
      </c>
      <c r="M26" s="396">
        <f t="shared" si="4"/>
        <v>0</v>
      </c>
      <c r="N26" s="396">
        <f t="shared" si="5"/>
        <v>0</v>
      </c>
      <c r="O26" s="396">
        <f t="shared" si="6"/>
        <v>0</v>
      </c>
      <c r="P26" s="396">
        <f t="shared" si="9"/>
        <v>0</v>
      </c>
      <c r="Q26" s="397" t="str">
        <f t="shared" si="7"/>
        <v>B</v>
      </c>
      <c r="R26" s="394"/>
      <c r="S26" s="394"/>
      <c r="T26" s="394"/>
      <c r="V26" s="16">
        <f t="shared" si="8"/>
        <v>7114.5</v>
      </c>
    </row>
    <row r="27" spans="1:22" ht="14.1" customHeight="1">
      <c r="A27" s="377">
        <v>27</v>
      </c>
      <c r="B27" s="617" t="s">
        <v>698</v>
      </c>
      <c r="C27" s="618">
        <v>1</v>
      </c>
      <c r="D27" s="619" t="s">
        <v>348</v>
      </c>
      <c r="E27" s="630" t="s">
        <v>323</v>
      </c>
      <c r="F27" s="621" t="str">
        <f t="shared" si="0"/>
        <v>Administratieve ruimten</v>
      </c>
      <c r="G27" s="622" t="s">
        <v>201</v>
      </c>
      <c r="H27" s="623">
        <v>26.1</v>
      </c>
      <c r="I27" s="635">
        <v>1255</v>
      </c>
      <c r="J27" s="395">
        <f t="shared" si="1"/>
        <v>255</v>
      </c>
      <c r="K27" s="396">
        <f t="shared" si="2"/>
        <v>0</v>
      </c>
      <c r="L27" s="396">
        <f t="shared" si="3"/>
        <v>0</v>
      </c>
      <c r="M27" s="396">
        <f t="shared" si="4"/>
        <v>0</v>
      </c>
      <c r="N27" s="396">
        <f t="shared" si="5"/>
        <v>0</v>
      </c>
      <c r="O27" s="396">
        <f t="shared" si="6"/>
        <v>0</v>
      </c>
      <c r="P27" s="396">
        <f t="shared" si="9"/>
        <v>0</v>
      </c>
      <c r="Q27" s="397" t="str">
        <f t="shared" si="7"/>
        <v>B</v>
      </c>
      <c r="R27" s="394"/>
      <c r="S27" s="394"/>
      <c r="T27" s="394"/>
      <c r="V27" s="16">
        <f t="shared" si="8"/>
        <v>6655.5</v>
      </c>
    </row>
    <row r="28" spans="1:22" ht="14.1" customHeight="1">
      <c r="A28" s="377">
        <v>28</v>
      </c>
      <c r="B28" s="617" t="s">
        <v>698</v>
      </c>
      <c r="C28" s="618">
        <v>1</v>
      </c>
      <c r="D28" s="619" t="s">
        <v>349</v>
      </c>
      <c r="E28" s="630" t="s">
        <v>323</v>
      </c>
      <c r="F28" s="621" t="str">
        <f t="shared" si="0"/>
        <v>Administratieve ruimten</v>
      </c>
      <c r="G28" s="622" t="s">
        <v>201</v>
      </c>
      <c r="H28" s="623">
        <v>19.8</v>
      </c>
      <c r="I28" s="635">
        <v>1255</v>
      </c>
      <c r="J28" s="395">
        <f t="shared" si="1"/>
        <v>255</v>
      </c>
      <c r="K28" s="396">
        <f t="shared" si="2"/>
        <v>0</v>
      </c>
      <c r="L28" s="396">
        <f t="shared" si="3"/>
        <v>0</v>
      </c>
      <c r="M28" s="396">
        <f t="shared" si="4"/>
        <v>0</v>
      </c>
      <c r="N28" s="396">
        <f t="shared" si="5"/>
        <v>0</v>
      </c>
      <c r="O28" s="396">
        <f t="shared" si="6"/>
        <v>0</v>
      </c>
      <c r="P28" s="396">
        <f t="shared" si="9"/>
        <v>0</v>
      </c>
      <c r="Q28" s="397" t="str">
        <f t="shared" si="7"/>
        <v>B</v>
      </c>
      <c r="R28" s="394"/>
      <c r="S28" s="394"/>
      <c r="T28" s="394"/>
      <c r="V28" s="16">
        <f t="shared" si="8"/>
        <v>5049</v>
      </c>
    </row>
    <row r="29" spans="1:22" ht="14.1" customHeight="1">
      <c r="A29" s="377">
        <v>29</v>
      </c>
      <c r="B29" s="617" t="s">
        <v>698</v>
      </c>
      <c r="C29" s="618">
        <v>1</v>
      </c>
      <c r="D29" s="619" t="s">
        <v>350</v>
      </c>
      <c r="E29" s="630" t="s">
        <v>351</v>
      </c>
      <c r="F29" s="621" t="str">
        <f t="shared" si="0"/>
        <v>Gangen en hallen</v>
      </c>
      <c r="G29" s="622" t="s">
        <v>201</v>
      </c>
      <c r="H29" s="623">
        <v>1.68</v>
      </c>
      <c r="I29" s="635">
        <v>3255</v>
      </c>
      <c r="J29" s="395">
        <f t="shared" si="1"/>
        <v>255</v>
      </c>
      <c r="K29" s="396">
        <f t="shared" si="2"/>
        <v>0</v>
      </c>
      <c r="L29" s="396">
        <f t="shared" si="3"/>
        <v>0</v>
      </c>
      <c r="M29" s="396">
        <f t="shared" si="4"/>
        <v>0</v>
      </c>
      <c r="N29" s="396">
        <f t="shared" si="5"/>
        <v>0</v>
      </c>
      <c r="O29" s="396">
        <f t="shared" si="6"/>
        <v>0</v>
      </c>
      <c r="P29" s="396">
        <f t="shared" si="9"/>
        <v>0</v>
      </c>
      <c r="Q29" s="397" t="str">
        <f t="shared" si="7"/>
        <v>V</v>
      </c>
      <c r="R29" s="394"/>
      <c r="S29" s="394"/>
      <c r="T29" s="394"/>
      <c r="V29" s="16">
        <f t="shared" si="8"/>
        <v>428.4</v>
      </c>
    </row>
    <row r="30" spans="1:22" ht="14.1" customHeight="1">
      <c r="A30" s="377">
        <v>30</v>
      </c>
      <c r="B30" s="617" t="s">
        <v>698</v>
      </c>
      <c r="C30" s="618">
        <v>1</v>
      </c>
      <c r="D30" s="619">
        <v>2.8</v>
      </c>
      <c r="E30" s="630" t="s">
        <v>352</v>
      </c>
      <c r="F30" s="621" t="str">
        <f t="shared" si="0"/>
        <v>Sanitaire ruimten</v>
      </c>
      <c r="G30" s="622" t="s">
        <v>318</v>
      </c>
      <c r="H30" s="623">
        <v>2.2799999999999998</v>
      </c>
      <c r="I30" s="635">
        <v>2255</v>
      </c>
      <c r="J30" s="395">
        <f t="shared" si="1"/>
        <v>255</v>
      </c>
      <c r="K30" s="396">
        <f t="shared" si="2"/>
        <v>0</v>
      </c>
      <c r="L30" s="396">
        <f t="shared" si="3"/>
        <v>0</v>
      </c>
      <c r="M30" s="396">
        <f t="shared" si="4"/>
        <v>0</v>
      </c>
      <c r="N30" s="396">
        <f t="shared" si="5"/>
        <v>0</v>
      </c>
      <c r="O30" s="396">
        <f t="shared" si="6"/>
        <v>0</v>
      </c>
      <c r="P30" s="396">
        <f t="shared" si="9"/>
        <v>0</v>
      </c>
      <c r="Q30" s="397" t="str">
        <f t="shared" si="7"/>
        <v>S</v>
      </c>
      <c r="R30" s="394"/>
      <c r="S30" s="394"/>
      <c r="T30" s="394"/>
      <c r="V30" s="16">
        <f t="shared" si="8"/>
        <v>581.4</v>
      </c>
    </row>
    <row r="31" spans="1:22" ht="14.1" customHeight="1">
      <c r="A31" s="377">
        <v>31</v>
      </c>
      <c r="B31" s="617" t="s">
        <v>698</v>
      </c>
      <c r="C31" s="618" t="s">
        <v>339</v>
      </c>
      <c r="D31" s="619" t="s">
        <v>353</v>
      </c>
      <c r="E31" s="630" t="s">
        <v>354</v>
      </c>
      <c r="F31" s="621" t="str">
        <f t="shared" si="0"/>
        <v>Gangen en hallen</v>
      </c>
      <c r="G31" s="622" t="s">
        <v>201</v>
      </c>
      <c r="H31" s="623">
        <v>2.4</v>
      </c>
      <c r="I31" s="635">
        <v>3255</v>
      </c>
      <c r="J31" s="395">
        <f t="shared" si="1"/>
        <v>255</v>
      </c>
      <c r="K31" s="396">
        <f t="shared" si="2"/>
        <v>0</v>
      </c>
      <c r="L31" s="396">
        <f t="shared" si="3"/>
        <v>0</v>
      </c>
      <c r="M31" s="396">
        <f t="shared" si="4"/>
        <v>0</v>
      </c>
      <c r="N31" s="396">
        <f t="shared" si="5"/>
        <v>0</v>
      </c>
      <c r="O31" s="396">
        <f t="shared" si="6"/>
        <v>0</v>
      </c>
      <c r="P31" s="396">
        <f t="shared" si="9"/>
        <v>0</v>
      </c>
      <c r="Q31" s="397" t="str">
        <f t="shared" si="7"/>
        <v>V</v>
      </c>
      <c r="R31" s="394"/>
      <c r="S31" s="394"/>
      <c r="T31" s="394"/>
      <c r="V31" s="16">
        <f t="shared" si="8"/>
        <v>612</v>
      </c>
    </row>
    <row r="32" spans="1:22" ht="14.1" customHeight="1">
      <c r="A32" s="377">
        <v>32</v>
      </c>
      <c r="B32" s="617" t="s">
        <v>698</v>
      </c>
      <c r="C32" s="618">
        <v>2</v>
      </c>
      <c r="D32" s="619" t="s">
        <v>355</v>
      </c>
      <c r="E32" s="630" t="s">
        <v>345</v>
      </c>
      <c r="F32" s="621" t="str">
        <f t="shared" si="0"/>
        <v>Gangen en hallen</v>
      </c>
      <c r="G32" s="622" t="s">
        <v>201</v>
      </c>
      <c r="H32" s="623">
        <v>5.6</v>
      </c>
      <c r="I32" s="635">
        <v>3255</v>
      </c>
      <c r="J32" s="395">
        <f t="shared" si="1"/>
        <v>255</v>
      </c>
      <c r="K32" s="396">
        <f t="shared" si="2"/>
        <v>0</v>
      </c>
      <c r="L32" s="396">
        <f t="shared" si="3"/>
        <v>0</v>
      </c>
      <c r="M32" s="396">
        <f t="shared" si="4"/>
        <v>0</v>
      </c>
      <c r="N32" s="396">
        <f t="shared" si="5"/>
        <v>0</v>
      </c>
      <c r="O32" s="396">
        <f t="shared" si="6"/>
        <v>0</v>
      </c>
      <c r="P32" s="396">
        <f t="shared" si="9"/>
        <v>0</v>
      </c>
      <c r="Q32" s="397" t="str">
        <f t="shared" si="7"/>
        <v>V</v>
      </c>
      <c r="R32" s="394"/>
      <c r="S32" s="394"/>
      <c r="T32" s="394"/>
      <c r="V32" s="16">
        <f t="shared" si="8"/>
        <v>1428</v>
      </c>
    </row>
    <row r="33" spans="1:22" ht="14.1" customHeight="1">
      <c r="A33" s="377">
        <v>33</v>
      </c>
      <c r="B33" s="617" t="s">
        <v>698</v>
      </c>
      <c r="C33" s="618">
        <v>2</v>
      </c>
      <c r="D33" s="619" t="s">
        <v>356</v>
      </c>
      <c r="E33" s="630" t="s">
        <v>323</v>
      </c>
      <c r="F33" s="621" t="str">
        <f t="shared" si="0"/>
        <v>Administratieve ruimten</v>
      </c>
      <c r="G33" s="622" t="s">
        <v>201</v>
      </c>
      <c r="H33" s="623">
        <v>27.61</v>
      </c>
      <c r="I33" s="635">
        <v>1255</v>
      </c>
      <c r="J33" s="395">
        <f t="shared" si="1"/>
        <v>255</v>
      </c>
      <c r="K33" s="396">
        <f t="shared" si="2"/>
        <v>0</v>
      </c>
      <c r="L33" s="396">
        <f t="shared" si="3"/>
        <v>0</v>
      </c>
      <c r="M33" s="396">
        <f t="shared" si="4"/>
        <v>0</v>
      </c>
      <c r="N33" s="396">
        <f t="shared" si="5"/>
        <v>0</v>
      </c>
      <c r="O33" s="396">
        <f t="shared" si="6"/>
        <v>0</v>
      </c>
      <c r="P33" s="396">
        <f t="shared" si="9"/>
        <v>0</v>
      </c>
      <c r="Q33" s="397" t="str">
        <f t="shared" si="7"/>
        <v>B</v>
      </c>
      <c r="R33" s="394"/>
      <c r="S33" s="394"/>
      <c r="T33" s="394"/>
      <c r="V33" s="16">
        <f t="shared" si="8"/>
        <v>7040.55</v>
      </c>
    </row>
    <row r="34" spans="1:22" ht="14.1" customHeight="1">
      <c r="A34" s="377">
        <v>34</v>
      </c>
      <c r="B34" s="617" t="s">
        <v>698</v>
      </c>
      <c r="C34" s="618">
        <v>2</v>
      </c>
      <c r="D34" s="619" t="s">
        <v>357</v>
      </c>
      <c r="E34" s="630" t="s">
        <v>323</v>
      </c>
      <c r="F34" s="621" t="str">
        <f t="shared" si="0"/>
        <v>Administratieve ruimten</v>
      </c>
      <c r="G34" s="622" t="s">
        <v>201</v>
      </c>
      <c r="H34" s="623">
        <v>19.350000000000001</v>
      </c>
      <c r="I34" s="635">
        <v>1255</v>
      </c>
      <c r="J34" s="395">
        <f t="shared" si="1"/>
        <v>255</v>
      </c>
      <c r="K34" s="396">
        <f t="shared" si="2"/>
        <v>0</v>
      </c>
      <c r="L34" s="396">
        <f t="shared" si="3"/>
        <v>0</v>
      </c>
      <c r="M34" s="396">
        <f t="shared" si="4"/>
        <v>0</v>
      </c>
      <c r="N34" s="396">
        <f t="shared" si="5"/>
        <v>0</v>
      </c>
      <c r="O34" s="396">
        <f t="shared" si="6"/>
        <v>0</v>
      </c>
      <c r="P34" s="396">
        <f t="shared" si="9"/>
        <v>0</v>
      </c>
      <c r="Q34" s="397" t="str">
        <f t="shared" si="7"/>
        <v>B</v>
      </c>
      <c r="R34" s="394"/>
      <c r="S34" s="394"/>
      <c r="T34" s="394"/>
      <c r="V34" s="16">
        <f t="shared" si="8"/>
        <v>4934.25</v>
      </c>
    </row>
    <row r="35" spans="1:22" ht="14.1" customHeight="1">
      <c r="A35" s="377">
        <v>35</v>
      </c>
      <c r="B35" s="617" t="s">
        <v>698</v>
      </c>
      <c r="C35" s="618">
        <v>2</v>
      </c>
      <c r="D35" s="619" t="s">
        <v>358</v>
      </c>
      <c r="E35" s="630" t="s">
        <v>323</v>
      </c>
      <c r="F35" s="621" t="str">
        <f t="shared" si="0"/>
        <v>Administratieve ruimten</v>
      </c>
      <c r="G35" s="622" t="s">
        <v>201</v>
      </c>
      <c r="H35" s="623">
        <v>14.65</v>
      </c>
      <c r="I35" s="635">
        <v>1255</v>
      </c>
      <c r="J35" s="395">
        <f t="shared" si="1"/>
        <v>255</v>
      </c>
      <c r="K35" s="396">
        <f t="shared" si="2"/>
        <v>0</v>
      </c>
      <c r="L35" s="396">
        <f t="shared" si="3"/>
        <v>0</v>
      </c>
      <c r="M35" s="396">
        <f t="shared" si="4"/>
        <v>0</v>
      </c>
      <c r="N35" s="396">
        <f t="shared" si="5"/>
        <v>0</v>
      </c>
      <c r="O35" s="396">
        <f t="shared" si="6"/>
        <v>0</v>
      </c>
      <c r="P35" s="396">
        <f t="shared" si="9"/>
        <v>0</v>
      </c>
      <c r="Q35" s="397" t="str">
        <f t="shared" si="7"/>
        <v>B</v>
      </c>
      <c r="R35" s="394"/>
      <c r="S35" s="394"/>
      <c r="T35" s="394"/>
      <c r="V35" s="16">
        <f t="shared" si="8"/>
        <v>3735.75</v>
      </c>
    </row>
    <row r="36" spans="1:22" ht="14.1" customHeight="1">
      <c r="A36" s="377">
        <v>36</v>
      </c>
      <c r="B36" s="617" t="s">
        <v>698</v>
      </c>
      <c r="C36" s="618">
        <v>2</v>
      </c>
      <c r="D36" s="619" t="s">
        <v>359</v>
      </c>
      <c r="E36" s="630" t="s">
        <v>323</v>
      </c>
      <c r="F36" s="621" t="str">
        <f t="shared" si="0"/>
        <v>Administratieve ruimten</v>
      </c>
      <c r="G36" s="622" t="s">
        <v>201</v>
      </c>
      <c r="H36" s="623">
        <v>25.25</v>
      </c>
      <c r="I36" s="635">
        <v>1255</v>
      </c>
      <c r="J36" s="395">
        <f t="shared" si="1"/>
        <v>255</v>
      </c>
      <c r="K36" s="396">
        <f t="shared" si="2"/>
        <v>0</v>
      </c>
      <c r="L36" s="396">
        <f t="shared" si="3"/>
        <v>0</v>
      </c>
      <c r="M36" s="396">
        <f t="shared" si="4"/>
        <v>0</v>
      </c>
      <c r="N36" s="396">
        <f t="shared" si="5"/>
        <v>0</v>
      </c>
      <c r="O36" s="396">
        <f t="shared" si="6"/>
        <v>0</v>
      </c>
      <c r="P36" s="396">
        <f t="shared" si="9"/>
        <v>0</v>
      </c>
      <c r="Q36" s="397" t="str">
        <f t="shared" si="7"/>
        <v>B</v>
      </c>
      <c r="R36" s="394"/>
      <c r="S36" s="394"/>
      <c r="T36" s="394"/>
      <c r="V36" s="16">
        <f t="shared" si="8"/>
        <v>6438.75</v>
      </c>
    </row>
    <row r="37" spans="1:22" ht="14.1" customHeight="1">
      <c r="A37" s="377">
        <v>37</v>
      </c>
      <c r="B37" s="617" t="s">
        <v>698</v>
      </c>
      <c r="C37" s="618">
        <v>2</v>
      </c>
      <c r="D37" s="619" t="s">
        <v>360</v>
      </c>
      <c r="E37" s="630" t="s">
        <v>351</v>
      </c>
      <c r="F37" s="621" t="str">
        <f t="shared" si="0"/>
        <v>Gangen en hallen</v>
      </c>
      <c r="G37" s="622" t="s">
        <v>201</v>
      </c>
      <c r="H37" s="623">
        <v>1.95</v>
      </c>
      <c r="I37" s="635">
        <v>3255</v>
      </c>
      <c r="J37" s="395">
        <f t="shared" si="1"/>
        <v>255</v>
      </c>
      <c r="K37" s="396">
        <f t="shared" si="2"/>
        <v>0</v>
      </c>
      <c r="L37" s="396">
        <f t="shared" si="3"/>
        <v>0</v>
      </c>
      <c r="M37" s="396">
        <f t="shared" si="4"/>
        <v>0</v>
      </c>
      <c r="N37" s="396">
        <f t="shared" si="5"/>
        <v>0</v>
      </c>
      <c r="O37" s="396">
        <f t="shared" si="6"/>
        <v>0</v>
      </c>
      <c r="P37" s="396">
        <f t="shared" si="9"/>
        <v>0</v>
      </c>
      <c r="Q37" s="397" t="str">
        <f t="shared" si="7"/>
        <v>V</v>
      </c>
      <c r="R37" s="394"/>
      <c r="S37" s="394"/>
      <c r="T37" s="394"/>
      <c r="V37" s="16">
        <f t="shared" si="8"/>
        <v>497.25</v>
      </c>
    </row>
    <row r="38" spans="1:22" ht="14.1" customHeight="1">
      <c r="A38" s="377">
        <v>38</v>
      </c>
      <c r="B38" s="617" t="s">
        <v>698</v>
      </c>
      <c r="C38" s="618">
        <v>2</v>
      </c>
      <c r="D38" s="619">
        <v>3.7</v>
      </c>
      <c r="E38" s="630" t="s">
        <v>361</v>
      </c>
      <c r="F38" s="621" t="str">
        <f t="shared" si="0"/>
        <v>Niet van toepassing</v>
      </c>
      <c r="G38" s="622" t="s">
        <v>201</v>
      </c>
      <c r="H38" s="623">
        <v>2.4</v>
      </c>
      <c r="I38" s="635" t="s">
        <v>229</v>
      </c>
      <c r="J38" s="395">
        <f t="shared" si="1"/>
        <v>0</v>
      </c>
      <c r="K38" s="396">
        <f t="shared" si="2"/>
        <v>0</v>
      </c>
      <c r="L38" s="396">
        <f t="shared" si="3"/>
        <v>0</v>
      </c>
      <c r="M38" s="396">
        <f t="shared" si="4"/>
        <v>0</v>
      </c>
      <c r="N38" s="396">
        <f t="shared" si="5"/>
        <v>0</v>
      </c>
      <c r="O38" s="396">
        <f t="shared" si="6"/>
        <v>0</v>
      </c>
      <c r="P38" s="396">
        <f t="shared" si="9"/>
        <v>0</v>
      </c>
      <c r="Q38" s="397">
        <f t="shared" si="7"/>
        <v>0</v>
      </c>
      <c r="R38" s="394"/>
      <c r="S38" s="394"/>
      <c r="T38" s="394"/>
      <c r="V38" s="16">
        <f t="shared" si="8"/>
        <v>0</v>
      </c>
    </row>
    <row r="39" spans="1:22" ht="14.1" customHeight="1">
      <c r="A39" s="377">
        <v>39</v>
      </c>
      <c r="B39" s="620" t="s">
        <v>370</v>
      </c>
      <c r="C39" s="618" t="s">
        <v>371</v>
      </c>
      <c r="D39" s="619" t="s">
        <v>372</v>
      </c>
      <c r="E39" s="630" t="s">
        <v>373</v>
      </c>
      <c r="F39" s="621" t="str">
        <f t="shared" si="0"/>
        <v>Gangen en hallen</v>
      </c>
      <c r="G39" s="622" t="s">
        <v>374</v>
      </c>
      <c r="H39" s="623">
        <v>11</v>
      </c>
      <c r="I39" s="635">
        <v>3210</v>
      </c>
      <c r="J39" s="395">
        <f t="shared" si="1"/>
        <v>210</v>
      </c>
      <c r="K39" s="396">
        <f t="shared" si="2"/>
        <v>0</v>
      </c>
      <c r="L39" s="396">
        <f t="shared" si="3"/>
        <v>0</v>
      </c>
      <c r="M39" s="396">
        <f t="shared" si="4"/>
        <v>0</v>
      </c>
      <c r="N39" s="396">
        <f t="shared" si="5"/>
        <v>0</v>
      </c>
      <c r="O39" s="396">
        <f t="shared" si="6"/>
        <v>0</v>
      </c>
      <c r="P39" s="396">
        <f t="shared" si="9"/>
        <v>0</v>
      </c>
      <c r="Q39" s="397" t="str">
        <f t="shared" si="7"/>
        <v>V</v>
      </c>
      <c r="R39" s="394"/>
      <c r="S39" s="394"/>
      <c r="T39" s="394"/>
      <c r="V39" s="16">
        <f t="shared" si="8"/>
        <v>2310</v>
      </c>
    </row>
    <row r="40" spans="1:22" ht="14.1" customHeight="1">
      <c r="A40" s="377">
        <v>40</v>
      </c>
      <c r="B40" s="620" t="s">
        <v>370</v>
      </c>
      <c r="C40" s="618" t="s">
        <v>371</v>
      </c>
      <c r="D40" s="619" t="s">
        <v>375</v>
      </c>
      <c r="E40" s="630" t="s">
        <v>376</v>
      </c>
      <c r="F40" s="621" t="str">
        <f t="shared" si="0"/>
        <v>Gangen en hallen</v>
      </c>
      <c r="G40" s="622" t="s">
        <v>392</v>
      </c>
      <c r="H40" s="623">
        <v>228</v>
      </c>
      <c r="I40" s="635">
        <v>3255</v>
      </c>
      <c r="J40" s="395">
        <f t="shared" si="1"/>
        <v>255</v>
      </c>
      <c r="K40" s="396">
        <f t="shared" si="2"/>
        <v>0</v>
      </c>
      <c r="L40" s="396">
        <f t="shared" si="3"/>
        <v>0</v>
      </c>
      <c r="M40" s="396">
        <f t="shared" si="4"/>
        <v>0</v>
      </c>
      <c r="N40" s="396">
        <f t="shared" si="5"/>
        <v>0</v>
      </c>
      <c r="O40" s="396">
        <f t="shared" si="6"/>
        <v>0</v>
      </c>
      <c r="P40" s="396">
        <f t="shared" si="9"/>
        <v>0</v>
      </c>
      <c r="Q40" s="397" t="str">
        <f t="shared" si="7"/>
        <v>V</v>
      </c>
      <c r="R40" s="394"/>
      <c r="S40" s="394"/>
      <c r="T40" s="394"/>
      <c r="V40" s="16">
        <f t="shared" si="8"/>
        <v>58140</v>
      </c>
    </row>
    <row r="41" spans="1:22" ht="14.1" customHeight="1">
      <c r="A41" s="377">
        <v>41</v>
      </c>
      <c r="B41" s="620" t="s">
        <v>370</v>
      </c>
      <c r="C41" s="618" t="s">
        <v>371</v>
      </c>
      <c r="D41" s="619" t="s">
        <v>378</v>
      </c>
      <c r="E41" s="630" t="s">
        <v>379</v>
      </c>
      <c r="F41" s="621" t="str">
        <f t="shared" si="0"/>
        <v>Gangen en hallen</v>
      </c>
      <c r="G41" s="622" t="s">
        <v>392</v>
      </c>
      <c r="H41" s="623">
        <v>115</v>
      </c>
      <c r="I41" s="635">
        <v>3255</v>
      </c>
      <c r="J41" s="395">
        <f t="shared" si="1"/>
        <v>255</v>
      </c>
      <c r="K41" s="396">
        <f t="shared" si="2"/>
        <v>0</v>
      </c>
      <c r="L41" s="396">
        <f t="shared" si="3"/>
        <v>0</v>
      </c>
      <c r="M41" s="396">
        <f t="shared" si="4"/>
        <v>0</v>
      </c>
      <c r="N41" s="396">
        <f t="shared" si="5"/>
        <v>0</v>
      </c>
      <c r="O41" s="396">
        <f t="shared" si="6"/>
        <v>0</v>
      </c>
      <c r="P41" s="396">
        <f t="shared" si="9"/>
        <v>0</v>
      </c>
      <c r="Q41" s="397" t="str">
        <f t="shared" si="7"/>
        <v>V</v>
      </c>
      <c r="R41" s="394"/>
      <c r="S41" s="394"/>
      <c r="T41" s="394"/>
      <c r="V41" s="16">
        <f t="shared" si="8"/>
        <v>29325</v>
      </c>
    </row>
    <row r="42" spans="1:22" ht="14.1" customHeight="1">
      <c r="A42" s="377">
        <v>42</v>
      </c>
      <c r="B42" s="620" t="s">
        <v>370</v>
      </c>
      <c r="C42" s="618" t="s">
        <v>371</v>
      </c>
      <c r="D42" s="619" t="s">
        <v>380</v>
      </c>
      <c r="E42" s="630" t="s">
        <v>381</v>
      </c>
      <c r="F42" s="621" t="str">
        <f t="shared" si="0"/>
        <v>Gangen en hallen</v>
      </c>
      <c r="G42" s="622" t="s">
        <v>392</v>
      </c>
      <c r="H42" s="623">
        <v>18</v>
      </c>
      <c r="I42" s="635">
        <v>3255</v>
      </c>
      <c r="J42" s="395">
        <f t="shared" si="1"/>
        <v>255</v>
      </c>
      <c r="K42" s="396">
        <f t="shared" si="2"/>
        <v>0</v>
      </c>
      <c r="L42" s="396">
        <f t="shared" si="3"/>
        <v>0</v>
      </c>
      <c r="M42" s="396">
        <f t="shared" si="4"/>
        <v>0</v>
      </c>
      <c r="N42" s="396">
        <f t="shared" si="5"/>
        <v>0</v>
      </c>
      <c r="O42" s="396">
        <f t="shared" si="6"/>
        <v>0</v>
      </c>
      <c r="P42" s="396">
        <f t="shared" si="9"/>
        <v>0</v>
      </c>
      <c r="Q42" s="397" t="str">
        <f t="shared" si="7"/>
        <v>V</v>
      </c>
      <c r="R42" s="394"/>
      <c r="S42" s="394"/>
      <c r="T42" s="394"/>
      <c r="V42" s="16">
        <f t="shared" si="8"/>
        <v>4590</v>
      </c>
    </row>
    <row r="43" spans="1:22" ht="14.1" customHeight="1">
      <c r="A43" s="377">
        <v>44</v>
      </c>
      <c r="B43" s="620" t="s">
        <v>370</v>
      </c>
      <c r="C43" s="618" t="s">
        <v>371</v>
      </c>
      <c r="D43" s="619" t="s">
        <v>384</v>
      </c>
      <c r="E43" s="630" t="s">
        <v>385</v>
      </c>
      <c r="F43" s="621" t="str">
        <f t="shared" si="0"/>
        <v>Sanitaire ruimten</v>
      </c>
      <c r="G43" s="622" t="s">
        <v>738</v>
      </c>
      <c r="H43" s="623">
        <v>3</v>
      </c>
      <c r="I43" s="635">
        <v>2255</v>
      </c>
      <c r="J43" s="395">
        <f t="shared" si="1"/>
        <v>255</v>
      </c>
      <c r="K43" s="396">
        <f t="shared" si="2"/>
        <v>0</v>
      </c>
      <c r="L43" s="396">
        <f t="shared" si="3"/>
        <v>0</v>
      </c>
      <c r="M43" s="396">
        <f t="shared" si="4"/>
        <v>0</v>
      </c>
      <c r="N43" s="396">
        <f t="shared" si="5"/>
        <v>0</v>
      </c>
      <c r="O43" s="396">
        <f t="shared" si="6"/>
        <v>0</v>
      </c>
      <c r="P43" s="396">
        <f t="shared" si="9"/>
        <v>0</v>
      </c>
      <c r="Q43" s="397" t="str">
        <f t="shared" si="7"/>
        <v>S</v>
      </c>
      <c r="R43" s="394"/>
      <c r="S43" s="394"/>
      <c r="T43" s="394"/>
      <c r="V43" s="16">
        <f t="shared" si="8"/>
        <v>765</v>
      </c>
    </row>
    <row r="44" spans="1:22" ht="14.1" customHeight="1">
      <c r="A44" s="377">
        <v>45</v>
      </c>
      <c r="B44" s="620" t="s">
        <v>370</v>
      </c>
      <c r="C44" s="618" t="s">
        <v>371</v>
      </c>
      <c r="D44" s="619" t="s">
        <v>386</v>
      </c>
      <c r="E44" s="630" t="s">
        <v>387</v>
      </c>
      <c r="F44" s="621" t="str">
        <f t="shared" si="0"/>
        <v>Sanitaire ruimten</v>
      </c>
      <c r="G44" s="622" t="s">
        <v>738</v>
      </c>
      <c r="H44" s="623">
        <v>6</v>
      </c>
      <c r="I44" s="635">
        <v>2255</v>
      </c>
      <c r="J44" s="395">
        <f t="shared" si="1"/>
        <v>255</v>
      </c>
      <c r="K44" s="396">
        <f t="shared" si="2"/>
        <v>0</v>
      </c>
      <c r="L44" s="396">
        <f t="shared" si="3"/>
        <v>0</v>
      </c>
      <c r="M44" s="396">
        <f t="shared" si="4"/>
        <v>0</v>
      </c>
      <c r="N44" s="396">
        <f t="shared" si="5"/>
        <v>0</v>
      </c>
      <c r="O44" s="396">
        <f t="shared" si="6"/>
        <v>0</v>
      </c>
      <c r="P44" s="396">
        <f t="shared" si="9"/>
        <v>0</v>
      </c>
      <c r="Q44" s="397" t="str">
        <f t="shared" si="7"/>
        <v>S</v>
      </c>
      <c r="R44" s="394"/>
      <c r="S44" s="394"/>
      <c r="T44" s="394"/>
      <c r="V44" s="16">
        <f t="shared" si="8"/>
        <v>1530</v>
      </c>
    </row>
    <row r="45" spans="1:22" ht="14.1" customHeight="1">
      <c r="A45" s="377">
        <v>46</v>
      </c>
      <c r="B45" s="620" t="s">
        <v>370</v>
      </c>
      <c r="C45" s="618" t="s">
        <v>371</v>
      </c>
      <c r="D45" s="619" t="s">
        <v>388</v>
      </c>
      <c r="E45" s="630" t="s">
        <v>389</v>
      </c>
      <c r="F45" s="621" t="str">
        <f t="shared" si="0"/>
        <v>Niet van toepassing</v>
      </c>
      <c r="G45" s="622" t="s">
        <v>377</v>
      </c>
      <c r="H45" s="623">
        <v>3</v>
      </c>
      <c r="I45" s="635" t="s">
        <v>229</v>
      </c>
      <c r="J45" s="395">
        <f t="shared" si="1"/>
        <v>0</v>
      </c>
      <c r="K45" s="396">
        <f t="shared" si="2"/>
        <v>0</v>
      </c>
      <c r="L45" s="396">
        <f t="shared" si="3"/>
        <v>0</v>
      </c>
      <c r="M45" s="396">
        <f t="shared" si="4"/>
        <v>0</v>
      </c>
      <c r="N45" s="396">
        <f t="shared" si="5"/>
        <v>0</v>
      </c>
      <c r="O45" s="396">
        <f t="shared" si="6"/>
        <v>0</v>
      </c>
      <c r="P45" s="396">
        <f t="shared" si="9"/>
        <v>0</v>
      </c>
      <c r="Q45" s="397">
        <f t="shared" si="7"/>
        <v>0</v>
      </c>
      <c r="R45" s="394"/>
      <c r="S45" s="394"/>
      <c r="T45" s="394"/>
      <c r="V45" s="16">
        <f t="shared" si="8"/>
        <v>0</v>
      </c>
    </row>
    <row r="46" spans="1:22" ht="14.1" customHeight="1">
      <c r="A46" s="377">
        <v>47</v>
      </c>
      <c r="B46" s="620" t="s">
        <v>370</v>
      </c>
      <c r="C46" s="618" t="s">
        <v>371</v>
      </c>
      <c r="D46" s="619" t="s">
        <v>390</v>
      </c>
      <c r="E46" s="630" t="s">
        <v>391</v>
      </c>
      <c r="F46" s="621" t="str">
        <f t="shared" si="0"/>
        <v>Liften</v>
      </c>
      <c r="G46" s="622" t="s">
        <v>392</v>
      </c>
      <c r="H46" s="623">
        <v>1</v>
      </c>
      <c r="I46" s="635">
        <v>4200</v>
      </c>
      <c r="J46" s="395">
        <f t="shared" si="1"/>
        <v>200</v>
      </c>
      <c r="K46" s="396">
        <f t="shared" si="2"/>
        <v>0</v>
      </c>
      <c r="L46" s="396">
        <f t="shared" si="3"/>
        <v>0</v>
      </c>
      <c r="M46" s="396">
        <f t="shared" si="4"/>
        <v>0</v>
      </c>
      <c r="N46" s="396">
        <f t="shared" si="5"/>
        <v>0</v>
      </c>
      <c r="O46" s="396">
        <f t="shared" si="6"/>
        <v>0</v>
      </c>
      <c r="P46" s="396">
        <f t="shared" si="9"/>
        <v>0</v>
      </c>
      <c r="Q46" s="397" t="str">
        <f t="shared" si="7"/>
        <v>V</v>
      </c>
      <c r="R46" s="394"/>
      <c r="S46" s="394"/>
      <c r="T46" s="394"/>
      <c r="V46" s="16">
        <f t="shared" si="8"/>
        <v>200</v>
      </c>
    </row>
    <row r="47" spans="1:22" ht="14.1" customHeight="1">
      <c r="A47" s="377">
        <v>48</v>
      </c>
      <c r="B47" s="620" t="s">
        <v>370</v>
      </c>
      <c r="C47" s="618" t="s">
        <v>371</v>
      </c>
      <c r="D47" s="619" t="s">
        <v>393</v>
      </c>
      <c r="E47" s="630" t="s">
        <v>389</v>
      </c>
      <c r="F47" s="621" t="str">
        <f t="shared" si="0"/>
        <v>Niet van toepassing</v>
      </c>
      <c r="G47" s="622" t="s">
        <v>377</v>
      </c>
      <c r="H47" s="623">
        <v>3</v>
      </c>
      <c r="I47" s="635" t="s">
        <v>229</v>
      </c>
      <c r="J47" s="395">
        <f t="shared" si="1"/>
        <v>0</v>
      </c>
      <c r="K47" s="396">
        <f t="shared" si="2"/>
        <v>0</v>
      </c>
      <c r="L47" s="396">
        <f t="shared" si="3"/>
        <v>0</v>
      </c>
      <c r="M47" s="396">
        <f t="shared" si="4"/>
        <v>0</v>
      </c>
      <c r="N47" s="396">
        <f t="shared" si="5"/>
        <v>0</v>
      </c>
      <c r="O47" s="396">
        <f t="shared" si="6"/>
        <v>0</v>
      </c>
      <c r="P47" s="396">
        <f t="shared" si="9"/>
        <v>0</v>
      </c>
      <c r="Q47" s="397">
        <f t="shared" si="7"/>
        <v>0</v>
      </c>
      <c r="R47" s="394"/>
      <c r="S47" s="394"/>
      <c r="T47" s="394"/>
      <c r="V47" s="16">
        <f t="shared" si="8"/>
        <v>0</v>
      </c>
    </row>
    <row r="48" spans="1:22" ht="14.1" customHeight="1">
      <c r="A48" s="377">
        <v>49</v>
      </c>
      <c r="B48" s="620" t="s">
        <v>370</v>
      </c>
      <c r="C48" s="618" t="s">
        <v>371</v>
      </c>
      <c r="D48" s="619" t="s">
        <v>394</v>
      </c>
      <c r="E48" s="630" t="s">
        <v>395</v>
      </c>
      <c r="F48" s="621" t="str">
        <f t="shared" si="0"/>
        <v>Gangen en hallen</v>
      </c>
      <c r="G48" s="622" t="s">
        <v>392</v>
      </c>
      <c r="H48" s="623">
        <v>11</v>
      </c>
      <c r="I48" s="635">
        <v>3200</v>
      </c>
      <c r="J48" s="395">
        <f t="shared" si="1"/>
        <v>200</v>
      </c>
      <c r="K48" s="396">
        <f t="shared" si="2"/>
        <v>0</v>
      </c>
      <c r="L48" s="396">
        <f t="shared" si="3"/>
        <v>0</v>
      </c>
      <c r="M48" s="396">
        <f t="shared" si="4"/>
        <v>0</v>
      </c>
      <c r="N48" s="396">
        <f t="shared" si="5"/>
        <v>0</v>
      </c>
      <c r="O48" s="396">
        <f t="shared" si="6"/>
        <v>0</v>
      </c>
      <c r="P48" s="396">
        <f t="shared" si="9"/>
        <v>0</v>
      </c>
      <c r="Q48" s="397" t="str">
        <f t="shared" si="7"/>
        <v>V</v>
      </c>
      <c r="R48" s="394"/>
      <c r="S48" s="394"/>
      <c r="T48" s="394"/>
      <c r="V48" s="16">
        <f t="shared" si="8"/>
        <v>2200</v>
      </c>
    </row>
    <row r="49" spans="1:22" ht="14.1" customHeight="1">
      <c r="A49" s="377">
        <v>50</v>
      </c>
      <c r="B49" s="620" t="s">
        <v>370</v>
      </c>
      <c r="C49" s="618" t="s">
        <v>371</v>
      </c>
      <c r="D49" s="619" t="s">
        <v>396</v>
      </c>
      <c r="E49" s="630" t="s">
        <v>385</v>
      </c>
      <c r="F49" s="621" t="str">
        <f t="shared" si="0"/>
        <v>Sanitaire ruimten</v>
      </c>
      <c r="G49" s="622" t="s">
        <v>738</v>
      </c>
      <c r="H49" s="623">
        <v>11</v>
      </c>
      <c r="I49" s="635">
        <v>2255</v>
      </c>
      <c r="J49" s="395">
        <f t="shared" si="1"/>
        <v>255</v>
      </c>
      <c r="K49" s="396">
        <f t="shared" si="2"/>
        <v>0</v>
      </c>
      <c r="L49" s="396">
        <f t="shared" si="3"/>
        <v>0</v>
      </c>
      <c r="M49" s="396">
        <f t="shared" si="4"/>
        <v>0</v>
      </c>
      <c r="N49" s="396">
        <f t="shared" si="5"/>
        <v>0</v>
      </c>
      <c r="O49" s="396">
        <f t="shared" si="6"/>
        <v>0</v>
      </c>
      <c r="P49" s="396">
        <f t="shared" si="9"/>
        <v>0</v>
      </c>
      <c r="Q49" s="397" t="str">
        <f t="shared" si="7"/>
        <v>S</v>
      </c>
      <c r="R49" s="394"/>
      <c r="S49" s="394"/>
      <c r="T49" s="394"/>
      <c r="V49" s="16">
        <f t="shared" si="8"/>
        <v>2805</v>
      </c>
    </row>
    <row r="50" spans="1:22" ht="14.1" customHeight="1">
      <c r="A50" s="377">
        <v>51</v>
      </c>
      <c r="B50" s="620" t="s">
        <v>370</v>
      </c>
      <c r="C50" s="618" t="s">
        <v>371</v>
      </c>
      <c r="D50" s="619" t="s">
        <v>397</v>
      </c>
      <c r="E50" s="630" t="s">
        <v>398</v>
      </c>
      <c r="F50" s="621" t="str">
        <f t="shared" si="0"/>
        <v>Gangen en hallen</v>
      </c>
      <c r="G50" s="622" t="s">
        <v>392</v>
      </c>
      <c r="H50" s="623">
        <v>62</v>
      </c>
      <c r="I50" s="635">
        <v>3255</v>
      </c>
      <c r="J50" s="395">
        <f t="shared" si="1"/>
        <v>255</v>
      </c>
      <c r="K50" s="396">
        <f t="shared" si="2"/>
        <v>0</v>
      </c>
      <c r="L50" s="396">
        <f t="shared" si="3"/>
        <v>0</v>
      </c>
      <c r="M50" s="396">
        <f t="shared" si="4"/>
        <v>0</v>
      </c>
      <c r="N50" s="396">
        <f t="shared" si="5"/>
        <v>0</v>
      </c>
      <c r="O50" s="396">
        <f t="shared" si="6"/>
        <v>0</v>
      </c>
      <c r="P50" s="396">
        <f t="shared" si="9"/>
        <v>0</v>
      </c>
      <c r="Q50" s="397" t="str">
        <f t="shared" si="7"/>
        <v>V</v>
      </c>
      <c r="R50" s="394"/>
      <c r="S50" s="394"/>
      <c r="T50" s="394"/>
      <c r="V50" s="16">
        <f t="shared" si="8"/>
        <v>15810</v>
      </c>
    </row>
    <row r="51" spans="1:22" ht="14.1" customHeight="1">
      <c r="A51" s="377">
        <v>52</v>
      </c>
      <c r="B51" s="620" t="s">
        <v>370</v>
      </c>
      <c r="C51" s="618" t="s">
        <v>371</v>
      </c>
      <c r="D51" s="619" t="s">
        <v>399</v>
      </c>
      <c r="E51" s="630" t="s">
        <v>387</v>
      </c>
      <c r="F51" s="621" t="str">
        <f t="shared" si="0"/>
        <v>Sanitaire ruimten</v>
      </c>
      <c r="G51" s="622" t="s">
        <v>738</v>
      </c>
      <c r="H51" s="623">
        <v>11</v>
      </c>
      <c r="I51" s="635">
        <v>2255</v>
      </c>
      <c r="J51" s="395">
        <f t="shared" si="1"/>
        <v>255</v>
      </c>
      <c r="K51" s="396">
        <f t="shared" si="2"/>
        <v>0</v>
      </c>
      <c r="L51" s="396">
        <f t="shared" si="3"/>
        <v>0</v>
      </c>
      <c r="M51" s="396">
        <f t="shared" si="4"/>
        <v>0</v>
      </c>
      <c r="N51" s="396">
        <f t="shared" si="5"/>
        <v>0</v>
      </c>
      <c r="O51" s="396">
        <f t="shared" si="6"/>
        <v>0</v>
      </c>
      <c r="P51" s="396">
        <f t="shared" si="9"/>
        <v>0</v>
      </c>
      <c r="Q51" s="397" t="str">
        <f t="shared" si="7"/>
        <v>S</v>
      </c>
      <c r="R51" s="394"/>
      <c r="S51" s="394"/>
      <c r="T51" s="394"/>
      <c r="V51" s="16">
        <f t="shared" si="8"/>
        <v>2805</v>
      </c>
    </row>
    <row r="52" spans="1:22" ht="14.1" customHeight="1">
      <c r="A52" s="377">
        <v>53</v>
      </c>
      <c r="B52" s="620" t="s">
        <v>370</v>
      </c>
      <c r="C52" s="618" t="s">
        <v>371</v>
      </c>
      <c r="D52" s="619" t="s">
        <v>400</v>
      </c>
      <c r="E52" s="630" t="s">
        <v>401</v>
      </c>
      <c r="F52" s="621" t="str">
        <f t="shared" si="0"/>
        <v>Leslokalen</v>
      </c>
      <c r="G52" s="622" t="s">
        <v>739</v>
      </c>
      <c r="H52" s="623">
        <v>54</v>
      </c>
      <c r="I52" s="635">
        <v>13120</v>
      </c>
      <c r="J52" s="395">
        <f t="shared" si="1"/>
        <v>120</v>
      </c>
      <c r="K52" s="396">
        <f t="shared" si="2"/>
        <v>0</v>
      </c>
      <c r="L52" s="396">
        <f t="shared" si="3"/>
        <v>0</v>
      </c>
      <c r="M52" s="396">
        <f t="shared" si="4"/>
        <v>0</v>
      </c>
      <c r="N52" s="396">
        <f t="shared" si="5"/>
        <v>0</v>
      </c>
      <c r="O52" s="396">
        <f t="shared" si="6"/>
        <v>0</v>
      </c>
      <c r="P52" s="396">
        <f t="shared" si="9"/>
        <v>0</v>
      </c>
      <c r="Q52" s="397" t="str">
        <f t="shared" si="7"/>
        <v>L</v>
      </c>
      <c r="R52" s="394"/>
      <c r="S52" s="394"/>
      <c r="T52" s="394"/>
      <c r="V52" s="16">
        <f t="shared" si="8"/>
        <v>6480</v>
      </c>
    </row>
    <row r="53" spans="1:22" ht="14.1" customHeight="1">
      <c r="A53" s="377">
        <v>54</v>
      </c>
      <c r="B53" s="620" t="s">
        <v>370</v>
      </c>
      <c r="C53" s="618" t="s">
        <v>371</v>
      </c>
      <c r="D53" s="619" t="s">
        <v>403</v>
      </c>
      <c r="E53" s="630" t="s">
        <v>404</v>
      </c>
      <c r="F53" s="621" t="str">
        <f t="shared" si="0"/>
        <v>Leslokalen</v>
      </c>
      <c r="G53" s="622" t="s">
        <v>739</v>
      </c>
      <c r="H53" s="623">
        <v>54</v>
      </c>
      <c r="I53" s="635">
        <v>13120</v>
      </c>
      <c r="J53" s="395">
        <f t="shared" si="1"/>
        <v>120</v>
      </c>
      <c r="K53" s="396">
        <f t="shared" si="2"/>
        <v>0</v>
      </c>
      <c r="L53" s="396">
        <f t="shared" si="3"/>
        <v>0</v>
      </c>
      <c r="M53" s="396">
        <f t="shared" si="4"/>
        <v>0</v>
      </c>
      <c r="N53" s="396">
        <f t="shared" si="5"/>
        <v>0</v>
      </c>
      <c r="O53" s="396">
        <f t="shared" si="6"/>
        <v>0</v>
      </c>
      <c r="P53" s="396">
        <f t="shared" si="9"/>
        <v>0</v>
      </c>
      <c r="Q53" s="397" t="str">
        <f t="shared" si="7"/>
        <v>L</v>
      </c>
      <c r="R53" s="394"/>
      <c r="S53" s="394"/>
      <c r="T53" s="394"/>
      <c r="V53" s="16">
        <f t="shared" si="8"/>
        <v>6480</v>
      </c>
    </row>
    <row r="54" spans="1:22" ht="14.1" customHeight="1">
      <c r="A54" s="377">
        <v>55</v>
      </c>
      <c r="B54" s="620" t="s">
        <v>370</v>
      </c>
      <c r="C54" s="618" t="s">
        <v>371</v>
      </c>
      <c r="D54" s="619" t="s">
        <v>405</v>
      </c>
      <c r="E54" s="630" t="s">
        <v>406</v>
      </c>
      <c r="F54" s="621" t="str">
        <f t="shared" si="0"/>
        <v>Leslokalen</v>
      </c>
      <c r="G54" s="622" t="s">
        <v>739</v>
      </c>
      <c r="H54" s="623">
        <v>54</v>
      </c>
      <c r="I54" s="635">
        <v>13120</v>
      </c>
      <c r="J54" s="395">
        <f t="shared" si="1"/>
        <v>120</v>
      </c>
      <c r="K54" s="396">
        <f t="shared" si="2"/>
        <v>0</v>
      </c>
      <c r="L54" s="396">
        <f t="shared" si="3"/>
        <v>0</v>
      </c>
      <c r="M54" s="396">
        <f t="shared" si="4"/>
        <v>0</v>
      </c>
      <c r="N54" s="396">
        <f t="shared" si="5"/>
        <v>0</v>
      </c>
      <c r="O54" s="396">
        <f t="shared" si="6"/>
        <v>0</v>
      </c>
      <c r="P54" s="396">
        <f t="shared" si="9"/>
        <v>0</v>
      </c>
      <c r="Q54" s="397" t="str">
        <f t="shared" si="7"/>
        <v>L</v>
      </c>
      <c r="R54" s="394"/>
      <c r="S54" s="394"/>
      <c r="T54" s="394"/>
      <c r="V54" s="16">
        <f t="shared" si="8"/>
        <v>6480</v>
      </c>
    </row>
    <row r="55" spans="1:22" ht="14.1" customHeight="1">
      <c r="A55" s="377">
        <v>56</v>
      </c>
      <c r="B55" s="620" t="s">
        <v>370</v>
      </c>
      <c r="C55" s="618" t="s">
        <v>371</v>
      </c>
      <c r="D55" s="619" t="s">
        <v>407</v>
      </c>
      <c r="E55" s="630" t="s">
        <v>398</v>
      </c>
      <c r="F55" s="621" t="str">
        <f t="shared" si="0"/>
        <v>Gangen en hallen</v>
      </c>
      <c r="G55" s="622" t="s">
        <v>392</v>
      </c>
      <c r="H55" s="623">
        <v>30</v>
      </c>
      <c r="I55" s="635">
        <v>3255</v>
      </c>
      <c r="J55" s="395">
        <f t="shared" si="1"/>
        <v>255</v>
      </c>
      <c r="K55" s="396">
        <f t="shared" si="2"/>
        <v>0</v>
      </c>
      <c r="L55" s="396">
        <f t="shared" si="3"/>
        <v>0</v>
      </c>
      <c r="M55" s="396">
        <f t="shared" si="4"/>
        <v>0</v>
      </c>
      <c r="N55" s="396">
        <f t="shared" si="5"/>
        <v>0</v>
      </c>
      <c r="O55" s="396">
        <f t="shared" si="6"/>
        <v>0</v>
      </c>
      <c r="P55" s="396">
        <f t="shared" si="9"/>
        <v>0</v>
      </c>
      <c r="Q55" s="397" t="str">
        <f t="shared" si="7"/>
        <v>V</v>
      </c>
      <c r="R55" s="394"/>
      <c r="S55" s="394"/>
      <c r="T55" s="394"/>
      <c r="V55" s="16">
        <f t="shared" si="8"/>
        <v>7650</v>
      </c>
    </row>
    <row r="56" spans="1:22" ht="14.1" customHeight="1">
      <c r="A56" s="377">
        <v>57</v>
      </c>
      <c r="B56" s="620" t="s">
        <v>370</v>
      </c>
      <c r="C56" s="618" t="s">
        <v>371</v>
      </c>
      <c r="D56" s="619" t="s">
        <v>408</v>
      </c>
      <c r="E56" s="630" t="s">
        <v>409</v>
      </c>
      <c r="F56" s="621" t="str">
        <f t="shared" si="0"/>
        <v>Administratieve ruimten</v>
      </c>
      <c r="G56" s="622" t="s">
        <v>410</v>
      </c>
      <c r="H56" s="623">
        <v>17</v>
      </c>
      <c r="I56" s="635">
        <v>1126</v>
      </c>
      <c r="J56" s="395">
        <f t="shared" si="1"/>
        <v>126</v>
      </c>
      <c r="K56" s="396">
        <f t="shared" si="2"/>
        <v>0</v>
      </c>
      <c r="L56" s="396">
        <f t="shared" si="3"/>
        <v>0</v>
      </c>
      <c r="M56" s="396">
        <f t="shared" si="4"/>
        <v>0</v>
      </c>
      <c r="N56" s="396">
        <f t="shared" si="5"/>
        <v>0</v>
      </c>
      <c r="O56" s="396">
        <f t="shared" si="6"/>
        <v>0</v>
      </c>
      <c r="P56" s="396">
        <f t="shared" si="9"/>
        <v>0</v>
      </c>
      <c r="Q56" s="397" t="str">
        <f t="shared" si="7"/>
        <v>B</v>
      </c>
      <c r="R56" s="394"/>
      <c r="S56" s="394"/>
      <c r="T56" s="394"/>
      <c r="V56" s="16">
        <f t="shared" si="8"/>
        <v>2142</v>
      </c>
    </row>
    <row r="57" spans="1:22" ht="14.1" customHeight="1">
      <c r="A57" s="377">
        <v>58</v>
      </c>
      <c r="B57" s="620" t="s">
        <v>370</v>
      </c>
      <c r="C57" s="618" t="s">
        <v>371</v>
      </c>
      <c r="D57" s="619" t="s">
        <v>411</v>
      </c>
      <c r="E57" s="630" t="s">
        <v>412</v>
      </c>
      <c r="F57" s="621" t="str">
        <f t="shared" si="0"/>
        <v>Leslokalen</v>
      </c>
      <c r="G57" s="622" t="s">
        <v>739</v>
      </c>
      <c r="H57" s="623">
        <v>140</v>
      </c>
      <c r="I57" s="635">
        <v>13120</v>
      </c>
      <c r="J57" s="395">
        <f t="shared" si="1"/>
        <v>120</v>
      </c>
      <c r="K57" s="396">
        <f t="shared" si="2"/>
        <v>0</v>
      </c>
      <c r="L57" s="396">
        <f t="shared" si="3"/>
        <v>0</v>
      </c>
      <c r="M57" s="396">
        <f t="shared" si="4"/>
        <v>0</v>
      </c>
      <c r="N57" s="396">
        <f t="shared" si="5"/>
        <v>0</v>
      </c>
      <c r="O57" s="396">
        <f t="shared" si="6"/>
        <v>0</v>
      </c>
      <c r="P57" s="396">
        <f t="shared" si="9"/>
        <v>0</v>
      </c>
      <c r="Q57" s="397" t="str">
        <f t="shared" si="7"/>
        <v>L</v>
      </c>
      <c r="R57" s="394"/>
      <c r="S57" s="394"/>
      <c r="T57" s="394"/>
      <c r="V57" s="16">
        <f t="shared" si="8"/>
        <v>16800</v>
      </c>
    </row>
    <row r="58" spans="1:22" ht="14.1" customHeight="1">
      <c r="A58" s="377">
        <v>59</v>
      </c>
      <c r="B58" s="620" t="s">
        <v>370</v>
      </c>
      <c r="C58" s="618" t="s">
        <v>371</v>
      </c>
      <c r="D58" s="619" t="s">
        <v>413</v>
      </c>
      <c r="E58" s="630" t="s">
        <v>414</v>
      </c>
      <c r="F58" s="621" t="str">
        <f t="shared" si="0"/>
        <v>Pantry/keuken</v>
      </c>
      <c r="G58" s="622" t="s">
        <v>740</v>
      </c>
      <c r="H58" s="623">
        <v>118</v>
      </c>
      <c r="I58" s="635">
        <v>6200</v>
      </c>
      <c r="J58" s="395">
        <f t="shared" si="1"/>
        <v>200</v>
      </c>
      <c r="K58" s="396">
        <f t="shared" si="2"/>
        <v>0</v>
      </c>
      <c r="L58" s="396">
        <f t="shared" si="3"/>
        <v>0</v>
      </c>
      <c r="M58" s="396">
        <f t="shared" si="4"/>
        <v>0</v>
      </c>
      <c r="N58" s="396">
        <f t="shared" si="5"/>
        <v>0</v>
      </c>
      <c r="O58" s="396">
        <f t="shared" si="6"/>
        <v>0</v>
      </c>
      <c r="P58" s="396">
        <f t="shared" si="9"/>
        <v>0</v>
      </c>
      <c r="Q58" s="397" t="str">
        <f t="shared" si="7"/>
        <v>V</v>
      </c>
      <c r="R58" s="394"/>
      <c r="S58" s="394"/>
      <c r="T58" s="394"/>
      <c r="V58" s="16">
        <f t="shared" si="8"/>
        <v>23600</v>
      </c>
    </row>
    <row r="59" spans="1:22" ht="14.1" customHeight="1">
      <c r="A59" s="377">
        <v>60</v>
      </c>
      <c r="B59" s="620" t="s">
        <v>370</v>
      </c>
      <c r="C59" s="618" t="s">
        <v>371</v>
      </c>
      <c r="D59" s="619" t="s">
        <v>415</v>
      </c>
      <c r="E59" s="630" t="s">
        <v>416</v>
      </c>
      <c r="F59" s="621" t="str">
        <f t="shared" si="0"/>
        <v>Opslagruimten</v>
      </c>
      <c r="G59" s="622" t="s">
        <v>377</v>
      </c>
      <c r="H59" s="623">
        <v>16</v>
      </c>
      <c r="I59" s="635">
        <v>14012</v>
      </c>
      <c r="J59" s="395">
        <f t="shared" si="1"/>
        <v>12</v>
      </c>
      <c r="K59" s="396">
        <f t="shared" si="2"/>
        <v>0</v>
      </c>
      <c r="L59" s="396">
        <f t="shared" si="3"/>
        <v>0</v>
      </c>
      <c r="M59" s="396">
        <f t="shared" si="4"/>
        <v>0</v>
      </c>
      <c r="N59" s="396">
        <f t="shared" si="5"/>
        <v>0</v>
      </c>
      <c r="O59" s="396">
        <f t="shared" si="6"/>
        <v>0</v>
      </c>
      <c r="P59" s="396">
        <f t="shared" si="9"/>
        <v>0</v>
      </c>
      <c r="Q59" s="397" t="str">
        <f t="shared" si="7"/>
        <v>V</v>
      </c>
      <c r="R59" s="394"/>
      <c r="S59" s="394"/>
      <c r="T59" s="394"/>
      <c r="V59" s="16">
        <f t="shared" si="8"/>
        <v>192</v>
      </c>
    </row>
    <row r="60" spans="1:22" ht="14.1" customHeight="1">
      <c r="A60" s="377">
        <v>61</v>
      </c>
      <c r="B60" s="620" t="s">
        <v>370</v>
      </c>
      <c r="C60" s="618" t="s">
        <v>371</v>
      </c>
      <c r="D60" s="619" t="s">
        <v>417</v>
      </c>
      <c r="E60" s="630" t="s">
        <v>418</v>
      </c>
      <c r="F60" s="621" t="str">
        <f t="shared" si="0"/>
        <v>Administratieve ruimten</v>
      </c>
      <c r="G60" s="622" t="s">
        <v>739</v>
      </c>
      <c r="H60" s="623">
        <v>10</v>
      </c>
      <c r="I60" s="635">
        <v>1126</v>
      </c>
      <c r="J60" s="395">
        <f t="shared" si="1"/>
        <v>126</v>
      </c>
      <c r="K60" s="396">
        <f t="shared" si="2"/>
        <v>0</v>
      </c>
      <c r="L60" s="396">
        <f t="shared" si="3"/>
        <v>0</v>
      </c>
      <c r="M60" s="396">
        <f t="shared" si="4"/>
        <v>0</v>
      </c>
      <c r="N60" s="396">
        <f t="shared" si="5"/>
        <v>0</v>
      </c>
      <c r="O60" s="396">
        <f t="shared" si="6"/>
        <v>0</v>
      </c>
      <c r="P60" s="396">
        <f t="shared" si="9"/>
        <v>0</v>
      </c>
      <c r="Q60" s="397" t="str">
        <f t="shared" si="7"/>
        <v>B</v>
      </c>
      <c r="R60" s="394"/>
      <c r="S60" s="394"/>
      <c r="T60" s="394"/>
      <c r="V60" s="16">
        <f t="shared" si="8"/>
        <v>1260</v>
      </c>
    </row>
    <row r="61" spans="1:22" ht="14.1" customHeight="1">
      <c r="A61" s="377">
        <v>62</v>
      </c>
      <c r="B61" s="620" t="s">
        <v>370</v>
      </c>
      <c r="C61" s="618" t="s">
        <v>371</v>
      </c>
      <c r="D61" s="619" t="s">
        <v>419</v>
      </c>
      <c r="E61" s="630" t="s">
        <v>420</v>
      </c>
      <c r="F61" s="621" t="str">
        <f t="shared" si="0"/>
        <v>Leslokalen</v>
      </c>
      <c r="G61" s="622" t="s">
        <v>739</v>
      </c>
      <c r="H61" s="623">
        <v>42</v>
      </c>
      <c r="I61" s="635">
        <v>13120</v>
      </c>
      <c r="J61" s="395">
        <f t="shared" si="1"/>
        <v>120</v>
      </c>
      <c r="K61" s="396">
        <f t="shared" si="2"/>
        <v>0</v>
      </c>
      <c r="L61" s="396">
        <f t="shared" si="3"/>
        <v>0</v>
      </c>
      <c r="M61" s="396">
        <f t="shared" si="4"/>
        <v>0</v>
      </c>
      <c r="N61" s="396">
        <f t="shared" si="5"/>
        <v>0</v>
      </c>
      <c r="O61" s="396">
        <f t="shared" si="6"/>
        <v>0</v>
      </c>
      <c r="P61" s="396">
        <f t="shared" si="9"/>
        <v>0</v>
      </c>
      <c r="Q61" s="397" t="str">
        <f t="shared" si="7"/>
        <v>L</v>
      </c>
      <c r="R61" s="394"/>
      <c r="S61" s="394"/>
      <c r="T61" s="394"/>
      <c r="V61" s="16">
        <f t="shared" si="8"/>
        <v>5040</v>
      </c>
    </row>
    <row r="62" spans="1:22" ht="14.1" customHeight="1">
      <c r="A62" s="377">
        <v>63</v>
      </c>
      <c r="B62" s="620" t="s">
        <v>370</v>
      </c>
      <c r="C62" s="618" t="s">
        <v>371</v>
      </c>
      <c r="D62" s="619" t="s">
        <v>421</v>
      </c>
      <c r="E62" s="630" t="s">
        <v>381</v>
      </c>
      <c r="F62" s="621" t="str">
        <f t="shared" si="0"/>
        <v>Gangen en hallen</v>
      </c>
      <c r="G62" s="622" t="s">
        <v>392</v>
      </c>
      <c r="H62" s="623">
        <v>7</v>
      </c>
      <c r="I62" s="635">
        <v>3255</v>
      </c>
      <c r="J62" s="395">
        <f t="shared" si="1"/>
        <v>255</v>
      </c>
      <c r="K62" s="396">
        <f t="shared" si="2"/>
        <v>0</v>
      </c>
      <c r="L62" s="396">
        <f t="shared" si="3"/>
        <v>0</v>
      </c>
      <c r="M62" s="396">
        <f t="shared" si="4"/>
        <v>0</v>
      </c>
      <c r="N62" s="396">
        <f t="shared" si="5"/>
        <v>0</v>
      </c>
      <c r="O62" s="396">
        <f t="shared" si="6"/>
        <v>0</v>
      </c>
      <c r="P62" s="396">
        <f t="shared" si="9"/>
        <v>0</v>
      </c>
      <c r="Q62" s="397" t="str">
        <f t="shared" si="7"/>
        <v>V</v>
      </c>
      <c r="R62" s="394"/>
      <c r="S62" s="394"/>
      <c r="T62" s="394"/>
      <c r="V62" s="16">
        <f t="shared" si="8"/>
        <v>1785</v>
      </c>
    </row>
    <row r="63" spans="1:22" ht="14.1" customHeight="1">
      <c r="A63" s="377">
        <v>64</v>
      </c>
      <c r="B63" s="620" t="s">
        <v>370</v>
      </c>
      <c r="C63" s="618" t="s">
        <v>371</v>
      </c>
      <c r="D63" s="619" t="s">
        <v>422</v>
      </c>
      <c r="E63" s="630" t="s">
        <v>423</v>
      </c>
      <c r="F63" s="621" t="str">
        <f t="shared" si="0"/>
        <v>Sanitaire ruimten</v>
      </c>
      <c r="G63" s="622" t="s">
        <v>377</v>
      </c>
      <c r="H63" s="623">
        <v>1</v>
      </c>
      <c r="I63" s="635">
        <v>2210</v>
      </c>
      <c r="J63" s="395">
        <f t="shared" si="1"/>
        <v>210</v>
      </c>
      <c r="K63" s="396">
        <f t="shared" si="2"/>
        <v>0</v>
      </c>
      <c r="L63" s="396">
        <f t="shared" si="3"/>
        <v>0</v>
      </c>
      <c r="M63" s="396">
        <f t="shared" si="4"/>
        <v>0</v>
      </c>
      <c r="N63" s="396">
        <f t="shared" si="5"/>
        <v>0</v>
      </c>
      <c r="O63" s="396">
        <f t="shared" si="6"/>
        <v>0</v>
      </c>
      <c r="P63" s="396">
        <f t="shared" si="9"/>
        <v>0</v>
      </c>
      <c r="Q63" s="397" t="str">
        <f t="shared" si="7"/>
        <v>S</v>
      </c>
      <c r="R63" s="394"/>
      <c r="S63" s="394"/>
      <c r="T63" s="394"/>
      <c r="V63" s="16">
        <f t="shared" si="8"/>
        <v>210</v>
      </c>
    </row>
    <row r="64" spans="1:22" ht="14.1" customHeight="1">
      <c r="A64" s="377">
        <v>65</v>
      </c>
      <c r="B64" s="620" t="s">
        <v>370</v>
      </c>
      <c r="C64" s="618" t="s">
        <v>371</v>
      </c>
      <c r="D64" s="619" t="s">
        <v>424</v>
      </c>
      <c r="E64" s="630" t="s">
        <v>416</v>
      </c>
      <c r="F64" s="621" t="str">
        <f t="shared" si="0"/>
        <v>Opslagruimten</v>
      </c>
      <c r="G64" s="622" t="s">
        <v>377</v>
      </c>
      <c r="H64" s="623">
        <v>2</v>
      </c>
      <c r="I64" s="635">
        <v>14012</v>
      </c>
      <c r="J64" s="395">
        <f t="shared" si="1"/>
        <v>12</v>
      </c>
      <c r="K64" s="396">
        <f t="shared" si="2"/>
        <v>0</v>
      </c>
      <c r="L64" s="396">
        <f t="shared" si="3"/>
        <v>0</v>
      </c>
      <c r="M64" s="396">
        <f t="shared" si="4"/>
        <v>0</v>
      </c>
      <c r="N64" s="396">
        <f t="shared" si="5"/>
        <v>0</v>
      </c>
      <c r="O64" s="396">
        <f t="shared" si="6"/>
        <v>0</v>
      </c>
      <c r="P64" s="396">
        <f t="shared" si="9"/>
        <v>0</v>
      </c>
      <c r="Q64" s="397" t="str">
        <f t="shared" si="7"/>
        <v>V</v>
      </c>
      <c r="R64" s="394"/>
      <c r="S64" s="394"/>
      <c r="T64" s="394"/>
      <c r="V64" s="16">
        <f t="shared" si="8"/>
        <v>24</v>
      </c>
    </row>
    <row r="65" spans="1:22" ht="14.1" customHeight="1">
      <c r="A65" s="377">
        <v>66</v>
      </c>
      <c r="B65" s="620" t="s">
        <v>370</v>
      </c>
      <c r="C65" s="618" t="s">
        <v>371</v>
      </c>
      <c r="D65" s="619" t="s">
        <v>425</v>
      </c>
      <c r="E65" s="630" t="s">
        <v>426</v>
      </c>
      <c r="F65" s="621" t="str">
        <f t="shared" si="0"/>
        <v>Leslokalen</v>
      </c>
      <c r="G65" s="622" t="s">
        <v>739</v>
      </c>
      <c r="H65" s="623">
        <v>54</v>
      </c>
      <c r="I65" s="635">
        <v>13120</v>
      </c>
      <c r="J65" s="395">
        <f t="shared" si="1"/>
        <v>120</v>
      </c>
      <c r="K65" s="396">
        <f t="shared" si="2"/>
        <v>0</v>
      </c>
      <c r="L65" s="396">
        <f t="shared" si="3"/>
        <v>0</v>
      </c>
      <c r="M65" s="396">
        <f t="shared" si="4"/>
        <v>0</v>
      </c>
      <c r="N65" s="396">
        <f t="shared" si="5"/>
        <v>0</v>
      </c>
      <c r="O65" s="396">
        <f t="shared" si="6"/>
        <v>0</v>
      </c>
      <c r="P65" s="396">
        <f t="shared" si="9"/>
        <v>0</v>
      </c>
      <c r="Q65" s="397" t="str">
        <f t="shared" si="7"/>
        <v>L</v>
      </c>
      <c r="R65" s="394"/>
      <c r="S65" s="394"/>
      <c r="T65" s="394"/>
      <c r="V65" s="16">
        <f t="shared" si="8"/>
        <v>6480</v>
      </c>
    </row>
    <row r="66" spans="1:22" ht="14.1" customHeight="1">
      <c r="A66" s="377">
        <v>67</v>
      </c>
      <c r="B66" s="620" t="s">
        <v>370</v>
      </c>
      <c r="C66" s="618" t="s">
        <v>371</v>
      </c>
      <c r="D66" s="619" t="s">
        <v>427</v>
      </c>
      <c r="E66" s="630" t="s">
        <v>428</v>
      </c>
      <c r="F66" s="621" t="str">
        <f t="shared" si="0"/>
        <v>Leslokalen</v>
      </c>
      <c r="G66" s="622" t="s">
        <v>739</v>
      </c>
      <c r="H66" s="623">
        <v>54</v>
      </c>
      <c r="I66" s="635">
        <v>13120</v>
      </c>
      <c r="J66" s="395">
        <f t="shared" si="1"/>
        <v>120</v>
      </c>
      <c r="K66" s="396">
        <f t="shared" si="2"/>
        <v>0</v>
      </c>
      <c r="L66" s="396">
        <f t="shared" si="3"/>
        <v>0</v>
      </c>
      <c r="M66" s="396">
        <f t="shared" si="4"/>
        <v>0</v>
      </c>
      <c r="N66" s="396">
        <f t="shared" si="5"/>
        <v>0</v>
      </c>
      <c r="O66" s="396">
        <f t="shared" si="6"/>
        <v>0</v>
      </c>
      <c r="P66" s="396">
        <f t="shared" si="9"/>
        <v>0</v>
      </c>
      <c r="Q66" s="397" t="str">
        <f t="shared" si="7"/>
        <v>L</v>
      </c>
      <c r="R66" s="394"/>
      <c r="S66" s="394"/>
      <c r="T66" s="394"/>
      <c r="V66" s="16">
        <f t="shared" si="8"/>
        <v>6480</v>
      </c>
    </row>
    <row r="67" spans="1:22" ht="14.1" customHeight="1">
      <c r="A67" s="377">
        <v>68</v>
      </c>
      <c r="B67" s="620" t="s">
        <v>370</v>
      </c>
      <c r="C67" s="618" t="s">
        <v>371</v>
      </c>
      <c r="D67" s="619" t="s">
        <v>429</v>
      </c>
      <c r="E67" s="630" t="s">
        <v>430</v>
      </c>
      <c r="F67" s="621" t="str">
        <f t="shared" si="0"/>
        <v>Gangen en hallen</v>
      </c>
      <c r="G67" s="622" t="s">
        <v>374</v>
      </c>
      <c r="H67" s="623">
        <v>18</v>
      </c>
      <c r="I67" s="635">
        <v>3210</v>
      </c>
      <c r="J67" s="395">
        <f t="shared" si="1"/>
        <v>210</v>
      </c>
      <c r="K67" s="396">
        <f t="shared" si="2"/>
        <v>0</v>
      </c>
      <c r="L67" s="396">
        <f t="shared" si="3"/>
        <v>0</v>
      </c>
      <c r="M67" s="396">
        <f t="shared" si="4"/>
        <v>0</v>
      </c>
      <c r="N67" s="396">
        <f t="shared" si="5"/>
        <v>0</v>
      </c>
      <c r="O67" s="396">
        <f t="shared" si="6"/>
        <v>0</v>
      </c>
      <c r="P67" s="396">
        <f t="shared" si="9"/>
        <v>0</v>
      </c>
      <c r="Q67" s="397" t="str">
        <f t="shared" si="7"/>
        <v>V</v>
      </c>
      <c r="R67" s="394"/>
      <c r="S67" s="394"/>
      <c r="T67" s="394"/>
      <c r="V67" s="16">
        <f t="shared" si="8"/>
        <v>3780</v>
      </c>
    </row>
    <row r="68" spans="1:22" ht="14.1" customHeight="1">
      <c r="A68" s="377">
        <v>69</v>
      </c>
      <c r="B68" s="620" t="s">
        <v>370</v>
      </c>
      <c r="C68" s="618" t="s">
        <v>371</v>
      </c>
      <c r="D68" s="619" t="s">
        <v>431</v>
      </c>
      <c r="E68" s="630" t="s">
        <v>432</v>
      </c>
      <c r="F68" s="621" t="str">
        <f t="shared" si="0"/>
        <v>Kantine</v>
      </c>
      <c r="G68" s="622" t="s">
        <v>392</v>
      </c>
      <c r="H68" s="623">
        <v>446</v>
      </c>
      <c r="I68" s="635">
        <v>7200</v>
      </c>
      <c r="J68" s="395">
        <f t="shared" si="1"/>
        <v>200</v>
      </c>
      <c r="K68" s="396">
        <f t="shared" si="2"/>
        <v>0</v>
      </c>
      <c r="L68" s="396">
        <f t="shared" si="3"/>
        <v>0</v>
      </c>
      <c r="M68" s="396">
        <f t="shared" si="4"/>
        <v>0</v>
      </c>
      <c r="N68" s="396">
        <f t="shared" si="5"/>
        <v>0</v>
      </c>
      <c r="O68" s="396">
        <f t="shared" si="6"/>
        <v>0</v>
      </c>
      <c r="P68" s="396">
        <f t="shared" si="9"/>
        <v>0</v>
      </c>
      <c r="Q68" s="397" t="str">
        <f t="shared" si="7"/>
        <v>V</v>
      </c>
      <c r="R68" s="394"/>
      <c r="S68" s="394"/>
      <c r="T68" s="394"/>
      <c r="V68" s="16">
        <f t="shared" si="8"/>
        <v>89200</v>
      </c>
    </row>
    <row r="69" spans="1:22" ht="14.1" customHeight="1">
      <c r="A69" s="377">
        <v>70</v>
      </c>
      <c r="B69" s="620" t="s">
        <v>370</v>
      </c>
      <c r="C69" s="618" t="s">
        <v>371</v>
      </c>
      <c r="D69" s="619" t="s">
        <v>433</v>
      </c>
      <c r="E69" s="630" t="s">
        <v>434</v>
      </c>
      <c r="F69" s="621" t="str">
        <f t="shared" si="0"/>
        <v>Kantine</v>
      </c>
      <c r="G69" s="622" t="s">
        <v>392</v>
      </c>
      <c r="H69" s="623">
        <v>64</v>
      </c>
      <c r="I69" s="635">
        <v>7200</v>
      </c>
      <c r="J69" s="395">
        <f t="shared" si="1"/>
        <v>200</v>
      </c>
      <c r="K69" s="396">
        <f t="shared" si="2"/>
        <v>0</v>
      </c>
      <c r="L69" s="396">
        <f t="shared" si="3"/>
        <v>0</v>
      </c>
      <c r="M69" s="396">
        <f t="shared" si="4"/>
        <v>0</v>
      </c>
      <c r="N69" s="396">
        <f t="shared" si="5"/>
        <v>0</v>
      </c>
      <c r="O69" s="396">
        <f t="shared" si="6"/>
        <v>0</v>
      </c>
      <c r="P69" s="396">
        <f t="shared" si="9"/>
        <v>0</v>
      </c>
      <c r="Q69" s="397" t="str">
        <f t="shared" si="7"/>
        <v>V</v>
      </c>
      <c r="R69" s="394"/>
      <c r="S69" s="394"/>
      <c r="T69" s="394"/>
      <c r="V69" s="16">
        <f t="shared" si="8"/>
        <v>12800</v>
      </c>
    </row>
    <row r="70" spans="1:22" ht="14.1" customHeight="1">
      <c r="A70" s="377">
        <v>71</v>
      </c>
      <c r="B70" s="620" t="s">
        <v>370</v>
      </c>
      <c r="C70" s="618" t="s">
        <v>371</v>
      </c>
      <c r="D70" s="619" t="s">
        <v>435</v>
      </c>
      <c r="E70" s="630" t="s">
        <v>436</v>
      </c>
      <c r="F70" s="621" t="str">
        <f t="shared" si="0"/>
        <v>Opslagruimten</v>
      </c>
      <c r="G70" s="622" t="s">
        <v>392</v>
      </c>
      <c r="H70" s="623">
        <v>18</v>
      </c>
      <c r="I70" s="635">
        <v>14012</v>
      </c>
      <c r="J70" s="395">
        <f t="shared" si="1"/>
        <v>12</v>
      </c>
      <c r="K70" s="396">
        <f t="shared" si="2"/>
        <v>0</v>
      </c>
      <c r="L70" s="396">
        <f t="shared" si="3"/>
        <v>0</v>
      </c>
      <c r="M70" s="396">
        <f t="shared" si="4"/>
        <v>0</v>
      </c>
      <c r="N70" s="396">
        <f t="shared" si="5"/>
        <v>0</v>
      </c>
      <c r="O70" s="396">
        <f t="shared" si="6"/>
        <v>0</v>
      </c>
      <c r="P70" s="396">
        <f t="shared" si="9"/>
        <v>0</v>
      </c>
      <c r="Q70" s="397" t="str">
        <f t="shared" si="7"/>
        <v>V</v>
      </c>
      <c r="R70" s="394"/>
      <c r="S70" s="394"/>
      <c r="T70" s="394"/>
      <c r="V70" s="16">
        <f t="shared" si="8"/>
        <v>216</v>
      </c>
    </row>
    <row r="71" spans="1:22" ht="14.1" customHeight="1">
      <c r="A71" s="377">
        <v>72</v>
      </c>
      <c r="B71" s="620" t="s">
        <v>370</v>
      </c>
      <c r="C71" s="618" t="s">
        <v>371</v>
      </c>
      <c r="D71" s="619" t="s">
        <v>437</v>
      </c>
      <c r="E71" s="630" t="s">
        <v>436</v>
      </c>
      <c r="F71" s="621" t="str">
        <f t="shared" si="0"/>
        <v>Opslagruimten</v>
      </c>
      <c r="G71" s="622" t="s">
        <v>392</v>
      </c>
      <c r="H71" s="623">
        <v>16</v>
      </c>
      <c r="I71" s="635">
        <v>14012</v>
      </c>
      <c r="J71" s="395">
        <f t="shared" si="1"/>
        <v>12</v>
      </c>
      <c r="K71" s="396">
        <f t="shared" si="2"/>
        <v>0</v>
      </c>
      <c r="L71" s="396">
        <f t="shared" si="3"/>
        <v>0</v>
      </c>
      <c r="M71" s="396">
        <f t="shared" si="4"/>
        <v>0</v>
      </c>
      <c r="N71" s="396">
        <f t="shared" si="5"/>
        <v>0</v>
      </c>
      <c r="O71" s="396">
        <f t="shared" si="6"/>
        <v>0</v>
      </c>
      <c r="P71" s="396">
        <f t="shared" si="9"/>
        <v>0</v>
      </c>
      <c r="Q71" s="397" t="str">
        <f t="shared" si="7"/>
        <v>V</v>
      </c>
      <c r="R71" s="394"/>
      <c r="S71" s="394"/>
      <c r="T71" s="394"/>
      <c r="V71" s="16">
        <f t="shared" si="8"/>
        <v>192</v>
      </c>
    </row>
    <row r="72" spans="1:22" ht="14.1" customHeight="1">
      <c r="A72" s="377">
        <v>73</v>
      </c>
      <c r="B72" s="620" t="s">
        <v>370</v>
      </c>
      <c r="C72" s="618" t="s">
        <v>371</v>
      </c>
      <c r="D72" s="619" t="s">
        <v>438</v>
      </c>
      <c r="E72" s="630" t="s">
        <v>398</v>
      </c>
      <c r="F72" s="621" t="str">
        <f t="shared" si="0"/>
        <v>Gangen en hallen</v>
      </c>
      <c r="G72" s="622" t="s">
        <v>392</v>
      </c>
      <c r="H72" s="623">
        <v>20</v>
      </c>
      <c r="I72" s="635">
        <v>3255</v>
      </c>
      <c r="J72" s="395">
        <f t="shared" si="1"/>
        <v>255</v>
      </c>
      <c r="K72" s="396">
        <f t="shared" si="2"/>
        <v>0</v>
      </c>
      <c r="L72" s="396">
        <f t="shared" si="3"/>
        <v>0</v>
      </c>
      <c r="M72" s="396">
        <f t="shared" si="4"/>
        <v>0</v>
      </c>
      <c r="N72" s="396">
        <f t="shared" si="5"/>
        <v>0</v>
      </c>
      <c r="O72" s="396">
        <f t="shared" si="6"/>
        <v>0</v>
      </c>
      <c r="P72" s="396">
        <f t="shared" si="9"/>
        <v>0</v>
      </c>
      <c r="Q72" s="397" t="str">
        <f t="shared" si="7"/>
        <v>V</v>
      </c>
      <c r="R72" s="394"/>
      <c r="S72" s="394"/>
      <c r="T72" s="394"/>
      <c r="V72" s="16">
        <f t="shared" si="8"/>
        <v>5100</v>
      </c>
    </row>
    <row r="73" spans="1:22" ht="14.1" customHeight="1">
      <c r="A73" s="377">
        <v>74</v>
      </c>
      <c r="B73" s="620" t="s">
        <v>370</v>
      </c>
      <c r="C73" s="618" t="s">
        <v>371</v>
      </c>
      <c r="D73" s="619" t="s">
        <v>439</v>
      </c>
      <c r="E73" s="630" t="s">
        <v>398</v>
      </c>
      <c r="F73" s="621" t="str">
        <f t="shared" ref="F73:F136" si="10">IF($I73="",0,VLOOKUP($I73,Kengetal,3,FALSE))</f>
        <v>Gangen en hallen</v>
      </c>
      <c r="G73" s="622" t="s">
        <v>392</v>
      </c>
      <c r="H73" s="623">
        <v>32</v>
      </c>
      <c r="I73" s="635">
        <v>3255</v>
      </c>
      <c r="J73" s="395">
        <f t="shared" ref="J73:J136" si="11">SUM(IF(I73="",0,VLOOKUP(I73,Kengetal,2)))</f>
        <v>255</v>
      </c>
      <c r="K73" s="396">
        <f t="shared" ref="K73:K136" si="12">N73*H73</f>
        <v>0</v>
      </c>
      <c r="L73" s="396">
        <f t="shared" ref="L73:L136" si="13">O73*H73</f>
        <v>0</v>
      </c>
      <c r="M73" s="396">
        <f t="shared" ref="M73:M136" si="14">P73*H73</f>
        <v>0</v>
      </c>
      <c r="N73" s="396">
        <f t="shared" ref="N73:N136" si="15">IF($I73="",0,VLOOKUP($I73,Kengetal,5,FALSE))</f>
        <v>0</v>
      </c>
      <c r="O73" s="396">
        <f t="shared" ref="O73:O136" si="16">IF($I73="",0,VLOOKUP($I73,Kengetal,6,FALSE))</f>
        <v>0</v>
      </c>
      <c r="P73" s="396">
        <f t="shared" si="9"/>
        <v>0</v>
      </c>
      <c r="Q73" s="397" t="str">
        <f t="shared" ref="Q73:Q136" si="17">IF(I73="","",VLOOKUP(I73,Kengetal,12,FALSE))</f>
        <v>V</v>
      </c>
      <c r="R73" s="394"/>
      <c r="S73" s="394"/>
      <c r="T73" s="394"/>
      <c r="V73" s="16">
        <f t="shared" ref="V73:V136" si="18">H73*J73</f>
        <v>8160</v>
      </c>
    </row>
    <row r="74" spans="1:22" ht="14.1" customHeight="1">
      <c r="A74" s="377">
        <v>75</v>
      </c>
      <c r="B74" s="620" t="s">
        <v>370</v>
      </c>
      <c r="C74" s="618" t="s">
        <v>371</v>
      </c>
      <c r="D74" s="619" t="s">
        <v>440</v>
      </c>
      <c r="E74" s="630" t="s">
        <v>383</v>
      </c>
      <c r="F74" s="621" t="str">
        <f t="shared" si="10"/>
        <v>Sanitaire ruimten</v>
      </c>
      <c r="G74" s="622" t="s">
        <v>377</v>
      </c>
      <c r="H74" s="623">
        <v>5</v>
      </c>
      <c r="I74" s="635">
        <v>2210</v>
      </c>
      <c r="J74" s="395">
        <f t="shared" si="11"/>
        <v>210</v>
      </c>
      <c r="K74" s="396">
        <f t="shared" si="12"/>
        <v>0</v>
      </c>
      <c r="L74" s="396">
        <f t="shared" si="13"/>
        <v>0</v>
      </c>
      <c r="M74" s="396">
        <f t="shared" si="14"/>
        <v>0</v>
      </c>
      <c r="N74" s="396">
        <f t="shared" si="15"/>
        <v>0</v>
      </c>
      <c r="O74" s="396">
        <f t="shared" si="16"/>
        <v>0</v>
      </c>
      <c r="P74" s="396">
        <f t="shared" ref="P74:P137" si="19">IF($I74="",0,VLOOKUP($I74,Kengetal,7,FALSE))</f>
        <v>0</v>
      </c>
      <c r="Q74" s="397" t="str">
        <f t="shared" si="17"/>
        <v>S</v>
      </c>
      <c r="R74" s="394"/>
      <c r="S74" s="394"/>
      <c r="T74" s="394"/>
      <c r="V74" s="16">
        <f t="shared" si="18"/>
        <v>1050</v>
      </c>
    </row>
    <row r="75" spans="1:22" ht="14.1" customHeight="1">
      <c r="A75" s="377">
        <v>76</v>
      </c>
      <c r="B75" s="620" t="s">
        <v>370</v>
      </c>
      <c r="C75" s="618" t="s">
        <v>371</v>
      </c>
      <c r="D75" s="619" t="s">
        <v>441</v>
      </c>
      <c r="E75" s="630" t="s">
        <v>387</v>
      </c>
      <c r="F75" s="621" t="str">
        <f t="shared" si="10"/>
        <v>Sanitaire ruimten</v>
      </c>
      <c r="G75" s="622" t="s">
        <v>377</v>
      </c>
      <c r="H75" s="623">
        <v>5</v>
      </c>
      <c r="I75" s="635">
        <v>2210</v>
      </c>
      <c r="J75" s="395">
        <f t="shared" si="11"/>
        <v>210</v>
      </c>
      <c r="K75" s="396">
        <f t="shared" si="12"/>
        <v>0</v>
      </c>
      <c r="L75" s="396">
        <f t="shared" si="13"/>
        <v>0</v>
      </c>
      <c r="M75" s="396">
        <f t="shared" si="14"/>
        <v>0</v>
      </c>
      <c r="N75" s="396">
        <f t="shared" si="15"/>
        <v>0</v>
      </c>
      <c r="O75" s="396">
        <f t="shared" si="16"/>
        <v>0</v>
      </c>
      <c r="P75" s="396">
        <f t="shared" si="19"/>
        <v>0</v>
      </c>
      <c r="Q75" s="397" t="str">
        <f t="shared" si="17"/>
        <v>S</v>
      </c>
      <c r="R75" s="394"/>
      <c r="S75" s="394"/>
      <c r="T75" s="394"/>
      <c r="V75" s="16">
        <f t="shared" si="18"/>
        <v>1050</v>
      </c>
    </row>
    <row r="76" spans="1:22" ht="14.1" customHeight="1">
      <c r="A76" s="377">
        <v>77</v>
      </c>
      <c r="B76" s="620" t="s">
        <v>370</v>
      </c>
      <c r="C76" s="618" t="s">
        <v>371</v>
      </c>
      <c r="D76" s="619" t="s">
        <v>442</v>
      </c>
      <c r="E76" s="630" t="s">
        <v>443</v>
      </c>
      <c r="F76" s="621" t="str">
        <f t="shared" si="10"/>
        <v>Leslokalen</v>
      </c>
      <c r="G76" s="622" t="s">
        <v>392</v>
      </c>
      <c r="H76" s="623">
        <v>82</v>
      </c>
      <c r="I76" s="635">
        <v>13120</v>
      </c>
      <c r="J76" s="395">
        <f t="shared" si="11"/>
        <v>120</v>
      </c>
      <c r="K76" s="396">
        <f t="shared" si="12"/>
        <v>0</v>
      </c>
      <c r="L76" s="396">
        <f t="shared" si="13"/>
        <v>0</v>
      </c>
      <c r="M76" s="396">
        <f t="shared" si="14"/>
        <v>0</v>
      </c>
      <c r="N76" s="396">
        <f t="shared" si="15"/>
        <v>0</v>
      </c>
      <c r="O76" s="396">
        <f t="shared" si="16"/>
        <v>0</v>
      </c>
      <c r="P76" s="396">
        <f t="shared" si="19"/>
        <v>0</v>
      </c>
      <c r="Q76" s="397" t="str">
        <f t="shared" si="17"/>
        <v>L</v>
      </c>
      <c r="R76" s="394"/>
      <c r="S76" s="394"/>
      <c r="T76" s="394"/>
      <c r="V76" s="16">
        <f t="shared" si="18"/>
        <v>9840</v>
      </c>
    </row>
    <row r="77" spans="1:22" ht="14.1" customHeight="1">
      <c r="A77" s="377">
        <v>78</v>
      </c>
      <c r="B77" s="620" t="s">
        <v>370</v>
      </c>
      <c r="C77" s="618" t="s">
        <v>371</v>
      </c>
      <c r="D77" s="619" t="s">
        <v>444</v>
      </c>
      <c r="E77" s="630" t="s">
        <v>445</v>
      </c>
      <c r="F77" s="621" t="str">
        <f t="shared" si="10"/>
        <v>Leslokalen</v>
      </c>
      <c r="G77" s="622" t="s">
        <v>392</v>
      </c>
      <c r="H77" s="623">
        <v>62</v>
      </c>
      <c r="I77" s="635">
        <v>13120</v>
      </c>
      <c r="J77" s="395">
        <f t="shared" si="11"/>
        <v>120</v>
      </c>
      <c r="K77" s="396">
        <f t="shared" si="12"/>
        <v>0</v>
      </c>
      <c r="L77" s="396">
        <f t="shared" si="13"/>
        <v>0</v>
      </c>
      <c r="M77" s="396">
        <f t="shared" si="14"/>
        <v>0</v>
      </c>
      <c r="N77" s="396">
        <f t="shared" si="15"/>
        <v>0</v>
      </c>
      <c r="O77" s="396">
        <f t="shared" si="16"/>
        <v>0</v>
      </c>
      <c r="P77" s="396">
        <f t="shared" si="19"/>
        <v>0</v>
      </c>
      <c r="Q77" s="397" t="str">
        <f t="shared" si="17"/>
        <v>L</v>
      </c>
      <c r="R77" s="394"/>
      <c r="S77" s="394"/>
      <c r="T77" s="394"/>
      <c r="V77" s="16">
        <f t="shared" si="18"/>
        <v>7440</v>
      </c>
    </row>
    <row r="78" spans="1:22" ht="14.1" customHeight="1">
      <c r="A78" s="377">
        <v>79</v>
      </c>
      <c r="B78" s="620" t="s">
        <v>370</v>
      </c>
      <c r="C78" s="618" t="s">
        <v>371</v>
      </c>
      <c r="D78" s="619" t="s">
        <v>446</v>
      </c>
      <c r="E78" s="630" t="s">
        <v>447</v>
      </c>
      <c r="F78" s="621" t="str">
        <f t="shared" si="10"/>
        <v>Leslokalen praktijk</v>
      </c>
      <c r="G78" s="622" t="s">
        <v>392</v>
      </c>
      <c r="H78" s="623">
        <v>105</v>
      </c>
      <c r="I78" s="635">
        <v>16200</v>
      </c>
      <c r="J78" s="395">
        <f t="shared" si="11"/>
        <v>200</v>
      </c>
      <c r="K78" s="396">
        <f t="shared" si="12"/>
        <v>0</v>
      </c>
      <c r="L78" s="396">
        <f t="shared" si="13"/>
        <v>0</v>
      </c>
      <c r="M78" s="396">
        <f t="shared" si="14"/>
        <v>0</v>
      </c>
      <c r="N78" s="396">
        <f t="shared" si="15"/>
        <v>0</v>
      </c>
      <c r="O78" s="396">
        <f t="shared" si="16"/>
        <v>0</v>
      </c>
      <c r="P78" s="396">
        <f t="shared" si="19"/>
        <v>0</v>
      </c>
      <c r="Q78" s="397" t="str">
        <f t="shared" si="17"/>
        <v>L</v>
      </c>
      <c r="R78" s="394"/>
      <c r="S78" s="394"/>
      <c r="T78" s="394"/>
      <c r="V78" s="16">
        <f t="shared" si="18"/>
        <v>21000</v>
      </c>
    </row>
    <row r="79" spans="1:22" ht="14.1" customHeight="1">
      <c r="A79" s="377">
        <v>80</v>
      </c>
      <c r="B79" s="620" t="s">
        <v>370</v>
      </c>
      <c r="C79" s="618" t="s">
        <v>371</v>
      </c>
      <c r="D79" s="619" t="s">
        <v>448</v>
      </c>
      <c r="E79" s="630" t="s">
        <v>449</v>
      </c>
      <c r="F79" s="621" t="str">
        <f t="shared" si="10"/>
        <v>Leslokalen praktijk</v>
      </c>
      <c r="G79" s="622" t="s">
        <v>392</v>
      </c>
      <c r="H79" s="623">
        <v>20</v>
      </c>
      <c r="I79" s="635">
        <v>16200</v>
      </c>
      <c r="J79" s="395">
        <f t="shared" si="11"/>
        <v>200</v>
      </c>
      <c r="K79" s="396">
        <f t="shared" si="12"/>
        <v>0</v>
      </c>
      <c r="L79" s="396">
        <f t="shared" si="13"/>
        <v>0</v>
      </c>
      <c r="M79" s="396">
        <f t="shared" si="14"/>
        <v>0</v>
      </c>
      <c r="N79" s="396">
        <f t="shared" si="15"/>
        <v>0</v>
      </c>
      <c r="O79" s="396">
        <f t="shared" si="16"/>
        <v>0</v>
      </c>
      <c r="P79" s="396">
        <f t="shared" si="19"/>
        <v>0</v>
      </c>
      <c r="Q79" s="397" t="str">
        <f t="shared" si="17"/>
        <v>L</v>
      </c>
      <c r="R79" s="394"/>
      <c r="S79" s="394"/>
      <c r="T79" s="394"/>
      <c r="V79" s="16">
        <f t="shared" si="18"/>
        <v>4000</v>
      </c>
    </row>
    <row r="80" spans="1:22" ht="14.1" customHeight="1">
      <c r="A80" s="377">
        <v>81</v>
      </c>
      <c r="B80" s="620" t="s">
        <v>370</v>
      </c>
      <c r="C80" s="618" t="s">
        <v>371</v>
      </c>
      <c r="D80" s="619" t="s">
        <v>450</v>
      </c>
      <c r="E80" s="630" t="s">
        <v>451</v>
      </c>
      <c r="F80" s="621" t="str">
        <f t="shared" si="10"/>
        <v>Leslokalen</v>
      </c>
      <c r="G80" s="622" t="s">
        <v>739</v>
      </c>
      <c r="H80" s="623">
        <v>69</v>
      </c>
      <c r="I80" s="635">
        <v>13120</v>
      </c>
      <c r="J80" s="395">
        <f t="shared" si="11"/>
        <v>120</v>
      </c>
      <c r="K80" s="396">
        <f t="shared" si="12"/>
        <v>0</v>
      </c>
      <c r="L80" s="396">
        <f t="shared" si="13"/>
        <v>0</v>
      </c>
      <c r="M80" s="396">
        <f t="shared" si="14"/>
        <v>0</v>
      </c>
      <c r="N80" s="396">
        <f t="shared" si="15"/>
        <v>0</v>
      </c>
      <c r="O80" s="396">
        <f t="shared" si="16"/>
        <v>0</v>
      </c>
      <c r="P80" s="396">
        <f t="shared" si="19"/>
        <v>0</v>
      </c>
      <c r="Q80" s="397" t="str">
        <f t="shared" si="17"/>
        <v>L</v>
      </c>
      <c r="R80" s="394"/>
      <c r="S80" s="394"/>
      <c r="T80" s="394"/>
      <c r="V80" s="16">
        <f t="shared" si="18"/>
        <v>8280</v>
      </c>
    </row>
    <row r="81" spans="1:22" ht="14.1" customHeight="1">
      <c r="A81" s="377">
        <v>82</v>
      </c>
      <c r="B81" s="620" t="s">
        <v>370</v>
      </c>
      <c r="C81" s="618" t="s">
        <v>371</v>
      </c>
      <c r="D81" s="619" t="s">
        <v>452</v>
      </c>
      <c r="E81" s="630" t="s">
        <v>414</v>
      </c>
      <c r="F81" s="621" t="str">
        <f t="shared" si="10"/>
        <v>Pantry/keuken</v>
      </c>
      <c r="G81" s="622" t="s">
        <v>377</v>
      </c>
      <c r="H81" s="623">
        <v>21</v>
      </c>
      <c r="I81" s="635">
        <v>6200</v>
      </c>
      <c r="J81" s="395">
        <f t="shared" si="11"/>
        <v>200</v>
      </c>
      <c r="K81" s="396">
        <f t="shared" si="12"/>
        <v>0</v>
      </c>
      <c r="L81" s="396">
        <f t="shared" si="13"/>
        <v>0</v>
      </c>
      <c r="M81" s="396">
        <f t="shared" si="14"/>
        <v>0</v>
      </c>
      <c r="N81" s="396">
        <f t="shared" si="15"/>
        <v>0</v>
      </c>
      <c r="O81" s="396">
        <f t="shared" si="16"/>
        <v>0</v>
      </c>
      <c r="P81" s="396">
        <f t="shared" si="19"/>
        <v>0</v>
      </c>
      <c r="Q81" s="397" t="str">
        <f t="shared" si="17"/>
        <v>V</v>
      </c>
      <c r="R81" s="394"/>
      <c r="S81" s="394"/>
      <c r="T81" s="394"/>
      <c r="V81" s="16">
        <f t="shared" si="18"/>
        <v>4200</v>
      </c>
    </row>
    <row r="82" spans="1:22" ht="14.1" customHeight="1">
      <c r="A82" s="377">
        <v>83</v>
      </c>
      <c r="B82" s="631" t="s">
        <v>370</v>
      </c>
      <c r="C82" s="618" t="s">
        <v>371</v>
      </c>
      <c r="D82" s="619" t="s">
        <v>453</v>
      </c>
      <c r="E82" s="630" t="s">
        <v>454</v>
      </c>
      <c r="F82" s="621" t="str">
        <f t="shared" si="10"/>
        <v>Opslagruimten</v>
      </c>
      <c r="G82" s="630" t="s">
        <v>392</v>
      </c>
      <c r="H82" s="632">
        <v>12</v>
      </c>
      <c r="I82" s="635">
        <v>14012</v>
      </c>
      <c r="J82" s="395">
        <f t="shared" si="11"/>
        <v>12</v>
      </c>
      <c r="K82" s="396">
        <f t="shared" si="12"/>
        <v>0</v>
      </c>
      <c r="L82" s="396">
        <f t="shared" si="13"/>
        <v>0</v>
      </c>
      <c r="M82" s="396">
        <f t="shared" si="14"/>
        <v>0</v>
      </c>
      <c r="N82" s="396">
        <f t="shared" si="15"/>
        <v>0</v>
      </c>
      <c r="O82" s="396">
        <f t="shared" si="16"/>
        <v>0</v>
      </c>
      <c r="P82" s="396">
        <f t="shared" si="19"/>
        <v>0</v>
      </c>
      <c r="Q82" s="397" t="str">
        <f t="shared" si="17"/>
        <v>V</v>
      </c>
      <c r="R82" s="394"/>
      <c r="S82" s="394"/>
      <c r="T82" s="394"/>
      <c r="V82" s="16">
        <f t="shared" si="18"/>
        <v>144</v>
      </c>
    </row>
    <row r="83" spans="1:22" ht="14.1" customHeight="1">
      <c r="A83" s="377">
        <v>84</v>
      </c>
      <c r="B83" s="620" t="s">
        <v>370</v>
      </c>
      <c r="C83" s="627" t="s">
        <v>371</v>
      </c>
      <c r="D83" s="628" t="s">
        <v>455</v>
      </c>
      <c r="E83" s="629" t="s">
        <v>456</v>
      </c>
      <c r="F83" s="621" t="str">
        <f t="shared" si="10"/>
        <v>Administratieve ruimten</v>
      </c>
      <c r="G83" s="629" t="s">
        <v>392</v>
      </c>
      <c r="H83" s="632">
        <v>6</v>
      </c>
      <c r="I83" s="635">
        <v>1126</v>
      </c>
      <c r="J83" s="395">
        <f t="shared" si="11"/>
        <v>126</v>
      </c>
      <c r="K83" s="396">
        <f t="shared" si="12"/>
        <v>0</v>
      </c>
      <c r="L83" s="396">
        <f t="shared" si="13"/>
        <v>0</v>
      </c>
      <c r="M83" s="396">
        <f t="shared" si="14"/>
        <v>0</v>
      </c>
      <c r="N83" s="396">
        <f t="shared" si="15"/>
        <v>0</v>
      </c>
      <c r="O83" s="396">
        <f t="shared" si="16"/>
        <v>0</v>
      </c>
      <c r="P83" s="396">
        <f t="shared" si="19"/>
        <v>0</v>
      </c>
      <c r="Q83" s="397" t="str">
        <f t="shared" si="17"/>
        <v>B</v>
      </c>
      <c r="R83" s="394"/>
      <c r="S83" s="394"/>
      <c r="T83" s="394"/>
      <c r="V83" s="16">
        <f t="shared" si="18"/>
        <v>756</v>
      </c>
    </row>
    <row r="84" spans="1:22" ht="14.1" customHeight="1">
      <c r="A84" s="377">
        <v>85</v>
      </c>
      <c r="B84" s="620" t="s">
        <v>370</v>
      </c>
      <c r="C84" s="618" t="s">
        <v>371</v>
      </c>
      <c r="D84" s="619" t="s">
        <v>457</v>
      </c>
      <c r="E84" s="622" t="s">
        <v>458</v>
      </c>
      <c r="F84" s="621" t="str">
        <f t="shared" si="10"/>
        <v>Administratieve ruimten</v>
      </c>
      <c r="G84" s="622" t="s">
        <v>392</v>
      </c>
      <c r="H84" s="623">
        <v>10.5</v>
      </c>
      <c r="I84" s="635">
        <v>1126</v>
      </c>
      <c r="J84" s="395">
        <f t="shared" si="11"/>
        <v>126</v>
      </c>
      <c r="K84" s="396">
        <f t="shared" si="12"/>
        <v>0</v>
      </c>
      <c r="L84" s="396">
        <f t="shared" si="13"/>
        <v>0</v>
      </c>
      <c r="M84" s="396">
        <f t="shared" si="14"/>
        <v>0</v>
      </c>
      <c r="N84" s="396">
        <f t="shared" si="15"/>
        <v>0</v>
      </c>
      <c r="O84" s="396">
        <f t="shared" si="16"/>
        <v>0</v>
      </c>
      <c r="P84" s="396">
        <f t="shared" si="19"/>
        <v>0</v>
      </c>
      <c r="Q84" s="397" t="str">
        <f t="shared" si="17"/>
        <v>B</v>
      </c>
      <c r="R84" s="394"/>
      <c r="S84" s="394"/>
      <c r="T84" s="394"/>
      <c r="V84" s="16">
        <f t="shared" si="18"/>
        <v>1323</v>
      </c>
    </row>
    <row r="85" spans="1:22" ht="14.1" customHeight="1">
      <c r="A85" s="377">
        <v>86</v>
      </c>
      <c r="B85" s="620" t="s">
        <v>370</v>
      </c>
      <c r="C85" s="618" t="s">
        <v>371</v>
      </c>
      <c r="D85" s="619" t="s">
        <v>459</v>
      </c>
      <c r="E85" s="622" t="s">
        <v>460</v>
      </c>
      <c r="F85" s="621" t="str">
        <f t="shared" si="10"/>
        <v>Trappenhuizen</v>
      </c>
      <c r="G85" s="622" t="s">
        <v>377</v>
      </c>
      <c r="H85" s="623">
        <v>19</v>
      </c>
      <c r="I85" s="635">
        <v>5200</v>
      </c>
      <c r="J85" s="395">
        <f t="shared" si="11"/>
        <v>200</v>
      </c>
      <c r="K85" s="396">
        <f t="shared" si="12"/>
        <v>0</v>
      </c>
      <c r="L85" s="396">
        <f t="shared" si="13"/>
        <v>0</v>
      </c>
      <c r="M85" s="396">
        <f t="shared" si="14"/>
        <v>0</v>
      </c>
      <c r="N85" s="396">
        <f t="shared" si="15"/>
        <v>0</v>
      </c>
      <c r="O85" s="396">
        <f t="shared" si="16"/>
        <v>0</v>
      </c>
      <c r="P85" s="396">
        <f t="shared" si="19"/>
        <v>0</v>
      </c>
      <c r="Q85" s="397" t="str">
        <f t="shared" si="17"/>
        <v>V</v>
      </c>
      <c r="R85" s="394"/>
      <c r="S85" s="394"/>
      <c r="T85" s="394"/>
      <c r="V85" s="16">
        <f t="shared" si="18"/>
        <v>3800</v>
      </c>
    </row>
    <row r="86" spans="1:22" ht="14.1" customHeight="1">
      <c r="A86" s="377">
        <v>87</v>
      </c>
      <c r="B86" s="620" t="s">
        <v>370</v>
      </c>
      <c r="C86" s="618" t="s">
        <v>461</v>
      </c>
      <c r="D86" s="619"/>
      <c r="E86" s="622" t="s">
        <v>462</v>
      </c>
      <c r="F86" s="621" t="str">
        <f t="shared" si="10"/>
        <v>Gangen en hallen</v>
      </c>
      <c r="G86" s="622" t="s">
        <v>392</v>
      </c>
      <c r="H86" s="623">
        <v>10.1</v>
      </c>
      <c r="I86" s="635">
        <v>3200</v>
      </c>
      <c r="J86" s="395">
        <f t="shared" si="11"/>
        <v>200</v>
      </c>
      <c r="K86" s="396">
        <f t="shared" si="12"/>
        <v>0</v>
      </c>
      <c r="L86" s="396">
        <f t="shared" si="13"/>
        <v>0</v>
      </c>
      <c r="M86" s="396">
        <f t="shared" si="14"/>
        <v>0</v>
      </c>
      <c r="N86" s="396">
        <f t="shared" si="15"/>
        <v>0</v>
      </c>
      <c r="O86" s="396">
        <f t="shared" si="16"/>
        <v>0</v>
      </c>
      <c r="P86" s="396">
        <f t="shared" si="19"/>
        <v>0</v>
      </c>
      <c r="Q86" s="397" t="str">
        <f t="shared" si="17"/>
        <v>V</v>
      </c>
      <c r="R86" s="394"/>
      <c r="S86" s="394"/>
      <c r="T86" s="394"/>
      <c r="V86" s="16">
        <f t="shared" si="18"/>
        <v>2020</v>
      </c>
    </row>
    <row r="87" spans="1:22" ht="14.1" customHeight="1">
      <c r="A87" s="377">
        <v>88</v>
      </c>
      <c r="B87" s="620" t="s">
        <v>370</v>
      </c>
      <c r="C87" s="618" t="s">
        <v>461</v>
      </c>
      <c r="D87" s="619"/>
      <c r="E87" s="622" t="s">
        <v>463</v>
      </c>
      <c r="F87" s="621" t="str">
        <f t="shared" si="10"/>
        <v>Sanitaire ruimten</v>
      </c>
      <c r="G87" s="622" t="s">
        <v>392</v>
      </c>
      <c r="H87" s="623">
        <v>7.2</v>
      </c>
      <c r="I87" s="635">
        <v>2200</v>
      </c>
      <c r="J87" s="395">
        <f t="shared" si="11"/>
        <v>200</v>
      </c>
      <c r="K87" s="396">
        <f t="shared" si="12"/>
        <v>0</v>
      </c>
      <c r="L87" s="396">
        <f t="shared" si="13"/>
        <v>0</v>
      </c>
      <c r="M87" s="396">
        <f t="shared" si="14"/>
        <v>0</v>
      </c>
      <c r="N87" s="396">
        <f t="shared" si="15"/>
        <v>0</v>
      </c>
      <c r="O87" s="396">
        <f t="shared" si="16"/>
        <v>0</v>
      </c>
      <c r="P87" s="396">
        <f t="shared" si="19"/>
        <v>0</v>
      </c>
      <c r="Q87" s="397" t="str">
        <f t="shared" si="17"/>
        <v>S</v>
      </c>
      <c r="R87" s="394"/>
      <c r="S87" s="394"/>
      <c r="T87" s="394"/>
      <c r="V87" s="16">
        <f t="shared" si="18"/>
        <v>1440</v>
      </c>
    </row>
    <row r="88" spans="1:22" ht="14.1" customHeight="1">
      <c r="A88" s="377">
        <v>89</v>
      </c>
      <c r="B88" s="620" t="s">
        <v>370</v>
      </c>
      <c r="C88" s="618" t="s">
        <v>461</v>
      </c>
      <c r="D88" s="619"/>
      <c r="E88" s="622" t="s">
        <v>464</v>
      </c>
      <c r="F88" s="621" t="str">
        <f t="shared" si="10"/>
        <v>Leslokalen</v>
      </c>
      <c r="G88" s="622" t="s">
        <v>465</v>
      </c>
      <c r="H88" s="623">
        <v>51.8</v>
      </c>
      <c r="I88" s="635">
        <v>13120</v>
      </c>
      <c r="J88" s="395">
        <f t="shared" si="11"/>
        <v>120</v>
      </c>
      <c r="K88" s="396">
        <f t="shared" si="12"/>
        <v>0</v>
      </c>
      <c r="L88" s="396">
        <f t="shared" si="13"/>
        <v>0</v>
      </c>
      <c r="M88" s="396">
        <f t="shared" si="14"/>
        <v>0</v>
      </c>
      <c r="N88" s="396">
        <f t="shared" si="15"/>
        <v>0</v>
      </c>
      <c r="O88" s="396">
        <f t="shared" si="16"/>
        <v>0</v>
      </c>
      <c r="P88" s="396">
        <f t="shared" si="19"/>
        <v>0</v>
      </c>
      <c r="Q88" s="397" t="str">
        <f t="shared" si="17"/>
        <v>L</v>
      </c>
      <c r="R88" s="394"/>
      <c r="S88" s="394"/>
      <c r="T88" s="394"/>
      <c r="V88" s="16">
        <f t="shared" si="18"/>
        <v>6216</v>
      </c>
    </row>
    <row r="89" spans="1:22" ht="14.1" customHeight="1">
      <c r="A89" s="377">
        <v>90</v>
      </c>
      <c r="B89" s="620" t="s">
        <v>370</v>
      </c>
      <c r="C89" s="618" t="s">
        <v>461</v>
      </c>
      <c r="D89" s="619"/>
      <c r="E89" s="622" t="s">
        <v>466</v>
      </c>
      <c r="F89" s="621" t="str">
        <f t="shared" si="10"/>
        <v>Leslokalen</v>
      </c>
      <c r="G89" s="622" t="s">
        <v>465</v>
      </c>
      <c r="H89" s="623">
        <v>51.8</v>
      </c>
      <c r="I89" s="635">
        <v>13120</v>
      </c>
      <c r="J89" s="395">
        <f t="shared" si="11"/>
        <v>120</v>
      </c>
      <c r="K89" s="396">
        <f t="shared" si="12"/>
        <v>0</v>
      </c>
      <c r="L89" s="396">
        <f t="shared" si="13"/>
        <v>0</v>
      </c>
      <c r="M89" s="396">
        <f t="shared" si="14"/>
        <v>0</v>
      </c>
      <c r="N89" s="396">
        <f t="shared" si="15"/>
        <v>0</v>
      </c>
      <c r="O89" s="396">
        <f t="shared" si="16"/>
        <v>0</v>
      </c>
      <c r="P89" s="396">
        <f t="shared" si="19"/>
        <v>0</v>
      </c>
      <c r="Q89" s="397" t="str">
        <f t="shared" si="17"/>
        <v>L</v>
      </c>
      <c r="R89" s="394"/>
      <c r="S89" s="394"/>
      <c r="T89" s="394"/>
      <c r="V89" s="16">
        <f t="shared" si="18"/>
        <v>6216</v>
      </c>
    </row>
    <row r="90" spans="1:22" ht="14.1" customHeight="1">
      <c r="A90" s="377">
        <v>91</v>
      </c>
      <c r="B90" s="620" t="s">
        <v>370</v>
      </c>
      <c r="C90" s="618" t="s">
        <v>461</v>
      </c>
      <c r="D90" s="619"/>
      <c r="E90" s="622" t="s">
        <v>462</v>
      </c>
      <c r="F90" s="621" t="str">
        <f t="shared" si="10"/>
        <v>Gangen en hallen</v>
      </c>
      <c r="G90" s="622" t="s">
        <v>392</v>
      </c>
      <c r="H90" s="623">
        <v>10.1</v>
      </c>
      <c r="I90" s="635">
        <v>3200</v>
      </c>
      <c r="J90" s="395">
        <f t="shared" si="11"/>
        <v>200</v>
      </c>
      <c r="K90" s="396">
        <f t="shared" si="12"/>
        <v>0</v>
      </c>
      <c r="L90" s="396">
        <f t="shared" si="13"/>
        <v>0</v>
      </c>
      <c r="M90" s="396">
        <f t="shared" si="14"/>
        <v>0</v>
      </c>
      <c r="N90" s="396">
        <f t="shared" si="15"/>
        <v>0</v>
      </c>
      <c r="O90" s="396">
        <f t="shared" si="16"/>
        <v>0</v>
      </c>
      <c r="P90" s="396">
        <f t="shared" si="19"/>
        <v>0</v>
      </c>
      <c r="Q90" s="397" t="str">
        <f t="shared" si="17"/>
        <v>V</v>
      </c>
      <c r="R90" s="394"/>
      <c r="S90" s="394"/>
      <c r="T90" s="394"/>
      <c r="V90" s="16">
        <f t="shared" si="18"/>
        <v>2020</v>
      </c>
    </row>
    <row r="91" spans="1:22" ht="14.1" customHeight="1">
      <c r="A91" s="377">
        <v>92</v>
      </c>
      <c r="B91" s="620" t="s">
        <v>370</v>
      </c>
      <c r="C91" s="618" t="s">
        <v>461</v>
      </c>
      <c r="D91" s="619"/>
      <c r="E91" s="622" t="s">
        <v>463</v>
      </c>
      <c r="F91" s="621" t="str">
        <f t="shared" si="10"/>
        <v>Sanitaire ruimten</v>
      </c>
      <c r="G91" s="622" t="s">
        <v>392</v>
      </c>
      <c r="H91" s="623">
        <v>7.2</v>
      </c>
      <c r="I91" s="635">
        <v>2200</v>
      </c>
      <c r="J91" s="395">
        <f t="shared" si="11"/>
        <v>200</v>
      </c>
      <c r="K91" s="396">
        <f t="shared" si="12"/>
        <v>0</v>
      </c>
      <c r="L91" s="396">
        <f t="shared" si="13"/>
        <v>0</v>
      </c>
      <c r="M91" s="396">
        <f t="shared" si="14"/>
        <v>0</v>
      </c>
      <c r="N91" s="396">
        <f t="shared" si="15"/>
        <v>0</v>
      </c>
      <c r="O91" s="396">
        <f t="shared" si="16"/>
        <v>0</v>
      </c>
      <c r="P91" s="396">
        <f t="shared" si="19"/>
        <v>0</v>
      </c>
      <c r="Q91" s="397" t="str">
        <f t="shared" si="17"/>
        <v>S</v>
      </c>
      <c r="R91" s="394"/>
      <c r="S91" s="394"/>
      <c r="T91" s="394"/>
      <c r="V91" s="16">
        <f t="shared" si="18"/>
        <v>1440</v>
      </c>
    </row>
    <row r="92" spans="1:22" ht="14.1" customHeight="1">
      <c r="A92" s="377">
        <v>93</v>
      </c>
      <c r="B92" s="620" t="s">
        <v>370</v>
      </c>
      <c r="C92" s="618" t="s">
        <v>461</v>
      </c>
      <c r="D92" s="619"/>
      <c r="E92" s="622" t="s">
        <v>467</v>
      </c>
      <c r="F92" s="621" t="str">
        <f t="shared" si="10"/>
        <v>Leslokalen</v>
      </c>
      <c r="G92" s="622" t="s">
        <v>465</v>
      </c>
      <c r="H92" s="623">
        <v>51.8</v>
      </c>
      <c r="I92" s="635">
        <v>13120</v>
      </c>
      <c r="J92" s="395">
        <f t="shared" si="11"/>
        <v>120</v>
      </c>
      <c r="K92" s="396">
        <f t="shared" si="12"/>
        <v>0</v>
      </c>
      <c r="L92" s="396">
        <f t="shared" si="13"/>
        <v>0</v>
      </c>
      <c r="M92" s="396">
        <f t="shared" si="14"/>
        <v>0</v>
      </c>
      <c r="N92" s="396">
        <f t="shared" si="15"/>
        <v>0</v>
      </c>
      <c r="O92" s="396">
        <f t="shared" si="16"/>
        <v>0</v>
      </c>
      <c r="P92" s="396">
        <f t="shared" si="19"/>
        <v>0</v>
      </c>
      <c r="Q92" s="397" t="str">
        <f t="shared" si="17"/>
        <v>L</v>
      </c>
      <c r="R92" s="394"/>
      <c r="S92" s="394"/>
      <c r="T92" s="394"/>
      <c r="V92" s="16">
        <f t="shared" si="18"/>
        <v>6216</v>
      </c>
    </row>
    <row r="93" spans="1:22" ht="14.1" customHeight="1">
      <c r="A93" s="377">
        <v>94</v>
      </c>
      <c r="B93" s="620" t="s">
        <v>370</v>
      </c>
      <c r="C93" s="618" t="s">
        <v>468</v>
      </c>
      <c r="D93" s="619">
        <v>101</v>
      </c>
      <c r="E93" s="622" t="s">
        <v>469</v>
      </c>
      <c r="F93" s="621" t="str">
        <f t="shared" si="10"/>
        <v>Administratieve ruimten</v>
      </c>
      <c r="G93" s="622" t="s">
        <v>465</v>
      </c>
      <c r="H93" s="623">
        <v>22</v>
      </c>
      <c r="I93" s="635">
        <v>1126</v>
      </c>
      <c r="J93" s="395">
        <f t="shared" si="11"/>
        <v>126</v>
      </c>
      <c r="K93" s="396">
        <f t="shared" si="12"/>
        <v>0</v>
      </c>
      <c r="L93" s="396">
        <f t="shared" si="13"/>
        <v>0</v>
      </c>
      <c r="M93" s="396">
        <f t="shared" si="14"/>
        <v>0</v>
      </c>
      <c r="N93" s="396">
        <f t="shared" si="15"/>
        <v>0</v>
      </c>
      <c r="O93" s="396">
        <f t="shared" si="16"/>
        <v>0</v>
      </c>
      <c r="P93" s="396">
        <f t="shared" si="19"/>
        <v>0</v>
      </c>
      <c r="Q93" s="397" t="str">
        <f t="shared" si="17"/>
        <v>B</v>
      </c>
      <c r="R93" s="394"/>
      <c r="S93" s="394"/>
      <c r="T93" s="394"/>
      <c r="V93" s="16">
        <f t="shared" si="18"/>
        <v>2772</v>
      </c>
    </row>
    <row r="94" spans="1:22" ht="14.1" customHeight="1">
      <c r="A94" s="377">
        <v>95</v>
      </c>
      <c r="B94" s="620" t="s">
        <v>370</v>
      </c>
      <c r="C94" s="618" t="s">
        <v>468</v>
      </c>
      <c r="D94" s="619">
        <v>102</v>
      </c>
      <c r="E94" s="622" t="s">
        <v>470</v>
      </c>
      <c r="F94" s="621" t="str">
        <f t="shared" si="10"/>
        <v>Administratieve ruimten</v>
      </c>
      <c r="G94" s="622" t="s">
        <v>465</v>
      </c>
      <c r="H94" s="623">
        <v>22</v>
      </c>
      <c r="I94" s="635">
        <v>1126</v>
      </c>
      <c r="J94" s="395">
        <f t="shared" si="11"/>
        <v>126</v>
      </c>
      <c r="K94" s="396">
        <f t="shared" si="12"/>
        <v>0</v>
      </c>
      <c r="L94" s="396">
        <f t="shared" si="13"/>
        <v>0</v>
      </c>
      <c r="M94" s="396">
        <f t="shared" si="14"/>
        <v>0</v>
      </c>
      <c r="N94" s="396">
        <f t="shared" si="15"/>
        <v>0</v>
      </c>
      <c r="O94" s="396">
        <f t="shared" si="16"/>
        <v>0</v>
      </c>
      <c r="P94" s="396">
        <f t="shared" si="19"/>
        <v>0</v>
      </c>
      <c r="Q94" s="397" t="str">
        <f t="shared" si="17"/>
        <v>B</v>
      </c>
      <c r="R94" s="394"/>
      <c r="S94" s="394"/>
      <c r="T94" s="394"/>
      <c r="V94" s="16">
        <f t="shared" si="18"/>
        <v>2772</v>
      </c>
    </row>
    <row r="95" spans="1:22" ht="14.1" customHeight="1">
      <c r="A95" s="377">
        <v>96</v>
      </c>
      <c r="B95" s="620" t="s">
        <v>370</v>
      </c>
      <c r="C95" s="618" t="s">
        <v>468</v>
      </c>
      <c r="D95" s="619">
        <v>103</v>
      </c>
      <c r="E95" s="622" t="s">
        <v>376</v>
      </c>
      <c r="F95" s="621" t="str">
        <f t="shared" si="10"/>
        <v>Gangen en hallen</v>
      </c>
      <c r="G95" s="622" t="s">
        <v>392</v>
      </c>
      <c r="H95" s="623">
        <v>4</v>
      </c>
      <c r="I95" s="635">
        <v>3255</v>
      </c>
      <c r="J95" s="395">
        <f t="shared" si="11"/>
        <v>255</v>
      </c>
      <c r="K95" s="396">
        <f t="shared" si="12"/>
        <v>0</v>
      </c>
      <c r="L95" s="396">
        <f t="shared" si="13"/>
        <v>0</v>
      </c>
      <c r="M95" s="396">
        <f t="shared" si="14"/>
        <v>0</v>
      </c>
      <c r="N95" s="396">
        <f t="shared" si="15"/>
        <v>0</v>
      </c>
      <c r="O95" s="396">
        <f t="shared" si="16"/>
        <v>0</v>
      </c>
      <c r="P95" s="396">
        <f t="shared" si="19"/>
        <v>0</v>
      </c>
      <c r="Q95" s="397" t="str">
        <f t="shared" si="17"/>
        <v>V</v>
      </c>
      <c r="R95" s="394"/>
      <c r="S95" s="394"/>
      <c r="T95" s="394"/>
      <c r="V95" s="16">
        <f t="shared" si="18"/>
        <v>1020</v>
      </c>
    </row>
    <row r="96" spans="1:22" ht="14.1" customHeight="1">
      <c r="A96" s="377">
        <v>97</v>
      </c>
      <c r="B96" s="620" t="s">
        <v>370</v>
      </c>
      <c r="C96" s="618" t="s">
        <v>468</v>
      </c>
      <c r="D96" s="619">
        <v>104</v>
      </c>
      <c r="E96" s="622" t="s">
        <v>471</v>
      </c>
      <c r="F96" s="621" t="str">
        <f t="shared" si="10"/>
        <v>Administratieve ruimten</v>
      </c>
      <c r="G96" s="622" t="s">
        <v>465</v>
      </c>
      <c r="H96" s="623">
        <v>19</v>
      </c>
      <c r="I96" s="635">
        <v>1126</v>
      </c>
      <c r="J96" s="395">
        <f t="shared" si="11"/>
        <v>126</v>
      </c>
      <c r="K96" s="396">
        <f t="shared" si="12"/>
        <v>0</v>
      </c>
      <c r="L96" s="396">
        <f t="shared" si="13"/>
        <v>0</v>
      </c>
      <c r="M96" s="396">
        <f t="shared" si="14"/>
        <v>0</v>
      </c>
      <c r="N96" s="396">
        <f t="shared" si="15"/>
        <v>0</v>
      </c>
      <c r="O96" s="396">
        <f t="shared" si="16"/>
        <v>0</v>
      </c>
      <c r="P96" s="396">
        <f t="shared" si="19"/>
        <v>0</v>
      </c>
      <c r="Q96" s="397" t="str">
        <f t="shared" si="17"/>
        <v>B</v>
      </c>
      <c r="R96" s="394"/>
      <c r="S96" s="394"/>
      <c r="T96" s="394"/>
      <c r="V96" s="16">
        <f t="shared" si="18"/>
        <v>2394</v>
      </c>
    </row>
    <row r="97" spans="1:22" ht="14.1" customHeight="1">
      <c r="A97" s="377">
        <v>98</v>
      </c>
      <c r="B97" s="620" t="s">
        <v>370</v>
      </c>
      <c r="C97" s="618" t="s">
        <v>468</v>
      </c>
      <c r="D97" s="619">
        <v>105</v>
      </c>
      <c r="E97" s="622" t="s">
        <v>472</v>
      </c>
      <c r="F97" s="621" t="str">
        <f t="shared" si="10"/>
        <v>Administratieve ruimten</v>
      </c>
      <c r="G97" s="622" t="s">
        <v>465</v>
      </c>
      <c r="H97" s="623">
        <v>26</v>
      </c>
      <c r="I97" s="635">
        <v>1126</v>
      </c>
      <c r="J97" s="395">
        <f t="shared" si="11"/>
        <v>126</v>
      </c>
      <c r="K97" s="396">
        <f t="shared" si="12"/>
        <v>0</v>
      </c>
      <c r="L97" s="396">
        <f t="shared" si="13"/>
        <v>0</v>
      </c>
      <c r="M97" s="396">
        <f t="shared" si="14"/>
        <v>0</v>
      </c>
      <c r="N97" s="396">
        <f t="shared" si="15"/>
        <v>0</v>
      </c>
      <c r="O97" s="396">
        <f t="shared" si="16"/>
        <v>0</v>
      </c>
      <c r="P97" s="396">
        <f t="shared" si="19"/>
        <v>0</v>
      </c>
      <c r="Q97" s="397" t="str">
        <f t="shared" si="17"/>
        <v>B</v>
      </c>
      <c r="R97" s="394"/>
      <c r="S97" s="394"/>
      <c r="T97" s="394"/>
      <c r="V97" s="16">
        <f t="shared" si="18"/>
        <v>3276</v>
      </c>
    </row>
    <row r="98" spans="1:22" ht="14.1" customHeight="1">
      <c r="A98" s="377">
        <v>99</v>
      </c>
      <c r="B98" s="620" t="s">
        <v>370</v>
      </c>
      <c r="C98" s="618" t="s">
        <v>468</v>
      </c>
      <c r="D98" s="619">
        <v>106</v>
      </c>
      <c r="E98" s="622" t="s">
        <v>376</v>
      </c>
      <c r="F98" s="621" t="str">
        <f t="shared" si="10"/>
        <v>Gangen en hallen</v>
      </c>
      <c r="G98" s="622" t="s">
        <v>392</v>
      </c>
      <c r="H98" s="623">
        <v>35</v>
      </c>
      <c r="I98" s="635">
        <v>3200</v>
      </c>
      <c r="J98" s="395">
        <f t="shared" si="11"/>
        <v>200</v>
      </c>
      <c r="K98" s="396">
        <f t="shared" si="12"/>
        <v>0</v>
      </c>
      <c r="L98" s="396">
        <f t="shared" si="13"/>
        <v>0</v>
      </c>
      <c r="M98" s="396">
        <f t="shared" si="14"/>
        <v>0</v>
      </c>
      <c r="N98" s="396">
        <f t="shared" si="15"/>
        <v>0</v>
      </c>
      <c r="O98" s="396">
        <f t="shared" si="16"/>
        <v>0</v>
      </c>
      <c r="P98" s="396">
        <f t="shared" si="19"/>
        <v>0</v>
      </c>
      <c r="Q98" s="397" t="str">
        <f t="shared" si="17"/>
        <v>V</v>
      </c>
      <c r="R98" s="394"/>
      <c r="S98" s="394"/>
      <c r="T98" s="394"/>
      <c r="V98" s="16">
        <f t="shared" si="18"/>
        <v>7000</v>
      </c>
    </row>
    <row r="99" spans="1:22" ht="14.1" customHeight="1">
      <c r="A99" s="377">
        <v>100</v>
      </c>
      <c r="B99" s="620" t="s">
        <v>370</v>
      </c>
      <c r="C99" s="618" t="s">
        <v>468</v>
      </c>
      <c r="D99" s="619">
        <v>107</v>
      </c>
      <c r="E99" s="622" t="s">
        <v>473</v>
      </c>
      <c r="F99" s="621" t="str">
        <f t="shared" si="10"/>
        <v>Vergader-/spreekruimten</v>
      </c>
      <c r="G99" s="622" t="s">
        <v>474</v>
      </c>
      <c r="H99" s="623">
        <v>77</v>
      </c>
      <c r="I99" s="635">
        <v>15126</v>
      </c>
      <c r="J99" s="395">
        <f t="shared" si="11"/>
        <v>126</v>
      </c>
      <c r="K99" s="396">
        <f t="shared" si="12"/>
        <v>0</v>
      </c>
      <c r="L99" s="396">
        <f t="shared" si="13"/>
        <v>0</v>
      </c>
      <c r="M99" s="396">
        <f t="shared" si="14"/>
        <v>0</v>
      </c>
      <c r="N99" s="396">
        <f t="shared" si="15"/>
        <v>0</v>
      </c>
      <c r="O99" s="396">
        <f t="shared" si="16"/>
        <v>0</v>
      </c>
      <c r="P99" s="396">
        <f t="shared" si="19"/>
        <v>0</v>
      </c>
      <c r="Q99" s="397" t="str">
        <f t="shared" si="17"/>
        <v>B</v>
      </c>
      <c r="R99" s="394"/>
      <c r="S99" s="394"/>
      <c r="T99" s="394"/>
      <c r="V99" s="16">
        <f t="shared" si="18"/>
        <v>9702</v>
      </c>
    </row>
    <row r="100" spans="1:22" ht="14.1" customHeight="1">
      <c r="A100" s="377">
        <v>101</v>
      </c>
      <c r="B100" s="620" t="s">
        <v>370</v>
      </c>
      <c r="C100" s="618" t="s">
        <v>468</v>
      </c>
      <c r="D100" s="619">
        <v>108</v>
      </c>
      <c r="E100" s="622" t="s">
        <v>475</v>
      </c>
      <c r="F100" s="621" t="str">
        <f t="shared" si="10"/>
        <v>Gangen en hallen</v>
      </c>
      <c r="G100" s="622" t="s">
        <v>392</v>
      </c>
      <c r="H100" s="623">
        <v>53</v>
      </c>
      <c r="I100" s="635">
        <v>3255</v>
      </c>
      <c r="J100" s="395">
        <f t="shared" si="11"/>
        <v>255</v>
      </c>
      <c r="K100" s="396">
        <f t="shared" si="12"/>
        <v>0</v>
      </c>
      <c r="L100" s="396">
        <f t="shared" si="13"/>
        <v>0</v>
      </c>
      <c r="M100" s="396">
        <f t="shared" si="14"/>
        <v>0</v>
      </c>
      <c r="N100" s="396">
        <f t="shared" si="15"/>
        <v>0</v>
      </c>
      <c r="O100" s="396">
        <f t="shared" si="16"/>
        <v>0</v>
      </c>
      <c r="P100" s="396">
        <f t="shared" si="19"/>
        <v>0</v>
      </c>
      <c r="Q100" s="397" t="str">
        <f t="shared" si="17"/>
        <v>V</v>
      </c>
      <c r="R100" s="394"/>
      <c r="S100" s="394"/>
      <c r="T100" s="394"/>
      <c r="V100" s="16">
        <f t="shared" si="18"/>
        <v>13515</v>
      </c>
    </row>
    <row r="101" spans="1:22" ht="14.1" customHeight="1">
      <c r="A101" s="377">
        <v>102</v>
      </c>
      <c r="B101" s="620" t="s">
        <v>370</v>
      </c>
      <c r="C101" s="618" t="s">
        <v>468</v>
      </c>
      <c r="D101" s="619">
        <v>109</v>
      </c>
      <c r="E101" s="622" t="s">
        <v>617</v>
      </c>
      <c r="F101" s="621" t="str">
        <f t="shared" si="10"/>
        <v>Vergader-/spreekruimten</v>
      </c>
      <c r="G101" s="622" t="s">
        <v>465</v>
      </c>
      <c r="H101" s="623">
        <v>12</v>
      </c>
      <c r="I101" s="635">
        <v>15126</v>
      </c>
      <c r="J101" s="395">
        <f t="shared" si="11"/>
        <v>126</v>
      </c>
      <c r="K101" s="396">
        <f t="shared" si="12"/>
        <v>0</v>
      </c>
      <c r="L101" s="396">
        <f t="shared" si="13"/>
        <v>0</v>
      </c>
      <c r="M101" s="396">
        <f t="shared" si="14"/>
        <v>0</v>
      </c>
      <c r="N101" s="396">
        <f t="shared" si="15"/>
        <v>0</v>
      </c>
      <c r="O101" s="396">
        <f t="shared" si="16"/>
        <v>0</v>
      </c>
      <c r="P101" s="396">
        <f t="shared" si="19"/>
        <v>0</v>
      </c>
      <c r="Q101" s="397" t="str">
        <f t="shared" si="17"/>
        <v>B</v>
      </c>
      <c r="R101" s="394"/>
      <c r="S101" s="394"/>
      <c r="T101" s="394"/>
      <c r="V101" s="16">
        <f t="shared" si="18"/>
        <v>1512</v>
      </c>
    </row>
    <row r="102" spans="1:22" ht="14.1" customHeight="1">
      <c r="A102" s="377">
        <v>103</v>
      </c>
      <c r="B102" s="620" t="s">
        <v>370</v>
      </c>
      <c r="C102" s="618" t="s">
        <v>468</v>
      </c>
      <c r="D102" s="619">
        <v>110</v>
      </c>
      <c r="E102" s="622" t="s">
        <v>736</v>
      </c>
      <c r="F102" s="621" t="str">
        <f t="shared" si="10"/>
        <v>Administratieve ruimten</v>
      </c>
      <c r="G102" s="622" t="s">
        <v>465</v>
      </c>
      <c r="H102" s="623">
        <v>11</v>
      </c>
      <c r="I102" s="635">
        <v>1126</v>
      </c>
      <c r="J102" s="395">
        <f t="shared" si="11"/>
        <v>126</v>
      </c>
      <c r="K102" s="396">
        <f t="shared" si="12"/>
        <v>0</v>
      </c>
      <c r="L102" s="396">
        <f t="shared" si="13"/>
        <v>0</v>
      </c>
      <c r="M102" s="396">
        <f t="shared" si="14"/>
        <v>0</v>
      </c>
      <c r="N102" s="396">
        <f t="shared" si="15"/>
        <v>0</v>
      </c>
      <c r="O102" s="396">
        <f t="shared" si="16"/>
        <v>0</v>
      </c>
      <c r="P102" s="396">
        <f t="shared" si="19"/>
        <v>0</v>
      </c>
      <c r="Q102" s="397" t="str">
        <f t="shared" si="17"/>
        <v>B</v>
      </c>
      <c r="R102" s="394"/>
      <c r="S102" s="394"/>
      <c r="T102" s="394"/>
      <c r="V102" s="16">
        <f t="shared" si="18"/>
        <v>1386</v>
      </c>
    </row>
    <row r="103" spans="1:22" ht="14.1" customHeight="1">
      <c r="A103" s="377">
        <v>104</v>
      </c>
      <c r="B103" s="620" t="s">
        <v>370</v>
      </c>
      <c r="C103" s="618" t="s">
        <v>468</v>
      </c>
      <c r="D103" s="619">
        <v>111</v>
      </c>
      <c r="E103" s="622" t="s">
        <v>477</v>
      </c>
      <c r="F103" s="621" t="str">
        <f t="shared" si="10"/>
        <v>Administratieve ruimten</v>
      </c>
      <c r="G103" s="622" t="s">
        <v>465</v>
      </c>
      <c r="H103" s="623">
        <v>17</v>
      </c>
      <c r="I103" s="635">
        <v>1126</v>
      </c>
      <c r="J103" s="395">
        <f t="shared" si="11"/>
        <v>126</v>
      </c>
      <c r="K103" s="396">
        <f t="shared" si="12"/>
        <v>0</v>
      </c>
      <c r="L103" s="396">
        <f t="shared" si="13"/>
        <v>0</v>
      </c>
      <c r="M103" s="396">
        <f t="shared" si="14"/>
        <v>0</v>
      </c>
      <c r="N103" s="396">
        <f t="shared" si="15"/>
        <v>0</v>
      </c>
      <c r="O103" s="396">
        <f t="shared" si="16"/>
        <v>0</v>
      </c>
      <c r="P103" s="396">
        <f t="shared" si="19"/>
        <v>0</v>
      </c>
      <c r="Q103" s="397" t="str">
        <f t="shared" si="17"/>
        <v>B</v>
      </c>
      <c r="R103" s="394"/>
      <c r="S103" s="394"/>
      <c r="T103" s="394"/>
      <c r="V103" s="16">
        <f t="shared" si="18"/>
        <v>2142</v>
      </c>
    </row>
    <row r="104" spans="1:22" ht="14.1" customHeight="1">
      <c r="A104" s="377">
        <v>105</v>
      </c>
      <c r="B104" s="620" t="s">
        <v>370</v>
      </c>
      <c r="C104" s="618" t="s">
        <v>468</v>
      </c>
      <c r="D104" s="619">
        <v>112</v>
      </c>
      <c r="E104" s="622" t="s">
        <v>478</v>
      </c>
      <c r="F104" s="621" t="str">
        <f t="shared" si="10"/>
        <v>Leslokalen</v>
      </c>
      <c r="G104" s="622" t="s">
        <v>739</v>
      </c>
      <c r="H104" s="623">
        <v>55</v>
      </c>
      <c r="I104" s="635">
        <v>13120</v>
      </c>
      <c r="J104" s="395">
        <f t="shared" si="11"/>
        <v>120</v>
      </c>
      <c r="K104" s="396">
        <f t="shared" si="12"/>
        <v>0</v>
      </c>
      <c r="L104" s="396">
        <f t="shared" si="13"/>
        <v>0</v>
      </c>
      <c r="M104" s="396">
        <f t="shared" si="14"/>
        <v>0</v>
      </c>
      <c r="N104" s="396">
        <f t="shared" si="15"/>
        <v>0</v>
      </c>
      <c r="O104" s="396">
        <f t="shared" si="16"/>
        <v>0</v>
      </c>
      <c r="P104" s="396">
        <f t="shared" si="19"/>
        <v>0</v>
      </c>
      <c r="Q104" s="397" t="str">
        <f t="shared" si="17"/>
        <v>L</v>
      </c>
      <c r="R104" s="394"/>
      <c r="S104" s="394"/>
      <c r="T104" s="394"/>
      <c r="V104" s="16">
        <f t="shared" si="18"/>
        <v>6600</v>
      </c>
    </row>
    <row r="105" spans="1:22" ht="14.1" customHeight="1">
      <c r="A105" s="377">
        <v>106</v>
      </c>
      <c r="B105" s="620" t="s">
        <v>370</v>
      </c>
      <c r="C105" s="618" t="s">
        <v>468</v>
      </c>
      <c r="D105" s="619">
        <v>113</v>
      </c>
      <c r="E105" s="622" t="s">
        <v>395</v>
      </c>
      <c r="F105" s="621" t="str">
        <f t="shared" si="10"/>
        <v>Gangen en hallen</v>
      </c>
      <c r="G105" s="622" t="s">
        <v>392</v>
      </c>
      <c r="H105" s="623">
        <v>68</v>
      </c>
      <c r="I105" s="635">
        <v>3200</v>
      </c>
      <c r="J105" s="395">
        <f t="shared" si="11"/>
        <v>200</v>
      </c>
      <c r="K105" s="396">
        <f t="shared" si="12"/>
        <v>0</v>
      </c>
      <c r="L105" s="396">
        <f t="shared" si="13"/>
        <v>0</v>
      </c>
      <c r="M105" s="396">
        <f t="shared" si="14"/>
        <v>0</v>
      </c>
      <c r="N105" s="396">
        <f t="shared" si="15"/>
        <v>0</v>
      </c>
      <c r="O105" s="396">
        <f t="shared" si="16"/>
        <v>0</v>
      </c>
      <c r="P105" s="396">
        <f t="shared" si="19"/>
        <v>0</v>
      </c>
      <c r="Q105" s="397" t="str">
        <f t="shared" si="17"/>
        <v>V</v>
      </c>
      <c r="R105" s="394"/>
      <c r="S105" s="394"/>
      <c r="T105" s="394"/>
      <c r="V105" s="16">
        <f t="shared" si="18"/>
        <v>13600</v>
      </c>
    </row>
    <row r="106" spans="1:22" ht="14.1" customHeight="1">
      <c r="A106" s="377">
        <v>107</v>
      </c>
      <c r="B106" s="620" t="s">
        <v>370</v>
      </c>
      <c r="C106" s="618" t="s">
        <v>468</v>
      </c>
      <c r="D106" s="619">
        <v>114</v>
      </c>
      <c r="E106" s="622" t="s">
        <v>479</v>
      </c>
      <c r="F106" s="621" t="str">
        <f t="shared" si="10"/>
        <v>Leslokalen</v>
      </c>
      <c r="G106" s="622" t="s">
        <v>465</v>
      </c>
      <c r="H106" s="623">
        <v>54</v>
      </c>
      <c r="I106" s="635">
        <v>13120</v>
      </c>
      <c r="J106" s="395">
        <f t="shared" si="11"/>
        <v>120</v>
      </c>
      <c r="K106" s="396">
        <f t="shared" si="12"/>
        <v>0</v>
      </c>
      <c r="L106" s="396">
        <f t="shared" si="13"/>
        <v>0</v>
      </c>
      <c r="M106" s="396">
        <f t="shared" si="14"/>
        <v>0</v>
      </c>
      <c r="N106" s="396">
        <f t="shared" si="15"/>
        <v>0</v>
      </c>
      <c r="O106" s="396">
        <f t="shared" si="16"/>
        <v>0</v>
      </c>
      <c r="P106" s="396">
        <f t="shared" si="19"/>
        <v>0</v>
      </c>
      <c r="Q106" s="397" t="str">
        <f t="shared" si="17"/>
        <v>L</v>
      </c>
      <c r="R106" s="394"/>
      <c r="S106" s="394"/>
      <c r="T106" s="394"/>
      <c r="V106" s="16">
        <f t="shared" si="18"/>
        <v>6480</v>
      </c>
    </row>
    <row r="107" spans="1:22" ht="14.1" customHeight="1">
      <c r="A107" s="377">
        <v>108</v>
      </c>
      <c r="B107" s="620" t="s">
        <v>370</v>
      </c>
      <c r="C107" s="618" t="s">
        <v>468</v>
      </c>
      <c r="D107" s="619">
        <v>115</v>
      </c>
      <c r="E107" s="622" t="s">
        <v>385</v>
      </c>
      <c r="F107" s="621" t="str">
        <f t="shared" si="10"/>
        <v>Sanitaire ruimten</v>
      </c>
      <c r="G107" s="622" t="s">
        <v>741</v>
      </c>
      <c r="H107" s="623">
        <v>11</v>
      </c>
      <c r="I107" s="635">
        <v>2210</v>
      </c>
      <c r="J107" s="395">
        <f t="shared" si="11"/>
        <v>210</v>
      </c>
      <c r="K107" s="396">
        <f t="shared" si="12"/>
        <v>0</v>
      </c>
      <c r="L107" s="396">
        <f t="shared" si="13"/>
        <v>0</v>
      </c>
      <c r="M107" s="396">
        <f t="shared" si="14"/>
        <v>0</v>
      </c>
      <c r="N107" s="396">
        <f t="shared" si="15"/>
        <v>0</v>
      </c>
      <c r="O107" s="396">
        <f t="shared" si="16"/>
        <v>0</v>
      </c>
      <c r="P107" s="396">
        <f t="shared" si="19"/>
        <v>0</v>
      </c>
      <c r="Q107" s="397" t="str">
        <f t="shared" si="17"/>
        <v>S</v>
      </c>
      <c r="R107" s="394"/>
      <c r="S107" s="394"/>
      <c r="T107" s="394"/>
      <c r="V107" s="16">
        <f t="shared" si="18"/>
        <v>2310</v>
      </c>
    </row>
    <row r="108" spans="1:22" ht="14.1" customHeight="1">
      <c r="A108" s="377">
        <v>109</v>
      </c>
      <c r="B108" s="620" t="s">
        <v>370</v>
      </c>
      <c r="C108" s="633" t="s">
        <v>468</v>
      </c>
      <c r="D108" s="634">
        <v>116</v>
      </c>
      <c r="E108" s="624" t="s">
        <v>387</v>
      </c>
      <c r="F108" s="621" t="str">
        <f t="shared" si="10"/>
        <v>Sanitaire ruimten</v>
      </c>
      <c r="G108" s="622" t="s">
        <v>741</v>
      </c>
      <c r="H108" s="623">
        <v>11</v>
      </c>
      <c r="I108" s="635">
        <v>2210</v>
      </c>
      <c r="J108" s="395">
        <f t="shared" si="11"/>
        <v>210</v>
      </c>
      <c r="K108" s="396">
        <f t="shared" si="12"/>
        <v>0</v>
      </c>
      <c r="L108" s="396">
        <f t="shared" si="13"/>
        <v>0</v>
      </c>
      <c r="M108" s="396">
        <f t="shared" si="14"/>
        <v>0</v>
      </c>
      <c r="N108" s="396">
        <f t="shared" si="15"/>
        <v>0</v>
      </c>
      <c r="O108" s="396">
        <f t="shared" si="16"/>
        <v>0</v>
      </c>
      <c r="P108" s="396">
        <f t="shared" si="19"/>
        <v>0</v>
      </c>
      <c r="Q108" s="397" t="str">
        <f t="shared" si="17"/>
        <v>S</v>
      </c>
      <c r="R108" s="394"/>
      <c r="S108" s="394"/>
      <c r="T108" s="394"/>
      <c r="V108" s="16">
        <f t="shared" si="18"/>
        <v>2310</v>
      </c>
    </row>
    <row r="109" spans="1:22" ht="14.1" customHeight="1">
      <c r="A109" s="377">
        <v>110</v>
      </c>
      <c r="B109" s="631" t="s">
        <v>370</v>
      </c>
      <c r="C109" s="618" t="s">
        <v>468</v>
      </c>
      <c r="D109" s="619">
        <v>117</v>
      </c>
      <c r="E109" s="630" t="s">
        <v>480</v>
      </c>
      <c r="F109" s="621" t="str">
        <f t="shared" si="10"/>
        <v>Leslokalen</v>
      </c>
      <c r="G109" s="626" t="s">
        <v>739</v>
      </c>
      <c r="H109" s="623">
        <v>54</v>
      </c>
      <c r="I109" s="635">
        <v>13120</v>
      </c>
      <c r="J109" s="395">
        <f t="shared" si="11"/>
        <v>120</v>
      </c>
      <c r="K109" s="396">
        <f t="shared" si="12"/>
        <v>0</v>
      </c>
      <c r="L109" s="396">
        <f t="shared" si="13"/>
        <v>0</v>
      </c>
      <c r="M109" s="396">
        <f t="shared" si="14"/>
        <v>0</v>
      </c>
      <c r="N109" s="396">
        <f t="shared" si="15"/>
        <v>0</v>
      </c>
      <c r="O109" s="396">
        <f t="shared" si="16"/>
        <v>0</v>
      </c>
      <c r="P109" s="396">
        <f t="shared" si="19"/>
        <v>0</v>
      </c>
      <c r="Q109" s="397" t="str">
        <f t="shared" si="17"/>
        <v>L</v>
      </c>
      <c r="R109" s="394"/>
      <c r="S109" s="394"/>
      <c r="T109" s="394"/>
      <c r="V109" s="16">
        <f t="shared" si="18"/>
        <v>6480</v>
      </c>
    </row>
    <row r="110" spans="1:22" ht="14.1" customHeight="1">
      <c r="A110" s="377">
        <v>111</v>
      </c>
      <c r="B110" s="620" t="s">
        <v>370</v>
      </c>
      <c r="C110" s="627" t="s">
        <v>468</v>
      </c>
      <c r="D110" s="628">
        <v>118</v>
      </c>
      <c r="E110" s="629" t="s">
        <v>481</v>
      </c>
      <c r="F110" s="621" t="str">
        <f t="shared" si="10"/>
        <v>Leslokalen</v>
      </c>
      <c r="G110" s="622" t="s">
        <v>739</v>
      </c>
      <c r="H110" s="623">
        <v>54</v>
      </c>
      <c r="I110" s="635">
        <v>13120</v>
      </c>
      <c r="J110" s="395">
        <f t="shared" si="11"/>
        <v>120</v>
      </c>
      <c r="K110" s="396">
        <f t="shared" si="12"/>
        <v>0</v>
      </c>
      <c r="L110" s="396">
        <f t="shared" si="13"/>
        <v>0</v>
      </c>
      <c r="M110" s="396">
        <f t="shared" si="14"/>
        <v>0</v>
      </c>
      <c r="N110" s="396">
        <f t="shared" si="15"/>
        <v>0</v>
      </c>
      <c r="O110" s="396">
        <f t="shared" si="16"/>
        <v>0</v>
      </c>
      <c r="P110" s="396">
        <f t="shared" si="19"/>
        <v>0</v>
      </c>
      <c r="Q110" s="397" t="str">
        <f t="shared" si="17"/>
        <v>L</v>
      </c>
      <c r="R110" s="394"/>
      <c r="S110" s="394"/>
      <c r="T110" s="394"/>
      <c r="V110" s="16">
        <f t="shared" si="18"/>
        <v>6480</v>
      </c>
    </row>
    <row r="111" spans="1:22" ht="14.1" customHeight="1">
      <c r="A111" s="377">
        <v>112</v>
      </c>
      <c r="B111" s="620" t="s">
        <v>370</v>
      </c>
      <c r="C111" s="618" t="s">
        <v>468</v>
      </c>
      <c r="D111" s="619">
        <v>119</v>
      </c>
      <c r="E111" s="622" t="s">
        <v>482</v>
      </c>
      <c r="F111" s="621" t="str">
        <f t="shared" si="10"/>
        <v>Leslokalen</v>
      </c>
      <c r="G111" s="622" t="s">
        <v>739</v>
      </c>
      <c r="H111" s="623">
        <v>54</v>
      </c>
      <c r="I111" s="635">
        <v>13120</v>
      </c>
      <c r="J111" s="395">
        <f t="shared" si="11"/>
        <v>120</v>
      </c>
      <c r="K111" s="396">
        <f t="shared" si="12"/>
        <v>0</v>
      </c>
      <c r="L111" s="396">
        <f t="shared" si="13"/>
        <v>0</v>
      </c>
      <c r="M111" s="396">
        <f t="shared" si="14"/>
        <v>0</v>
      </c>
      <c r="N111" s="396">
        <f t="shared" si="15"/>
        <v>0</v>
      </c>
      <c r="O111" s="396">
        <f t="shared" si="16"/>
        <v>0</v>
      </c>
      <c r="P111" s="396">
        <f t="shared" si="19"/>
        <v>0</v>
      </c>
      <c r="Q111" s="397" t="str">
        <f t="shared" si="17"/>
        <v>L</v>
      </c>
      <c r="R111" s="394"/>
      <c r="S111" s="394"/>
      <c r="T111" s="394"/>
      <c r="V111" s="16">
        <f t="shared" si="18"/>
        <v>6480</v>
      </c>
    </row>
    <row r="112" spans="1:22" ht="14.1" customHeight="1">
      <c r="A112" s="377">
        <v>113</v>
      </c>
      <c r="B112" s="620" t="s">
        <v>370</v>
      </c>
      <c r="C112" s="618" t="s">
        <v>468</v>
      </c>
      <c r="D112" s="619">
        <v>120</v>
      </c>
      <c r="E112" s="622" t="s">
        <v>483</v>
      </c>
      <c r="F112" s="621" t="str">
        <f t="shared" si="10"/>
        <v>Leslokalen</v>
      </c>
      <c r="G112" s="622" t="s">
        <v>739</v>
      </c>
      <c r="H112" s="623">
        <v>54</v>
      </c>
      <c r="I112" s="635">
        <v>13120</v>
      </c>
      <c r="J112" s="395">
        <f t="shared" si="11"/>
        <v>120</v>
      </c>
      <c r="K112" s="396">
        <f t="shared" si="12"/>
        <v>0</v>
      </c>
      <c r="L112" s="396">
        <f t="shared" si="13"/>
        <v>0</v>
      </c>
      <c r="M112" s="396">
        <f t="shared" si="14"/>
        <v>0</v>
      </c>
      <c r="N112" s="396">
        <f t="shared" si="15"/>
        <v>0</v>
      </c>
      <c r="O112" s="396">
        <f t="shared" si="16"/>
        <v>0</v>
      </c>
      <c r="P112" s="396">
        <f t="shared" si="19"/>
        <v>0</v>
      </c>
      <c r="Q112" s="397" t="str">
        <f t="shared" si="17"/>
        <v>L</v>
      </c>
      <c r="R112" s="394"/>
      <c r="S112" s="394"/>
      <c r="T112" s="394"/>
      <c r="V112" s="16">
        <f t="shared" si="18"/>
        <v>6480</v>
      </c>
    </row>
    <row r="113" spans="1:22" ht="14.1" customHeight="1">
      <c r="A113" s="377">
        <v>114</v>
      </c>
      <c r="B113" s="620" t="s">
        <v>370</v>
      </c>
      <c r="C113" s="618" t="s">
        <v>468</v>
      </c>
      <c r="D113" s="619">
        <v>121</v>
      </c>
      <c r="E113" s="622" t="s">
        <v>395</v>
      </c>
      <c r="F113" s="621" t="str">
        <f t="shared" si="10"/>
        <v>Gangen en hallen</v>
      </c>
      <c r="G113" s="622" t="s">
        <v>392</v>
      </c>
      <c r="H113" s="623">
        <v>46</v>
      </c>
      <c r="I113" s="635">
        <v>3200</v>
      </c>
      <c r="J113" s="395">
        <f t="shared" si="11"/>
        <v>200</v>
      </c>
      <c r="K113" s="396">
        <f t="shared" si="12"/>
        <v>0</v>
      </c>
      <c r="L113" s="396">
        <f t="shared" si="13"/>
        <v>0</v>
      </c>
      <c r="M113" s="396">
        <f t="shared" si="14"/>
        <v>0</v>
      </c>
      <c r="N113" s="396">
        <f t="shared" si="15"/>
        <v>0</v>
      </c>
      <c r="O113" s="396">
        <f t="shared" si="16"/>
        <v>0</v>
      </c>
      <c r="P113" s="396">
        <f t="shared" si="19"/>
        <v>0</v>
      </c>
      <c r="Q113" s="397" t="str">
        <f t="shared" si="17"/>
        <v>V</v>
      </c>
      <c r="R113" s="394"/>
      <c r="S113" s="394"/>
      <c r="T113" s="394"/>
      <c r="V113" s="16">
        <f t="shared" si="18"/>
        <v>9200</v>
      </c>
    </row>
    <row r="114" spans="1:22" ht="14.1" customHeight="1">
      <c r="A114" s="377">
        <v>115</v>
      </c>
      <c r="B114" s="620" t="s">
        <v>370</v>
      </c>
      <c r="C114" s="618" t="s">
        <v>468</v>
      </c>
      <c r="D114" s="619">
        <v>122</v>
      </c>
      <c r="E114" s="622" t="s">
        <v>484</v>
      </c>
      <c r="F114" s="621" t="str">
        <f t="shared" si="10"/>
        <v>Leslokalen</v>
      </c>
      <c r="G114" s="622" t="s">
        <v>392</v>
      </c>
      <c r="H114" s="623">
        <v>54</v>
      </c>
      <c r="I114" s="635">
        <v>13120</v>
      </c>
      <c r="J114" s="395">
        <f t="shared" si="11"/>
        <v>120</v>
      </c>
      <c r="K114" s="396">
        <f t="shared" si="12"/>
        <v>0</v>
      </c>
      <c r="L114" s="396">
        <f t="shared" si="13"/>
        <v>0</v>
      </c>
      <c r="M114" s="396">
        <f t="shared" si="14"/>
        <v>0</v>
      </c>
      <c r="N114" s="396">
        <f t="shared" si="15"/>
        <v>0</v>
      </c>
      <c r="O114" s="396">
        <f t="shared" si="16"/>
        <v>0</v>
      </c>
      <c r="P114" s="396">
        <f t="shared" si="19"/>
        <v>0</v>
      </c>
      <c r="Q114" s="397" t="str">
        <f t="shared" si="17"/>
        <v>L</v>
      </c>
      <c r="R114" s="394"/>
      <c r="S114" s="394"/>
      <c r="T114" s="394"/>
      <c r="V114" s="16">
        <f t="shared" si="18"/>
        <v>6480</v>
      </c>
    </row>
    <row r="115" spans="1:22" ht="14.1" customHeight="1">
      <c r="A115" s="377">
        <v>116</v>
      </c>
      <c r="B115" s="620" t="s">
        <v>370</v>
      </c>
      <c r="C115" s="618" t="s">
        <v>468</v>
      </c>
      <c r="D115" s="619">
        <v>123</v>
      </c>
      <c r="E115" s="622" t="s">
        <v>485</v>
      </c>
      <c r="F115" s="621" t="str">
        <f t="shared" si="10"/>
        <v>Leslokalen</v>
      </c>
      <c r="G115" s="622" t="s">
        <v>392</v>
      </c>
      <c r="H115" s="623">
        <v>16</v>
      </c>
      <c r="I115" s="635">
        <v>13120</v>
      </c>
      <c r="J115" s="395">
        <f t="shared" si="11"/>
        <v>120</v>
      </c>
      <c r="K115" s="396">
        <f t="shared" si="12"/>
        <v>0</v>
      </c>
      <c r="L115" s="396">
        <f t="shared" si="13"/>
        <v>0</v>
      </c>
      <c r="M115" s="396">
        <f t="shared" si="14"/>
        <v>0</v>
      </c>
      <c r="N115" s="396">
        <f t="shared" si="15"/>
        <v>0</v>
      </c>
      <c r="O115" s="396">
        <f t="shared" si="16"/>
        <v>0</v>
      </c>
      <c r="P115" s="396">
        <f t="shared" si="19"/>
        <v>0</v>
      </c>
      <c r="Q115" s="397" t="str">
        <f t="shared" si="17"/>
        <v>L</v>
      </c>
      <c r="R115" s="394"/>
      <c r="S115" s="394"/>
      <c r="T115" s="394"/>
      <c r="V115" s="16">
        <f t="shared" si="18"/>
        <v>1920</v>
      </c>
    </row>
    <row r="116" spans="1:22" ht="14.1" customHeight="1">
      <c r="A116" s="377">
        <v>117</v>
      </c>
      <c r="B116" s="620" t="s">
        <v>370</v>
      </c>
      <c r="C116" s="618" t="s">
        <v>468</v>
      </c>
      <c r="D116" s="619">
        <v>124</v>
      </c>
      <c r="E116" s="622" t="s">
        <v>486</v>
      </c>
      <c r="F116" s="621" t="str">
        <f t="shared" si="10"/>
        <v>Leslokalen praktijk</v>
      </c>
      <c r="G116" s="622" t="s">
        <v>402</v>
      </c>
      <c r="H116" s="623">
        <v>151</v>
      </c>
      <c r="I116" s="635">
        <v>16200</v>
      </c>
      <c r="J116" s="395">
        <f t="shared" si="11"/>
        <v>200</v>
      </c>
      <c r="K116" s="396">
        <f t="shared" si="12"/>
        <v>0</v>
      </c>
      <c r="L116" s="396">
        <f t="shared" si="13"/>
        <v>0</v>
      </c>
      <c r="M116" s="396">
        <f t="shared" si="14"/>
        <v>0</v>
      </c>
      <c r="N116" s="396">
        <f t="shared" si="15"/>
        <v>0</v>
      </c>
      <c r="O116" s="396">
        <f t="shared" si="16"/>
        <v>0</v>
      </c>
      <c r="P116" s="396">
        <f t="shared" si="19"/>
        <v>0</v>
      </c>
      <c r="Q116" s="397" t="str">
        <f t="shared" si="17"/>
        <v>L</v>
      </c>
      <c r="R116" s="394"/>
      <c r="S116" s="394"/>
      <c r="T116" s="394"/>
      <c r="V116" s="16">
        <f t="shared" si="18"/>
        <v>30200</v>
      </c>
    </row>
    <row r="117" spans="1:22" ht="14.1" customHeight="1">
      <c r="A117" s="377">
        <v>118</v>
      </c>
      <c r="B117" s="620" t="s">
        <v>370</v>
      </c>
      <c r="C117" s="618" t="s">
        <v>468</v>
      </c>
      <c r="D117" s="619">
        <v>125</v>
      </c>
      <c r="E117" s="622" t="s">
        <v>487</v>
      </c>
      <c r="F117" s="621" t="str">
        <f t="shared" si="10"/>
        <v>Opslagruimten</v>
      </c>
      <c r="G117" s="622" t="s">
        <v>392</v>
      </c>
      <c r="H117" s="623">
        <v>30</v>
      </c>
      <c r="I117" s="635">
        <v>14012</v>
      </c>
      <c r="J117" s="395">
        <f t="shared" si="11"/>
        <v>12</v>
      </c>
      <c r="K117" s="396">
        <f t="shared" si="12"/>
        <v>0</v>
      </c>
      <c r="L117" s="396">
        <f t="shared" si="13"/>
        <v>0</v>
      </c>
      <c r="M117" s="396">
        <f t="shared" si="14"/>
        <v>0</v>
      </c>
      <c r="N117" s="396">
        <f t="shared" si="15"/>
        <v>0</v>
      </c>
      <c r="O117" s="396">
        <f t="shared" si="16"/>
        <v>0</v>
      </c>
      <c r="P117" s="396">
        <f t="shared" si="19"/>
        <v>0</v>
      </c>
      <c r="Q117" s="397" t="str">
        <f t="shared" si="17"/>
        <v>V</v>
      </c>
      <c r="R117" s="394"/>
      <c r="S117" s="394"/>
      <c r="T117" s="394"/>
      <c r="V117" s="16">
        <f t="shared" si="18"/>
        <v>360</v>
      </c>
    </row>
    <row r="118" spans="1:22" ht="14.1" customHeight="1">
      <c r="A118" s="377">
        <v>119</v>
      </c>
      <c r="B118" s="620" t="s">
        <v>370</v>
      </c>
      <c r="C118" s="618" t="s">
        <v>468</v>
      </c>
      <c r="D118" s="619">
        <v>126</v>
      </c>
      <c r="E118" s="622" t="s">
        <v>488</v>
      </c>
      <c r="F118" s="621" t="str">
        <f t="shared" si="10"/>
        <v>Administratieve ruimten</v>
      </c>
      <c r="G118" s="622" t="s">
        <v>465</v>
      </c>
      <c r="H118" s="623">
        <v>18</v>
      </c>
      <c r="I118" s="635">
        <v>1126</v>
      </c>
      <c r="J118" s="395">
        <f t="shared" si="11"/>
        <v>126</v>
      </c>
      <c r="K118" s="396">
        <f t="shared" si="12"/>
        <v>0</v>
      </c>
      <c r="L118" s="396">
        <f t="shared" si="13"/>
        <v>0</v>
      </c>
      <c r="M118" s="396">
        <f t="shared" si="14"/>
        <v>0</v>
      </c>
      <c r="N118" s="396">
        <f t="shared" si="15"/>
        <v>0</v>
      </c>
      <c r="O118" s="396">
        <f t="shared" si="16"/>
        <v>0</v>
      </c>
      <c r="P118" s="396">
        <f t="shared" si="19"/>
        <v>0</v>
      </c>
      <c r="Q118" s="397" t="str">
        <f t="shared" si="17"/>
        <v>B</v>
      </c>
      <c r="R118" s="394"/>
      <c r="S118" s="394"/>
      <c r="T118" s="394"/>
      <c r="V118" s="16">
        <f t="shared" si="18"/>
        <v>2268</v>
      </c>
    </row>
    <row r="119" spans="1:22" ht="14.1" customHeight="1">
      <c r="A119" s="377">
        <v>120</v>
      </c>
      <c r="B119" s="620" t="s">
        <v>370</v>
      </c>
      <c r="C119" s="618" t="s">
        <v>468</v>
      </c>
      <c r="D119" s="619">
        <v>127</v>
      </c>
      <c r="E119" s="622" t="s">
        <v>489</v>
      </c>
      <c r="F119" s="621" t="str">
        <f t="shared" si="10"/>
        <v>Trappenhuizen</v>
      </c>
      <c r="G119" s="622" t="s">
        <v>490</v>
      </c>
      <c r="H119" s="623">
        <v>12</v>
      </c>
      <c r="I119" s="635">
        <v>5200</v>
      </c>
      <c r="J119" s="395">
        <f t="shared" si="11"/>
        <v>200</v>
      </c>
      <c r="K119" s="396">
        <f t="shared" si="12"/>
        <v>0</v>
      </c>
      <c r="L119" s="396">
        <f t="shared" si="13"/>
        <v>0</v>
      </c>
      <c r="M119" s="396">
        <f t="shared" si="14"/>
        <v>0</v>
      </c>
      <c r="N119" s="396">
        <f t="shared" si="15"/>
        <v>0</v>
      </c>
      <c r="O119" s="396">
        <f t="shared" si="16"/>
        <v>0</v>
      </c>
      <c r="P119" s="396">
        <f t="shared" si="19"/>
        <v>0</v>
      </c>
      <c r="Q119" s="397" t="str">
        <f t="shared" si="17"/>
        <v>V</v>
      </c>
      <c r="R119" s="394"/>
      <c r="S119" s="394"/>
      <c r="T119" s="394"/>
      <c r="V119" s="16">
        <f t="shared" si="18"/>
        <v>2400</v>
      </c>
    </row>
    <row r="120" spans="1:22" ht="14.1" customHeight="1">
      <c r="A120" s="377">
        <v>121</v>
      </c>
      <c r="B120" s="620" t="s">
        <v>370</v>
      </c>
      <c r="C120" s="618" t="s">
        <v>468</v>
      </c>
      <c r="D120" s="619"/>
      <c r="E120" s="622" t="s">
        <v>398</v>
      </c>
      <c r="F120" s="621" t="str">
        <f t="shared" si="10"/>
        <v>Gangen en hallen</v>
      </c>
      <c r="G120" s="622" t="s">
        <v>392</v>
      </c>
      <c r="H120" s="623">
        <v>79.099999999999994</v>
      </c>
      <c r="I120" s="635">
        <v>3200</v>
      </c>
      <c r="J120" s="395">
        <f t="shared" si="11"/>
        <v>200</v>
      </c>
      <c r="K120" s="396">
        <f t="shared" si="12"/>
        <v>0</v>
      </c>
      <c r="L120" s="396">
        <f t="shared" si="13"/>
        <v>0</v>
      </c>
      <c r="M120" s="396">
        <f t="shared" si="14"/>
        <v>0</v>
      </c>
      <c r="N120" s="396">
        <f t="shared" si="15"/>
        <v>0</v>
      </c>
      <c r="O120" s="396">
        <f t="shared" si="16"/>
        <v>0</v>
      </c>
      <c r="P120" s="396">
        <f t="shared" si="19"/>
        <v>0</v>
      </c>
      <c r="Q120" s="397" t="str">
        <f t="shared" si="17"/>
        <v>V</v>
      </c>
      <c r="R120" s="394"/>
      <c r="S120" s="394"/>
      <c r="T120" s="394"/>
      <c r="V120" s="16">
        <f t="shared" si="18"/>
        <v>15819.999999999998</v>
      </c>
    </row>
    <row r="121" spans="1:22" ht="14.1" customHeight="1">
      <c r="A121" s="377">
        <v>122</v>
      </c>
      <c r="B121" s="620" t="s">
        <v>370</v>
      </c>
      <c r="C121" s="618" t="s">
        <v>468</v>
      </c>
      <c r="D121" s="619"/>
      <c r="E121" s="622" t="s">
        <v>491</v>
      </c>
      <c r="F121" s="621" t="str">
        <f t="shared" si="10"/>
        <v>Opslagruimten</v>
      </c>
      <c r="G121" s="622" t="s">
        <v>392</v>
      </c>
      <c r="H121" s="623">
        <v>28.9</v>
      </c>
      <c r="I121" s="635">
        <v>14040</v>
      </c>
      <c r="J121" s="395">
        <f t="shared" si="11"/>
        <v>40</v>
      </c>
      <c r="K121" s="396">
        <f t="shared" si="12"/>
        <v>0</v>
      </c>
      <c r="L121" s="396">
        <f t="shared" si="13"/>
        <v>0</v>
      </c>
      <c r="M121" s="396">
        <f t="shared" si="14"/>
        <v>0</v>
      </c>
      <c r="N121" s="396">
        <f t="shared" si="15"/>
        <v>0</v>
      </c>
      <c r="O121" s="396">
        <f t="shared" si="16"/>
        <v>0</v>
      </c>
      <c r="P121" s="396">
        <f t="shared" si="19"/>
        <v>0</v>
      </c>
      <c r="Q121" s="397" t="str">
        <f t="shared" si="17"/>
        <v>V</v>
      </c>
      <c r="R121" s="394"/>
      <c r="S121" s="394"/>
      <c r="T121" s="394"/>
      <c r="V121" s="16">
        <f t="shared" si="18"/>
        <v>1156</v>
      </c>
    </row>
    <row r="122" spans="1:22" ht="14.1" customHeight="1">
      <c r="A122" s="377">
        <v>123</v>
      </c>
      <c r="B122" s="620" t="s">
        <v>370</v>
      </c>
      <c r="C122" s="618" t="s">
        <v>468</v>
      </c>
      <c r="D122" s="619"/>
      <c r="E122" s="622" t="s">
        <v>492</v>
      </c>
      <c r="F122" s="621" t="str">
        <f t="shared" si="10"/>
        <v>Leslokalen</v>
      </c>
      <c r="G122" s="622" t="s">
        <v>493</v>
      </c>
      <c r="H122" s="623">
        <v>83.6</v>
      </c>
      <c r="I122" s="635">
        <v>13120</v>
      </c>
      <c r="J122" s="395">
        <f t="shared" si="11"/>
        <v>120</v>
      </c>
      <c r="K122" s="396">
        <f t="shared" si="12"/>
        <v>0</v>
      </c>
      <c r="L122" s="396">
        <f t="shared" si="13"/>
        <v>0</v>
      </c>
      <c r="M122" s="396">
        <f t="shared" si="14"/>
        <v>0</v>
      </c>
      <c r="N122" s="396">
        <f t="shared" si="15"/>
        <v>0</v>
      </c>
      <c r="O122" s="396">
        <f t="shared" si="16"/>
        <v>0</v>
      </c>
      <c r="P122" s="396">
        <f t="shared" si="19"/>
        <v>0</v>
      </c>
      <c r="Q122" s="397" t="str">
        <f t="shared" si="17"/>
        <v>L</v>
      </c>
      <c r="R122" s="394"/>
      <c r="S122" s="394"/>
      <c r="T122" s="394"/>
      <c r="V122" s="16">
        <f t="shared" si="18"/>
        <v>10032</v>
      </c>
    </row>
    <row r="123" spans="1:22" ht="14.1" customHeight="1">
      <c r="A123" s="377">
        <v>124</v>
      </c>
      <c r="B123" s="620" t="s">
        <v>370</v>
      </c>
      <c r="C123" s="618" t="s">
        <v>468</v>
      </c>
      <c r="D123" s="619"/>
      <c r="E123" s="622" t="s">
        <v>494</v>
      </c>
      <c r="F123" s="621" t="str">
        <f t="shared" si="10"/>
        <v>Leslokalen</v>
      </c>
      <c r="G123" s="622" t="s">
        <v>493</v>
      </c>
      <c r="H123" s="623">
        <v>29.6</v>
      </c>
      <c r="I123" s="635">
        <v>13120</v>
      </c>
      <c r="J123" s="395">
        <f t="shared" si="11"/>
        <v>120</v>
      </c>
      <c r="K123" s="396">
        <f t="shared" si="12"/>
        <v>0</v>
      </c>
      <c r="L123" s="396">
        <f t="shared" si="13"/>
        <v>0</v>
      </c>
      <c r="M123" s="396">
        <f t="shared" si="14"/>
        <v>0</v>
      </c>
      <c r="N123" s="396">
        <f t="shared" si="15"/>
        <v>0</v>
      </c>
      <c r="O123" s="396">
        <f t="shared" si="16"/>
        <v>0</v>
      </c>
      <c r="P123" s="396">
        <f t="shared" si="19"/>
        <v>0</v>
      </c>
      <c r="Q123" s="397" t="str">
        <f t="shared" si="17"/>
        <v>L</v>
      </c>
      <c r="R123" s="394"/>
      <c r="S123" s="394"/>
      <c r="T123" s="394"/>
      <c r="V123" s="16">
        <f t="shared" si="18"/>
        <v>3552</v>
      </c>
    </row>
    <row r="124" spans="1:22" ht="14.1" customHeight="1">
      <c r="A124" s="377">
        <v>125</v>
      </c>
      <c r="B124" s="620" t="s">
        <v>370</v>
      </c>
      <c r="C124" s="618" t="s">
        <v>468</v>
      </c>
      <c r="D124" s="619"/>
      <c r="E124" s="622" t="s">
        <v>495</v>
      </c>
      <c r="F124" s="621" t="str">
        <f t="shared" si="10"/>
        <v>Leslokalen</v>
      </c>
      <c r="G124" s="622" t="s">
        <v>493</v>
      </c>
      <c r="H124" s="623">
        <v>93.5</v>
      </c>
      <c r="I124" s="635">
        <v>13120</v>
      </c>
      <c r="J124" s="395">
        <f t="shared" si="11"/>
        <v>120</v>
      </c>
      <c r="K124" s="396">
        <f t="shared" si="12"/>
        <v>0</v>
      </c>
      <c r="L124" s="396">
        <f t="shared" si="13"/>
        <v>0</v>
      </c>
      <c r="M124" s="396">
        <f t="shared" si="14"/>
        <v>0</v>
      </c>
      <c r="N124" s="396">
        <f t="shared" si="15"/>
        <v>0</v>
      </c>
      <c r="O124" s="396">
        <f t="shared" si="16"/>
        <v>0</v>
      </c>
      <c r="P124" s="396">
        <f t="shared" si="19"/>
        <v>0</v>
      </c>
      <c r="Q124" s="397" t="str">
        <f t="shared" si="17"/>
        <v>L</v>
      </c>
      <c r="R124" s="394"/>
      <c r="S124" s="394"/>
      <c r="T124" s="394"/>
      <c r="V124" s="16">
        <f t="shared" si="18"/>
        <v>11220</v>
      </c>
    </row>
    <row r="125" spans="1:22" ht="14.1" customHeight="1">
      <c r="A125" s="377">
        <v>126</v>
      </c>
      <c r="B125" s="620" t="s">
        <v>370</v>
      </c>
      <c r="C125" s="618" t="s">
        <v>468</v>
      </c>
      <c r="D125" s="619"/>
      <c r="E125" s="622" t="s">
        <v>398</v>
      </c>
      <c r="F125" s="621" t="str">
        <f t="shared" si="10"/>
        <v>Gangen en hallen</v>
      </c>
      <c r="G125" s="622" t="s">
        <v>392</v>
      </c>
      <c r="H125" s="623">
        <v>33.200000000000003</v>
      </c>
      <c r="I125" s="635">
        <v>3255</v>
      </c>
      <c r="J125" s="395">
        <f t="shared" si="11"/>
        <v>255</v>
      </c>
      <c r="K125" s="396">
        <f t="shared" si="12"/>
        <v>0</v>
      </c>
      <c r="L125" s="396">
        <f t="shared" si="13"/>
        <v>0</v>
      </c>
      <c r="M125" s="396">
        <f t="shared" si="14"/>
        <v>0</v>
      </c>
      <c r="N125" s="396">
        <f t="shared" si="15"/>
        <v>0</v>
      </c>
      <c r="O125" s="396">
        <f t="shared" si="16"/>
        <v>0</v>
      </c>
      <c r="P125" s="396">
        <f t="shared" si="19"/>
        <v>0</v>
      </c>
      <c r="Q125" s="397" t="str">
        <f t="shared" si="17"/>
        <v>V</v>
      </c>
      <c r="R125" s="394"/>
      <c r="S125" s="394"/>
      <c r="T125" s="394"/>
      <c r="V125" s="16">
        <f t="shared" si="18"/>
        <v>8466</v>
      </c>
    </row>
    <row r="126" spans="1:22" ht="14.1" customHeight="1">
      <c r="A126" s="377">
        <v>127</v>
      </c>
      <c r="B126" s="620" t="s">
        <v>370</v>
      </c>
      <c r="C126" s="618" t="s">
        <v>468</v>
      </c>
      <c r="D126" s="619"/>
      <c r="E126" s="622" t="s">
        <v>496</v>
      </c>
      <c r="F126" s="621" t="str">
        <f t="shared" si="10"/>
        <v>Trappenhuizen</v>
      </c>
      <c r="G126" s="622" t="s">
        <v>392</v>
      </c>
      <c r="H126" s="623">
        <v>12.4</v>
      </c>
      <c r="I126" s="635">
        <v>5200</v>
      </c>
      <c r="J126" s="395">
        <f t="shared" si="11"/>
        <v>200</v>
      </c>
      <c r="K126" s="396">
        <f t="shared" si="12"/>
        <v>0</v>
      </c>
      <c r="L126" s="396">
        <f t="shared" si="13"/>
        <v>0</v>
      </c>
      <c r="M126" s="396">
        <f t="shared" si="14"/>
        <v>0</v>
      </c>
      <c r="N126" s="396">
        <f t="shared" si="15"/>
        <v>0</v>
      </c>
      <c r="O126" s="396">
        <f t="shared" si="16"/>
        <v>0</v>
      </c>
      <c r="P126" s="396">
        <f t="shared" si="19"/>
        <v>0</v>
      </c>
      <c r="Q126" s="397" t="str">
        <f t="shared" si="17"/>
        <v>V</v>
      </c>
      <c r="R126" s="394"/>
      <c r="S126" s="394"/>
      <c r="T126" s="394"/>
      <c r="V126" s="16">
        <f t="shared" si="18"/>
        <v>2480</v>
      </c>
    </row>
    <row r="127" spans="1:22" ht="14.1" customHeight="1">
      <c r="A127" s="377">
        <v>128</v>
      </c>
      <c r="B127" s="620" t="s">
        <v>370</v>
      </c>
      <c r="C127" s="618" t="s">
        <v>468</v>
      </c>
      <c r="D127" s="619"/>
      <c r="E127" s="622" t="s">
        <v>497</v>
      </c>
      <c r="F127" s="621" t="str">
        <f t="shared" si="10"/>
        <v>Sanitaire ruimten</v>
      </c>
      <c r="G127" s="622" t="s">
        <v>498</v>
      </c>
      <c r="H127" s="623">
        <v>7.2</v>
      </c>
      <c r="I127" s="635">
        <v>2210</v>
      </c>
      <c r="J127" s="395">
        <f t="shared" si="11"/>
        <v>210</v>
      </c>
      <c r="K127" s="396">
        <f t="shared" si="12"/>
        <v>0</v>
      </c>
      <c r="L127" s="396">
        <f t="shared" si="13"/>
        <v>0</v>
      </c>
      <c r="M127" s="396">
        <f t="shared" si="14"/>
        <v>0</v>
      </c>
      <c r="N127" s="396">
        <f t="shared" si="15"/>
        <v>0</v>
      </c>
      <c r="O127" s="396">
        <f t="shared" si="16"/>
        <v>0</v>
      </c>
      <c r="P127" s="396">
        <f t="shared" si="19"/>
        <v>0</v>
      </c>
      <c r="Q127" s="397" t="str">
        <f t="shared" si="17"/>
        <v>S</v>
      </c>
      <c r="R127" s="394"/>
      <c r="S127" s="394"/>
      <c r="T127" s="394"/>
      <c r="V127" s="16">
        <f t="shared" si="18"/>
        <v>1512</v>
      </c>
    </row>
    <row r="128" spans="1:22" ht="14.1" customHeight="1">
      <c r="A128" s="377">
        <v>129</v>
      </c>
      <c r="B128" s="620" t="s">
        <v>370</v>
      </c>
      <c r="C128" s="618" t="s">
        <v>468</v>
      </c>
      <c r="D128" s="619"/>
      <c r="E128" s="622" t="s">
        <v>499</v>
      </c>
      <c r="F128" s="621" t="str">
        <f t="shared" si="10"/>
        <v>Sanitaire ruimten</v>
      </c>
      <c r="G128" s="622" t="s">
        <v>498</v>
      </c>
      <c r="H128" s="623">
        <v>7.2</v>
      </c>
      <c r="I128" s="635">
        <v>2210</v>
      </c>
      <c r="J128" s="395">
        <f t="shared" si="11"/>
        <v>210</v>
      </c>
      <c r="K128" s="396">
        <f t="shared" si="12"/>
        <v>0</v>
      </c>
      <c r="L128" s="396">
        <f t="shared" si="13"/>
        <v>0</v>
      </c>
      <c r="M128" s="396">
        <f t="shared" si="14"/>
        <v>0</v>
      </c>
      <c r="N128" s="396">
        <f t="shared" si="15"/>
        <v>0</v>
      </c>
      <c r="O128" s="396">
        <f t="shared" si="16"/>
        <v>0</v>
      </c>
      <c r="P128" s="396">
        <f t="shared" si="19"/>
        <v>0</v>
      </c>
      <c r="Q128" s="397" t="str">
        <f t="shared" si="17"/>
        <v>S</v>
      </c>
      <c r="R128" s="394"/>
      <c r="S128" s="394"/>
      <c r="T128" s="394"/>
      <c r="V128" s="16">
        <f t="shared" si="18"/>
        <v>1512</v>
      </c>
    </row>
    <row r="129" spans="1:22" ht="14.1" customHeight="1">
      <c r="A129" s="377">
        <v>130</v>
      </c>
      <c r="B129" s="620" t="s">
        <v>370</v>
      </c>
      <c r="C129" s="618" t="s">
        <v>468</v>
      </c>
      <c r="D129" s="619"/>
      <c r="E129" s="622" t="s">
        <v>500</v>
      </c>
      <c r="F129" s="621" t="str">
        <f t="shared" si="10"/>
        <v>Administratieve ruimten</v>
      </c>
      <c r="G129" s="622" t="s">
        <v>392</v>
      </c>
      <c r="H129" s="623">
        <v>11</v>
      </c>
      <c r="I129" s="635">
        <v>1042</v>
      </c>
      <c r="J129" s="395">
        <f t="shared" si="11"/>
        <v>42</v>
      </c>
      <c r="K129" s="396">
        <f t="shared" si="12"/>
        <v>0</v>
      </c>
      <c r="L129" s="396">
        <f t="shared" si="13"/>
        <v>0</v>
      </c>
      <c r="M129" s="396">
        <f t="shared" si="14"/>
        <v>0</v>
      </c>
      <c r="N129" s="396">
        <f t="shared" si="15"/>
        <v>0</v>
      </c>
      <c r="O129" s="396">
        <f t="shared" si="16"/>
        <v>0</v>
      </c>
      <c r="P129" s="396">
        <f t="shared" si="19"/>
        <v>0</v>
      </c>
      <c r="Q129" s="397" t="str">
        <f t="shared" si="17"/>
        <v>B</v>
      </c>
      <c r="R129" s="394"/>
      <c r="S129" s="394"/>
      <c r="T129" s="394"/>
      <c r="V129" s="16">
        <f t="shared" si="18"/>
        <v>462</v>
      </c>
    </row>
    <row r="130" spans="1:22" ht="14.1" customHeight="1">
      <c r="A130" s="377">
        <v>131</v>
      </c>
      <c r="B130" s="620" t="s">
        <v>370</v>
      </c>
      <c r="C130" s="618" t="s">
        <v>468</v>
      </c>
      <c r="D130" s="619"/>
      <c r="E130" s="622" t="s">
        <v>501</v>
      </c>
      <c r="F130" s="621" t="str">
        <f t="shared" si="10"/>
        <v>Opslagruimten</v>
      </c>
      <c r="G130" s="622" t="s">
        <v>392</v>
      </c>
      <c r="H130" s="623">
        <v>3.2</v>
      </c>
      <c r="I130" s="635">
        <v>14012</v>
      </c>
      <c r="J130" s="395">
        <f t="shared" si="11"/>
        <v>12</v>
      </c>
      <c r="K130" s="396">
        <f t="shared" si="12"/>
        <v>0</v>
      </c>
      <c r="L130" s="396">
        <f t="shared" si="13"/>
        <v>0</v>
      </c>
      <c r="M130" s="396">
        <f t="shared" si="14"/>
        <v>0</v>
      </c>
      <c r="N130" s="396">
        <f t="shared" si="15"/>
        <v>0</v>
      </c>
      <c r="O130" s="396">
        <f t="shared" si="16"/>
        <v>0</v>
      </c>
      <c r="P130" s="396">
        <f t="shared" si="19"/>
        <v>0</v>
      </c>
      <c r="Q130" s="397" t="str">
        <f t="shared" si="17"/>
        <v>V</v>
      </c>
      <c r="R130" s="394"/>
      <c r="S130" s="394"/>
      <c r="T130" s="394"/>
      <c r="V130" s="16">
        <f t="shared" si="18"/>
        <v>38.400000000000006</v>
      </c>
    </row>
    <row r="131" spans="1:22" ht="14.1" customHeight="1">
      <c r="A131" s="377">
        <v>132</v>
      </c>
      <c r="B131" s="620" t="s">
        <v>370</v>
      </c>
      <c r="C131" s="618" t="s">
        <v>468</v>
      </c>
      <c r="D131" s="619"/>
      <c r="E131" s="622" t="s">
        <v>200</v>
      </c>
      <c r="F131" s="621" t="str">
        <f t="shared" si="10"/>
        <v>Administratieve ruimten</v>
      </c>
      <c r="G131" s="622" t="s">
        <v>465</v>
      </c>
      <c r="H131" s="623">
        <v>15</v>
      </c>
      <c r="I131" s="635">
        <v>1126</v>
      </c>
      <c r="J131" s="395">
        <f t="shared" si="11"/>
        <v>126</v>
      </c>
      <c r="K131" s="396">
        <f t="shared" si="12"/>
        <v>0</v>
      </c>
      <c r="L131" s="396">
        <f t="shared" si="13"/>
        <v>0</v>
      </c>
      <c r="M131" s="396">
        <f t="shared" si="14"/>
        <v>0</v>
      </c>
      <c r="N131" s="396">
        <f t="shared" si="15"/>
        <v>0</v>
      </c>
      <c r="O131" s="396">
        <f t="shared" si="16"/>
        <v>0</v>
      </c>
      <c r="P131" s="396">
        <f t="shared" si="19"/>
        <v>0</v>
      </c>
      <c r="Q131" s="397" t="str">
        <f t="shared" si="17"/>
        <v>B</v>
      </c>
      <c r="R131" s="394"/>
      <c r="S131" s="394"/>
      <c r="T131" s="394"/>
      <c r="V131" s="16">
        <f t="shared" si="18"/>
        <v>1890</v>
      </c>
    </row>
    <row r="132" spans="1:22" ht="14.1" customHeight="1">
      <c r="A132" s="377">
        <v>133</v>
      </c>
      <c r="B132" s="620" t="s">
        <v>370</v>
      </c>
      <c r="C132" s="618" t="s">
        <v>468</v>
      </c>
      <c r="D132" s="619"/>
      <c r="E132" s="622" t="s">
        <v>502</v>
      </c>
      <c r="F132" s="621" t="str">
        <f t="shared" si="10"/>
        <v>Leslokalen</v>
      </c>
      <c r="G132" s="622" t="s">
        <v>392</v>
      </c>
      <c r="H132" s="623">
        <v>98</v>
      </c>
      <c r="I132" s="635">
        <v>13120</v>
      </c>
      <c r="J132" s="395">
        <f t="shared" si="11"/>
        <v>120</v>
      </c>
      <c r="K132" s="396">
        <f t="shared" si="12"/>
        <v>0</v>
      </c>
      <c r="L132" s="396">
        <f t="shared" si="13"/>
        <v>0</v>
      </c>
      <c r="M132" s="396">
        <f t="shared" si="14"/>
        <v>0</v>
      </c>
      <c r="N132" s="396">
        <f t="shared" si="15"/>
        <v>0</v>
      </c>
      <c r="O132" s="396">
        <f t="shared" si="16"/>
        <v>0</v>
      </c>
      <c r="P132" s="396">
        <f t="shared" si="19"/>
        <v>0</v>
      </c>
      <c r="Q132" s="397" t="str">
        <f t="shared" si="17"/>
        <v>L</v>
      </c>
      <c r="R132" s="394"/>
      <c r="S132" s="394"/>
      <c r="T132" s="394"/>
      <c r="V132" s="16">
        <f t="shared" si="18"/>
        <v>11760</v>
      </c>
    </row>
    <row r="133" spans="1:22" ht="14.1" customHeight="1">
      <c r="A133" s="377">
        <v>134</v>
      </c>
      <c r="B133" s="620" t="s">
        <v>370</v>
      </c>
      <c r="C133" s="618" t="s">
        <v>468</v>
      </c>
      <c r="D133" s="619"/>
      <c r="E133" s="622" t="s">
        <v>503</v>
      </c>
      <c r="F133" s="621" t="str">
        <f t="shared" si="10"/>
        <v>Opslagruimten</v>
      </c>
      <c r="G133" s="622" t="s">
        <v>392</v>
      </c>
      <c r="H133" s="623">
        <v>9.6</v>
      </c>
      <c r="I133" s="635">
        <v>14012</v>
      </c>
      <c r="J133" s="395">
        <f t="shared" si="11"/>
        <v>12</v>
      </c>
      <c r="K133" s="396">
        <f t="shared" si="12"/>
        <v>0</v>
      </c>
      <c r="L133" s="396">
        <f t="shared" si="13"/>
        <v>0</v>
      </c>
      <c r="M133" s="396">
        <f t="shared" si="14"/>
        <v>0</v>
      </c>
      <c r="N133" s="396">
        <f t="shared" si="15"/>
        <v>0</v>
      </c>
      <c r="O133" s="396">
        <f t="shared" si="16"/>
        <v>0</v>
      </c>
      <c r="P133" s="396">
        <f t="shared" si="19"/>
        <v>0</v>
      </c>
      <c r="Q133" s="397" t="str">
        <f t="shared" si="17"/>
        <v>V</v>
      </c>
      <c r="R133" s="394"/>
      <c r="S133" s="394"/>
      <c r="T133" s="394"/>
      <c r="V133" s="16">
        <f t="shared" si="18"/>
        <v>115.19999999999999</v>
      </c>
    </row>
    <row r="134" spans="1:22" ht="14.1" customHeight="1">
      <c r="A134" s="377">
        <v>135</v>
      </c>
      <c r="B134" s="620" t="s">
        <v>504</v>
      </c>
      <c r="C134" s="618" t="s">
        <v>371</v>
      </c>
      <c r="D134" s="619" t="s">
        <v>372</v>
      </c>
      <c r="E134" s="622" t="s">
        <v>462</v>
      </c>
      <c r="F134" s="621" t="str">
        <f t="shared" si="10"/>
        <v>Gangen en hallen</v>
      </c>
      <c r="G134" s="622" t="s">
        <v>505</v>
      </c>
      <c r="H134" s="623">
        <v>5</v>
      </c>
      <c r="I134" s="635">
        <v>3210</v>
      </c>
      <c r="J134" s="395">
        <f t="shared" si="11"/>
        <v>210</v>
      </c>
      <c r="K134" s="396">
        <f t="shared" si="12"/>
        <v>0</v>
      </c>
      <c r="L134" s="396">
        <f t="shared" si="13"/>
        <v>0</v>
      </c>
      <c r="M134" s="396">
        <f t="shared" si="14"/>
        <v>0</v>
      </c>
      <c r="N134" s="396">
        <f t="shared" si="15"/>
        <v>0</v>
      </c>
      <c r="O134" s="396">
        <f t="shared" si="16"/>
        <v>0</v>
      </c>
      <c r="P134" s="396">
        <f t="shared" si="19"/>
        <v>0</v>
      </c>
      <c r="Q134" s="397" t="str">
        <f t="shared" si="17"/>
        <v>V</v>
      </c>
      <c r="R134" s="394"/>
      <c r="S134" s="394"/>
      <c r="T134" s="394"/>
      <c r="V134" s="16">
        <f t="shared" si="18"/>
        <v>1050</v>
      </c>
    </row>
    <row r="135" spans="1:22" ht="14.1" customHeight="1">
      <c r="A135" s="377">
        <v>136</v>
      </c>
      <c r="B135" s="620" t="s">
        <v>504</v>
      </c>
      <c r="C135" s="618" t="s">
        <v>371</v>
      </c>
      <c r="D135" s="619" t="s">
        <v>375</v>
      </c>
      <c r="E135" s="622" t="s">
        <v>416</v>
      </c>
      <c r="F135" s="621" t="str">
        <f t="shared" si="10"/>
        <v>Opslagruimten</v>
      </c>
      <c r="G135" s="622" t="s">
        <v>377</v>
      </c>
      <c r="H135" s="623">
        <v>4</v>
      </c>
      <c r="I135" s="635">
        <v>14012</v>
      </c>
      <c r="J135" s="395">
        <f t="shared" si="11"/>
        <v>12</v>
      </c>
      <c r="K135" s="396">
        <f t="shared" si="12"/>
        <v>0</v>
      </c>
      <c r="L135" s="396">
        <f t="shared" si="13"/>
        <v>0</v>
      </c>
      <c r="M135" s="396">
        <f t="shared" si="14"/>
        <v>0</v>
      </c>
      <c r="N135" s="396">
        <f t="shared" si="15"/>
        <v>0</v>
      </c>
      <c r="O135" s="396">
        <f t="shared" si="16"/>
        <v>0</v>
      </c>
      <c r="P135" s="396">
        <f t="shared" si="19"/>
        <v>0</v>
      </c>
      <c r="Q135" s="397" t="str">
        <f t="shared" si="17"/>
        <v>V</v>
      </c>
      <c r="R135" s="394"/>
      <c r="S135" s="394"/>
      <c r="T135" s="394"/>
      <c r="V135" s="16">
        <f t="shared" si="18"/>
        <v>48</v>
      </c>
    </row>
    <row r="136" spans="1:22" ht="14.1" customHeight="1">
      <c r="A136" s="377">
        <v>137</v>
      </c>
      <c r="B136" s="620" t="s">
        <v>504</v>
      </c>
      <c r="C136" s="618" t="s">
        <v>371</v>
      </c>
      <c r="D136" s="619" t="s">
        <v>378</v>
      </c>
      <c r="E136" s="622" t="s">
        <v>506</v>
      </c>
      <c r="F136" s="621" t="str">
        <f t="shared" si="10"/>
        <v>Gangen en hallen</v>
      </c>
      <c r="G136" s="622" t="s">
        <v>507</v>
      </c>
      <c r="H136" s="623">
        <v>63</v>
      </c>
      <c r="I136" s="635">
        <v>3200</v>
      </c>
      <c r="J136" s="395">
        <f t="shared" si="11"/>
        <v>200</v>
      </c>
      <c r="K136" s="396">
        <f t="shared" si="12"/>
        <v>0</v>
      </c>
      <c r="L136" s="396">
        <f t="shared" si="13"/>
        <v>0</v>
      </c>
      <c r="M136" s="396">
        <f t="shared" si="14"/>
        <v>0</v>
      </c>
      <c r="N136" s="396">
        <f t="shared" si="15"/>
        <v>0</v>
      </c>
      <c r="O136" s="396">
        <f t="shared" si="16"/>
        <v>0</v>
      </c>
      <c r="P136" s="396">
        <f t="shared" si="19"/>
        <v>0</v>
      </c>
      <c r="Q136" s="397" t="str">
        <f t="shared" si="17"/>
        <v>V</v>
      </c>
      <c r="R136" s="394"/>
      <c r="S136" s="394"/>
      <c r="T136" s="394"/>
      <c r="V136" s="16">
        <f t="shared" si="18"/>
        <v>12600</v>
      </c>
    </row>
    <row r="137" spans="1:22" ht="14.1" customHeight="1">
      <c r="A137" s="377">
        <v>138</v>
      </c>
      <c r="B137" s="620" t="s">
        <v>504</v>
      </c>
      <c r="C137" s="618" t="s">
        <v>371</v>
      </c>
      <c r="D137" s="619" t="s">
        <v>380</v>
      </c>
      <c r="E137" s="622" t="s">
        <v>489</v>
      </c>
      <c r="F137" s="621" t="str">
        <f t="shared" ref="F137:F200" si="20">IF($I137="",0,VLOOKUP($I137,Kengetal,3,FALSE))</f>
        <v>Trappenhuizen</v>
      </c>
      <c r="G137" s="622" t="s">
        <v>377</v>
      </c>
      <c r="H137" s="623">
        <v>37</v>
      </c>
      <c r="I137" s="635">
        <v>5200</v>
      </c>
      <c r="J137" s="395">
        <f t="shared" ref="J137:J200" si="21">SUM(IF(I137="",0,VLOOKUP(I137,Kengetal,2)))</f>
        <v>200</v>
      </c>
      <c r="K137" s="396">
        <f t="shared" ref="K137:K200" si="22">N137*H137</f>
        <v>0</v>
      </c>
      <c r="L137" s="396">
        <f t="shared" ref="L137:L200" si="23">O137*H137</f>
        <v>0</v>
      </c>
      <c r="M137" s="396">
        <f t="shared" ref="M137:M200" si="24">P137*H137</f>
        <v>0</v>
      </c>
      <c r="N137" s="396">
        <f t="shared" ref="N137:N200" si="25">IF($I137="",0,VLOOKUP($I137,Kengetal,5,FALSE))</f>
        <v>0</v>
      </c>
      <c r="O137" s="396">
        <f t="shared" ref="O137:O200" si="26">IF($I137="",0,VLOOKUP($I137,Kengetal,6,FALSE))</f>
        <v>0</v>
      </c>
      <c r="P137" s="396">
        <f t="shared" si="19"/>
        <v>0</v>
      </c>
      <c r="Q137" s="397" t="str">
        <f t="shared" ref="Q137:Q200" si="27">IF(I137="","",VLOOKUP(I137,Kengetal,12,FALSE))</f>
        <v>V</v>
      </c>
      <c r="R137" s="394"/>
      <c r="S137" s="394"/>
      <c r="T137" s="394"/>
      <c r="V137" s="16">
        <f t="shared" ref="V137:V200" si="28">H137*J137</f>
        <v>7400</v>
      </c>
    </row>
    <row r="138" spans="1:22" ht="14.1" customHeight="1">
      <c r="A138" s="377">
        <v>139</v>
      </c>
      <c r="B138" s="620" t="s">
        <v>504</v>
      </c>
      <c r="C138" s="618" t="s">
        <v>371</v>
      </c>
      <c r="D138" s="619" t="s">
        <v>382</v>
      </c>
      <c r="E138" s="622" t="s">
        <v>508</v>
      </c>
      <c r="F138" s="621" t="str">
        <f t="shared" si="20"/>
        <v>Gangen en hallen</v>
      </c>
      <c r="G138" s="622" t="s">
        <v>377</v>
      </c>
      <c r="H138" s="623">
        <v>68</v>
      </c>
      <c r="I138" s="635">
        <v>3200</v>
      </c>
      <c r="J138" s="395">
        <f t="shared" si="21"/>
        <v>200</v>
      </c>
      <c r="K138" s="396">
        <f t="shared" si="22"/>
        <v>0</v>
      </c>
      <c r="L138" s="396">
        <f t="shared" si="23"/>
        <v>0</v>
      </c>
      <c r="M138" s="396">
        <f t="shared" si="24"/>
        <v>0</v>
      </c>
      <c r="N138" s="396">
        <f t="shared" si="25"/>
        <v>0</v>
      </c>
      <c r="O138" s="396">
        <f t="shared" si="26"/>
        <v>0</v>
      </c>
      <c r="P138" s="396">
        <f t="shared" ref="P138:P201" si="29">IF($I138="",0,VLOOKUP($I138,Kengetal,7,FALSE))</f>
        <v>0</v>
      </c>
      <c r="Q138" s="397" t="str">
        <f t="shared" si="27"/>
        <v>V</v>
      </c>
      <c r="R138" s="394"/>
      <c r="S138" s="394"/>
      <c r="T138" s="394"/>
      <c r="V138" s="16">
        <f t="shared" si="28"/>
        <v>13600</v>
      </c>
    </row>
    <row r="139" spans="1:22" ht="14.1" customHeight="1">
      <c r="A139" s="377">
        <v>140</v>
      </c>
      <c r="B139" s="620" t="s">
        <v>504</v>
      </c>
      <c r="C139" s="618" t="s">
        <v>371</v>
      </c>
      <c r="D139" s="619" t="s">
        <v>384</v>
      </c>
      <c r="E139" s="622" t="s">
        <v>443</v>
      </c>
      <c r="F139" s="621" t="str">
        <f t="shared" si="20"/>
        <v>Leslokalen</v>
      </c>
      <c r="G139" s="622" t="s">
        <v>392</v>
      </c>
      <c r="H139" s="623">
        <v>64</v>
      </c>
      <c r="I139" s="635">
        <v>13120</v>
      </c>
      <c r="J139" s="395">
        <f t="shared" si="21"/>
        <v>120</v>
      </c>
      <c r="K139" s="396">
        <f t="shared" si="22"/>
        <v>0</v>
      </c>
      <c r="L139" s="396">
        <f t="shared" si="23"/>
        <v>0</v>
      </c>
      <c r="M139" s="396">
        <f t="shared" si="24"/>
        <v>0</v>
      </c>
      <c r="N139" s="396">
        <f t="shared" si="25"/>
        <v>0</v>
      </c>
      <c r="O139" s="396">
        <f t="shared" si="26"/>
        <v>0</v>
      </c>
      <c r="P139" s="396">
        <f t="shared" si="29"/>
        <v>0</v>
      </c>
      <c r="Q139" s="397" t="str">
        <f t="shared" si="27"/>
        <v>L</v>
      </c>
      <c r="R139" s="394"/>
      <c r="S139" s="394"/>
      <c r="T139" s="394"/>
      <c r="V139" s="16">
        <f t="shared" si="28"/>
        <v>7680</v>
      </c>
    </row>
    <row r="140" spans="1:22" ht="14.1" customHeight="1">
      <c r="A140" s="377">
        <v>141</v>
      </c>
      <c r="B140" s="620" t="s">
        <v>504</v>
      </c>
      <c r="C140" s="618" t="s">
        <v>371</v>
      </c>
      <c r="D140" s="619" t="s">
        <v>386</v>
      </c>
      <c r="E140" s="622" t="s">
        <v>200</v>
      </c>
      <c r="F140" s="621" t="str">
        <f t="shared" si="20"/>
        <v>Administratieve ruimten</v>
      </c>
      <c r="G140" s="622" t="s">
        <v>392</v>
      </c>
      <c r="H140" s="623">
        <v>26</v>
      </c>
      <c r="I140" s="635">
        <v>1126</v>
      </c>
      <c r="J140" s="395">
        <f t="shared" si="21"/>
        <v>126</v>
      </c>
      <c r="K140" s="396">
        <f t="shared" si="22"/>
        <v>0</v>
      </c>
      <c r="L140" s="396">
        <f t="shared" si="23"/>
        <v>0</v>
      </c>
      <c r="M140" s="396">
        <f t="shared" si="24"/>
        <v>0</v>
      </c>
      <c r="N140" s="396">
        <f t="shared" si="25"/>
        <v>0</v>
      </c>
      <c r="O140" s="396">
        <f t="shared" si="26"/>
        <v>0</v>
      </c>
      <c r="P140" s="396">
        <f t="shared" si="29"/>
        <v>0</v>
      </c>
      <c r="Q140" s="397" t="str">
        <f t="shared" si="27"/>
        <v>B</v>
      </c>
      <c r="R140" s="394"/>
      <c r="S140" s="394"/>
      <c r="T140" s="394"/>
      <c r="V140" s="16">
        <f t="shared" si="28"/>
        <v>3276</v>
      </c>
    </row>
    <row r="141" spans="1:22" ht="14.1" customHeight="1">
      <c r="A141" s="377">
        <v>142</v>
      </c>
      <c r="B141" s="620" t="s">
        <v>504</v>
      </c>
      <c r="C141" s="618" t="s">
        <v>371</v>
      </c>
      <c r="D141" s="619" t="s">
        <v>388</v>
      </c>
      <c r="E141" s="622" t="s">
        <v>509</v>
      </c>
      <c r="F141" s="621" t="str">
        <f t="shared" si="20"/>
        <v>Leslokalen</v>
      </c>
      <c r="G141" s="622" t="s">
        <v>392</v>
      </c>
      <c r="H141" s="623">
        <v>56</v>
      </c>
      <c r="I141" s="635">
        <v>13120</v>
      </c>
      <c r="J141" s="395">
        <f t="shared" si="21"/>
        <v>120</v>
      </c>
      <c r="K141" s="396">
        <f t="shared" si="22"/>
        <v>0</v>
      </c>
      <c r="L141" s="396">
        <f t="shared" si="23"/>
        <v>0</v>
      </c>
      <c r="M141" s="396">
        <f t="shared" si="24"/>
        <v>0</v>
      </c>
      <c r="N141" s="396">
        <f t="shared" si="25"/>
        <v>0</v>
      </c>
      <c r="O141" s="396">
        <f t="shared" si="26"/>
        <v>0</v>
      </c>
      <c r="P141" s="396">
        <f t="shared" si="29"/>
        <v>0</v>
      </c>
      <c r="Q141" s="397" t="str">
        <f t="shared" si="27"/>
        <v>L</v>
      </c>
      <c r="R141" s="394"/>
      <c r="S141" s="394"/>
      <c r="T141" s="394"/>
      <c r="V141" s="16">
        <f t="shared" si="28"/>
        <v>6720</v>
      </c>
    </row>
    <row r="142" spans="1:22" ht="14.1" customHeight="1">
      <c r="A142" s="377">
        <v>143</v>
      </c>
      <c r="B142" s="620" t="s">
        <v>504</v>
      </c>
      <c r="C142" s="618" t="s">
        <v>371</v>
      </c>
      <c r="D142" s="619" t="s">
        <v>390</v>
      </c>
      <c r="E142" s="622" t="s">
        <v>510</v>
      </c>
      <c r="F142" s="621" t="str">
        <f t="shared" si="20"/>
        <v>Opslagruimten</v>
      </c>
      <c r="G142" s="622" t="s">
        <v>392</v>
      </c>
      <c r="H142" s="623">
        <v>28</v>
      </c>
      <c r="I142" s="635">
        <v>14040</v>
      </c>
      <c r="J142" s="395">
        <f t="shared" si="21"/>
        <v>40</v>
      </c>
      <c r="K142" s="396">
        <f t="shared" si="22"/>
        <v>0</v>
      </c>
      <c r="L142" s="396">
        <f t="shared" si="23"/>
        <v>0</v>
      </c>
      <c r="M142" s="396">
        <f t="shared" si="24"/>
        <v>0</v>
      </c>
      <c r="N142" s="396">
        <f t="shared" si="25"/>
        <v>0</v>
      </c>
      <c r="O142" s="396">
        <f t="shared" si="26"/>
        <v>0</v>
      </c>
      <c r="P142" s="396">
        <f t="shared" si="29"/>
        <v>0</v>
      </c>
      <c r="Q142" s="397" t="str">
        <f t="shared" si="27"/>
        <v>V</v>
      </c>
      <c r="R142" s="394"/>
      <c r="S142" s="394"/>
      <c r="T142" s="394"/>
      <c r="V142" s="16">
        <f t="shared" si="28"/>
        <v>1120</v>
      </c>
    </row>
    <row r="143" spans="1:22" ht="14.1" customHeight="1">
      <c r="A143" s="377">
        <v>144</v>
      </c>
      <c r="B143" s="620" t="s">
        <v>504</v>
      </c>
      <c r="C143" s="618" t="s">
        <v>371</v>
      </c>
      <c r="D143" s="619" t="s">
        <v>393</v>
      </c>
      <c r="E143" s="622" t="s">
        <v>511</v>
      </c>
      <c r="F143" s="621" t="str">
        <f t="shared" si="20"/>
        <v>Leslokalen</v>
      </c>
      <c r="G143" s="622" t="s">
        <v>392</v>
      </c>
      <c r="H143" s="623">
        <v>78</v>
      </c>
      <c r="I143" s="635">
        <v>13120</v>
      </c>
      <c r="J143" s="395">
        <f t="shared" si="21"/>
        <v>120</v>
      </c>
      <c r="K143" s="396">
        <f t="shared" si="22"/>
        <v>0</v>
      </c>
      <c r="L143" s="396">
        <f t="shared" si="23"/>
        <v>0</v>
      </c>
      <c r="M143" s="396">
        <f t="shared" si="24"/>
        <v>0</v>
      </c>
      <c r="N143" s="396">
        <f t="shared" si="25"/>
        <v>0</v>
      </c>
      <c r="O143" s="396">
        <f t="shared" si="26"/>
        <v>0</v>
      </c>
      <c r="P143" s="396">
        <f t="shared" si="29"/>
        <v>0</v>
      </c>
      <c r="Q143" s="397" t="str">
        <f t="shared" si="27"/>
        <v>L</v>
      </c>
      <c r="R143" s="394"/>
      <c r="S143" s="394"/>
      <c r="T143" s="394"/>
      <c r="V143" s="16">
        <f t="shared" si="28"/>
        <v>9360</v>
      </c>
    </row>
    <row r="144" spans="1:22" ht="14.1" customHeight="1">
      <c r="A144" s="377">
        <v>145</v>
      </c>
      <c r="B144" s="620" t="s">
        <v>504</v>
      </c>
      <c r="C144" s="618" t="s">
        <v>371</v>
      </c>
      <c r="D144" s="619" t="s">
        <v>394</v>
      </c>
      <c r="E144" s="622" t="s">
        <v>512</v>
      </c>
      <c r="F144" s="621" t="str">
        <f t="shared" si="20"/>
        <v>Opslagruimten</v>
      </c>
      <c r="G144" s="622" t="s">
        <v>392</v>
      </c>
      <c r="H144" s="623">
        <v>6</v>
      </c>
      <c r="I144" s="635">
        <v>14012</v>
      </c>
      <c r="J144" s="395">
        <f t="shared" si="21"/>
        <v>12</v>
      </c>
      <c r="K144" s="396">
        <f t="shared" si="22"/>
        <v>0</v>
      </c>
      <c r="L144" s="396">
        <f t="shared" si="23"/>
        <v>0</v>
      </c>
      <c r="M144" s="396">
        <f t="shared" si="24"/>
        <v>0</v>
      </c>
      <c r="N144" s="396">
        <f t="shared" si="25"/>
        <v>0</v>
      </c>
      <c r="O144" s="396">
        <f t="shared" si="26"/>
        <v>0</v>
      </c>
      <c r="P144" s="396">
        <f t="shared" si="29"/>
        <v>0</v>
      </c>
      <c r="Q144" s="397" t="str">
        <f t="shared" si="27"/>
        <v>V</v>
      </c>
      <c r="R144" s="394"/>
      <c r="S144" s="394"/>
      <c r="T144" s="394"/>
      <c r="V144" s="16">
        <f t="shared" si="28"/>
        <v>72</v>
      </c>
    </row>
    <row r="145" spans="1:22" ht="14.1" customHeight="1">
      <c r="A145" s="377">
        <v>146</v>
      </c>
      <c r="B145" s="620" t="s">
        <v>504</v>
      </c>
      <c r="C145" s="618" t="s">
        <v>371</v>
      </c>
      <c r="D145" s="619" t="s">
        <v>396</v>
      </c>
      <c r="E145" s="622" t="s">
        <v>513</v>
      </c>
      <c r="F145" s="621" t="str">
        <f t="shared" si="20"/>
        <v>Trappenhuizen</v>
      </c>
      <c r="G145" s="622" t="s">
        <v>377</v>
      </c>
      <c r="H145" s="623">
        <v>14</v>
      </c>
      <c r="I145" s="635">
        <v>5200</v>
      </c>
      <c r="J145" s="395">
        <f t="shared" si="21"/>
        <v>200</v>
      </c>
      <c r="K145" s="396">
        <f t="shared" si="22"/>
        <v>0</v>
      </c>
      <c r="L145" s="396">
        <f t="shared" si="23"/>
        <v>0</v>
      </c>
      <c r="M145" s="396">
        <f t="shared" si="24"/>
        <v>0</v>
      </c>
      <c r="N145" s="396">
        <f t="shared" si="25"/>
        <v>0</v>
      </c>
      <c r="O145" s="396">
        <f t="shared" si="26"/>
        <v>0</v>
      </c>
      <c r="P145" s="396">
        <f t="shared" si="29"/>
        <v>0</v>
      </c>
      <c r="Q145" s="397" t="str">
        <f t="shared" si="27"/>
        <v>V</v>
      </c>
      <c r="R145" s="394"/>
      <c r="S145" s="394"/>
      <c r="T145" s="394"/>
      <c r="V145" s="16">
        <f t="shared" si="28"/>
        <v>2800</v>
      </c>
    </row>
    <row r="146" spans="1:22" ht="14.1" customHeight="1">
      <c r="A146" s="377">
        <v>147</v>
      </c>
      <c r="B146" s="620" t="s">
        <v>504</v>
      </c>
      <c r="C146" s="618" t="s">
        <v>371</v>
      </c>
      <c r="D146" s="619" t="s">
        <v>397</v>
      </c>
      <c r="E146" s="622" t="s">
        <v>385</v>
      </c>
      <c r="F146" s="621" t="str">
        <f t="shared" si="20"/>
        <v>Sanitaire ruimten</v>
      </c>
      <c r="G146" s="622" t="s">
        <v>377</v>
      </c>
      <c r="H146" s="623">
        <v>15</v>
      </c>
      <c r="I146" s="635">
        <v>2210</v>
      </c>
      <c r="J146" s="395">
        <f t="shared" si="21"/>
        <v>210</v>
      </c>
      <c r="K146" s="396">
        <f t="shared" si="22"/>
        <v>0</v>
      </c>
      <c r="L146" s="396">
        <f t="shared" si="23"/>
        <v>0</v>
      </c>
      <c r="M146" s="396">
        <f t="shared" si="24"/>
        <v>0</v>
      </c>
      <c r="N146" s="396">
        <f t="shared" si="25"/>
        <v>0</v>
      </c>
      <c r="O146" s="396">
        <f t="shared" si="26"/>
        <v>0</v>
      </c>
      <c r="P146" s="396">
        <f t="shared" si="29"/>
        <v>0</v>
      </c>
      <c r="Q146" s="397" t="str">
        <f t="shared" si="27"/>
        <v>S</v>
      </c>
      <c r="R146" s="394"/>
      <c r="S146" s="394"/>
      <c r="T146" s="394"/>
      <c r="V146" s="16">
        <f t="shared" si="28"/>
        <v>3150</v>
      </c>
    </row>
    <row r="147" spans="1:22" ht="14.1" customHeight="1">
      <c r="A147" s="377">
        <v>148</v>
      </c>
      <c r="B147" s="620" t="s">
        <v>504</v>
      </c>
      <c r="C147" s="618" t="s">
        <v>371</v>
      </c>
      <c r="D147" s="619" t="s">
        <v>399</v>
      </c>
      <c r="E147" s="622" t="s">
        <v>514</v>
      </c>
      <c r="F147" s="621" t="str">
        <f t="shared" si="20"/>
        <v>Administratieve ruimten</v>
      </c>
      <c r="G147" s="622" t="s">
        <v>465</v>
      </c>
      <c r="H147" s="623">
        <v>16</v>
      </c>
      <c r="I147" s="635">
        <v>1126</v>
      </c>
      <c r="J147" s="395">
        <f t="shared" si="21"/>
        <v>126</v>
      </c>
      <c r="K147" s="396">
        <f t="shared" si="22"/>
        <v>0</v>
      </c>
      <c r="L147" s="396">
        <f t="shared" si="23"/>
        <v>0</v>
      </c>
      <c r="M147" s="396">
        <f t="shared" si="24"/>
        <v>0</v>
      </c>
      <c r="N147" s="396">
        <f t="shared" si="25"/>
        <v>0</v>
      </c>
      <c r="O147" s="396">
        <f t="shared" si="26"/>
        <v>0</v>
      </c>
      <c r="P147" s="396">
        <f t="shared" si="29"/>
        <v>0</v>
      </c>
      <c r="Q147" s="397" t="str">
        <f t="shared" si="27"/>
        <v>B</v>
      </c>
      <c r="R147" s="394"/>
      <c r="S147" s="394"/>
      <c r="T147" s="394"/>
      <c r="V147" s="16">
        <f t="shared" si="28"/>
        <v>2016</v>
      </c>
    </row>
    <row r="148" spans="1:22" ht="14.1" customHeight="1">
      <c r="A148" s="377">
        <v>149</v>
      </c>
      <c r="B148" s="620" t="s">
        <v>504</v>
      </c>
      <c r="C148" s="618" t="s">
        <v>371</v>
      </c>
      <c r="D148" s="619" t="s">
        <v>400</v>
      </c>
      <c r="E148" s="622" t="s">
        <v>376</v>
      </c>
      <c r="F148" s="621" t="str">
        <f t="shared" si="20"/>
        <v>Gangen en hallen</v>
      </c>
      <c r="G148" s="622" t="s">
        <v>377</v>
      </c>
      <c r="H148" s="623">
        <v>117</v>
      </c>
      <c r="I148" s="635">
        <v>3200</v>
      </c>
      <c r="J148" s="395">
        <f t="shared" si="21"/>
        <v>200</v>
      </c>
      <c r="K148" s="396">
        <f t="shared" si="22"/>
        <v>0</v>
      </c>
      <c r="L148" s="396">
        <f t="shared" si="23"/>
        <v>0</v>
      </c>
      <c r="M148" s="396">
        <f t="shared" si="24"/>
        <v>0</v>
      </c>
      <c r="N148" s="396">
        <f t="shared" si="25"/>
        <v>0</v>
      </c>
      <c r="O148" s="396">
        <f t="shared" si="26"/>
        <v>0</v>
      </c>
      <c r="P148" s="396">
        <f t="shared" si="29"/>
        <v>0</v>
      </c>
      <c r="Q148" s="397" t="str">
        <f t="shared" si="27"/>
        <v>V</v>
      </c>
      <c r="R148" s="394"/>
      <c r="S148" s="394"/>
      <c r="T148" s="394"/>
      <c r="V148" s="16">
        <f t="shared" si="28"/>
        <v>23400</v>
      </c>
    </row>
    <row r="149" spans="1:22" ht="14.1" customHeight="1">
      <c r="A149" s="377">
        <v>150</v>
      </c>
      <c r="B149" s="620" t="s">
        <v>504</v>
      </c>
      <c r="C149" s="618" t="s">
        <v>371</v>
      </c>
      <c r="D149" s="619" t="s">
        <v>403</v>
      </c>
      <c r="E149" s="622" t="s">
        <v>387</v>
      </c>
      <c r="F149" s="621" t="str">
        <f t="shared" si="20"/>
        <v>Sanitaire ruimten</v>
      </c>
      <c r="G149" s="622" t="s">
        <v>377</v>
      </c>
      <c r="H149" s="623">
        <v>16</v>
      </c>
      <c r="I149" s="635">
        <v>2210</v>
      </c>
      <c r="J149" s="395">
        <f t="shared" si="21"/>
        <v>210</v>
      </c>
      <c r="K149" s="396">
        <f t="shared" si="22"/>
        <v>0</v>
      </c>
      <c r="L149" s="396">
        <f t="shared" si="23"/>
        <v>0</v>
      </c>
      <c r="M149" s="396">
        <f t="shared" si="24"/>
        <v>0</v>
      </c>
      <c r="N149" s="396">
        <f t="shared" si="25"/>
        <v>0</v>
      </c>
      <c r="O149" s="396">
        <f t="shared" si="26"/>
        <v>0</v>
      </c>
      <c r="P149" s="396">
        <f t="shared" si="29"/>
        <v>0</v>
      </c>
      <c r="Q149" s="397" t="str">
        <f t="shared" si="27"/>
        <v>S</v>
      </c>
      <c r="R149" s="394"/>
      <c r="S149" s="394"/>
      <c r="T149" s="394"/>
      <c r="V149" s="16">
        <f t="shared" si="28"/>
        <v>3360</v>
      </c>
    </row>
    <row r="150" spans="1:22" ht="14.1" customHeight="1">
      <c r="A150" s="377">
        <v>151</v>
      </c>
      <c r="B150" s="620" t="s">
        <v>504</v>
      </c>
      <c r="C150" s="618" t="s">
        <v>371</v>
      </c>
      <c r="D150" s="619" t="s">
        <v>405</v>
      </c>
      <c r="E150" s="622" t="s">
        <v>515</v>
      </c>
      <c r="F150" s="621" t="str">
        <f t="shared" si="20"/>
        <v>Leslokalen</v>
      </c>
      <c r="G150" s="622" t="s">
        <v>392</v>
      </c>
      <c r="H150" s="623">
        <v>60</v>
      </c>
      <c r="I150" s="635">
        <v>13120</v>
      </c>
      <c r="J150" s="395">
        <f t="shared" si="21"/>
        <v>120</v>
      </c>
      <c r="K150" s="396">
        <f t="shared" si="22"/>
        <v>0</v>
      </c>
      <c r="L150" s="396">
        <f t="shared" si="23"/>
        <v>0</v>
      </c>
      <c r="M150" s="396">
        <f t="shared" si="24"/>
        <v>0</v>
      </c>
      <c r="N150" s="396">
        <f t="shared" si="25"/>
        <v>0</v>
      </c>
      <c r="O150" s="396">
        <f t="shared" si="26"/>
        <v>0</v>
      </c>
      <c r="P150" s="396">
        <f t="shared" si="29"/>
        <v>0</v>
      </c>
      <c r="Q150" s="397" t="str">
        <f t="shared" si="27"/>
        <v>L</v>
      </c>
      <c r="R150" s="394"/>
      <c r="S150" s="394"/>
      <c r="T150" s="394"/>
      <c r="V150" s="16">
        <f t="shared" si="28"/>
        <v>7200</v>
      </c>
    </row>
    <row r="151" spans="1:22" ht="14.1" customHeight="1">
      <c r="A151" s="377">
        <v>152</v>
      </c>
      <c r="B151" s="620" t="s">
        <v>504</v>
      </c>
      <c r="C151" s="618" t="s">
        <v>371</v>
      </c>
      <c r="D151" s="619" t="s">
        <v>407</v>
      </c>
      <c r="E151" s="622" t="s">
        <v>445</v>
      </c>
      <c r="F151" s="621" t="str">
        <f t="shared" si="20"/>
        <v>Leslokalen</v>
      </c>
      <c r="G151" s="622" t="s">
        <v>392</v>
      </c>
      <c r="H151" s="623">
        <v>64</v>
      </c>
      <c r="I151" s="635">
        <v>13120</v>
      </c>
      <c r="J151" s="395">
        <f t="shared" si="21"/>
        <v>120</v>
      </c>
      <c r="K151" s="396">
        <f t="shared" si="22"/>
        <v>0</v>
      </c>
      <c r="L151" s="396">
        <f t="shared" si="23"/>
        <v>0</v>
      </c>
      <c r="M151" s="396">
        <f t="shared" si="24"/>
        <v>0</v>
      </c>
      <c r="N151" s="396">
        <f t="shared" si="25"/>
        <v>0</v>
      </c>
      <c r="O151" s="396">
        <f t="shared" si="26"/>
        <v>0</v>
      </c>
      <c r="P151" s="396">
        <f t="shared" si="29"/>
        <v>0</v>
      </c>
      <c r="Q151" s="397" t="str">
        <f t="shared" si="27"/>
        <v>L</v>
      </c>
      <c r="R151" s="394"/>
      <c r="S151" s="394"/>
      <c r="T151" s="394"/>
      <c r="V151" s="16">
        <f t="shared" si="28"/>
        <v>7680</v>
      </c>
    </row>
    <row r="152" spans="1:22" ht="14.1" customHeight="1">
      <c r="A152" s="377">
        <v>153</v>
      </c>
      <c r="B152" s="620" t="s">
        <v>504</v>
      </c>
      <c r="C152" s="618" t="s">
        <v>371</v>
      </c>
      <c r="D152" s="619" t="s">
        <v>408</v>
      </c>
      <c r="E152" s="622" t="s">
        <v>401</v>
      </c>
      <c r="F152" s="621" t="str">
        <f t="shared" si="20"/>
        <v>Leslokalen</v>
      </c>
      <c r="G152" s="622" t="s">
        <v>392</v>
      </c>
      <c r="H152" s="623">
        <v>60</v>
      </c>
      <c r="I152" s="635">
        <v>13120</v>
      </c>
      <c r="J152" s="395">
        <f t="shared" si="21"/>
        <v>120</v>
      </c>
      <c r="K152" s="396">
        <f t="shared" si="22"/>
        <v>0</v>
      </c>
      <c r="L152" s="396">
        <f t="shared" si="23"/>
        <v>0</v>
      </c>
      <c r="M152" s="396">
        <f t="shared" si="24"/>
        <v>0</v>
      </c>
      <c r="N152" s="396">
        <f t="shared" si="25"/>
        <v>0</v>
      </c>
      <c r="O152" s="396">
        <f t="shared" si="26"/>
        <v>0</v>
      </c>
      <c r="P152" s="396">
        <f t="shared" si="29"/>
        <v>0</v>
      </c>
      <c r="Q152" s="397" t="str">
        <f t="shared" si="27"/>
        <v>L</v>
      </c>
      <c r="R152" s="394"/>
      <c r="S152" s="394"/>
      <c r="T152" s="394"/>
      <c r="V152" s="16">
        <f t="shared" si="28"/>
        <v>7200</v>
      </c>
    </row>
    <row r="153" spans="1:22" ht="14.1" customHeight="1">
      <c r="A153" s="377">
        <v>154</v>
      </c>
      <c r="B153" s="620" t="s">
        <v>504</v>
      </c>
      <c r="C153" s="618" t="s">
        <v>371</v>
      </c>
      <c r="D153" s="619" t="s">
        <v>411</v>
      </c>
      <c r="E153" s="622" t="s">
        <v>516</v>
      </c>
      <c r="F153" s="621" t="str">
        <f t="shared" si="20"/>
        <v>Leslokalen</v>
      </c>
      <c r="G153" s="622" t="s">
        <v>392</v>
      </c>
      <c r="H153" s="623">
        <v>64</v>
      </c>
      <c r="I153" s="635">
        <v>13120</v>
      </c>
      <c r="J153" s="395">
        <f t="shared" si="21"/>
        <v>120</v>
      </c>
      <c r="K153" s="396">
        <f t="shared" si="22"/>
        <v>0</v>
      </c>
      <c r="L153" s="396">
        <f t="shared" si="23"/>
        <v>0</v>
      </c>
      <c r="M153" s="396">
        <f t="shared" si="24"/>
        <v>0</v>
      </c>
      <c r="N153" s="396">
        <f t="shared" si="25"/>
        <v>0</v>
      </c>
      <c r="O153" s="396">
        <f t="shared" si="26"/>
        <v>0</v>
      </c>
      <c r="P153" s="396">
        <f t="shared" si="29"/>
        <v>0</v>
      </c>
      <c r="Q153" s="397" t="str">
        <f t="shared" si="27"/>
        <v>L</v>
      </c>
      <c r="R153" s="394"/>
      <c r="S153" s="394"/>
      <c r="T153" s="394"/>
      <c r="V153" s="16">
        <f t="shared" si="28"/>
        <v>7680</v>
      </c>
    </row>
    <row r="154" spans="1:22" ht="14.1" customHeight="1">
      <c r="A154" s="377">
        <v>155</v>
      </c>
      <c r="B154" s="620" t="s">
        <v>504</v>
      </c>
      <c r="C154" s="618" t="s">
        <v>371</v>
      </c>
      <c r="D154" s="619" t="s">
        <v>413</v>
      </c>
      <c r="E154" s="622" t="s">
        <v>412</v>
      </c>
      <c r="F154" s="621" t="str">
        <f t="shared" si="20"/>
        <v>Leslokalen</v>
      </c>
      <c r="G154" s="622" t="s">
        <v>392</v>
      </c>
      <c r="H154" s="623">
        <v>60</v>
      </c>
      <c r="I154" s="635">
        <v>13120</v>
      </c>
      <c r="J154" s="395">
        <f t="shared" si="21"/>
        <v>120</v>
      </c>
      <c r="K154" s="396">
        <f t="shared" si="22"/>
        <v>0</v>
      </c>
      <c r="L154" s="396">
        <f t="shared" si="23"/>
        <v>0</v>
      </c>
      <c r="M154" s="396">
        <f t="shared" si="24"/>
        <v>0</v>
      </c>
      <c r="N154" s="396">
        <f t="shared" si="25"/>
        <v>0</v>
      </c>
      <c r="O154" s="396">
        <f t="shared" si="26"/>
        <v>0</v>
      </c>
      <c r="P154" s="396">
        <f t="shared" si="29"/>
        <v>0</v>
      </c>
      <c r="Q154" s="397" t="str">
        <f t="shared" si="27"/>
        <v>L</v>
      </c>
      <c r="R154" s="394"/>
      <c r="S154" s="394"/>
      <c r="T154" s="394"/>
      <c r="V154" s="16">
        <f t="shared" si="28"/>
        <v>7200</v>
      </c>
    </row>
    <row r="155" spans="1:22" ht="14.1" customHeight="1">
      <c r="A155" s="377">
        <v>156</v>
      </c>
      <c r="B155" s="620" t="s">
        <v>504</v>
      </c>
      <c r="C155" s="618" t="s">
        <v>371</v>
      </c>
      <c r="D155" s="619" t="s">
        <v>415</v>
      </c>
      <c r="E155" s="622" t="s">
        <v>406</v>
      </c>
      <c r="F155" s="621" t="str">
        <f t="shared" si="20"/>
        <v>Leslokalen</v>
      </c>
      <c r="G155" s="622" t="s">
        <v>392</v>
      </c>
      <c r="H155" s="623">
        <v>64</v>
      </c>
      <c r="I155" s="635">
        <v>13120</v>
      </c>
      <c r="J155" s="395">
        <f t="shared" si="21"/>
        <v>120</v>
      </c>
      <c r="K155" s="396">
        <f t="shared" si="22"/>
        <v>0</v>
      </c>
      <c r="L155" s="396">
        <f t="shared" si="23"/>
        <v>0</v>
      </c>
      <c r="M155" s="396">
        <f t="shared" si="24"/>
        <v>0</v>
      </c>
      <c r="N155" s="396">
        <f t="shared" si="25"/>
        <v>0</v>
      </c>
      <c r="O155" s="396">
        <f t="shared" si="26"/>
        <v>0</v>
      </c>
      <c r="P155" s="396">
        <f t="shared" si="29"/>
        <v>0</v>
      </c>
      <c r="Q155" s="397" t="str">
        <f t="shared" si="27"/>
        <v>L</v>
      </c>
      <c r="R155" s="394"/>
      <c r="S155" s="394"/>
      <c r="T155" s="394"/>
      <c r="V155" s="16">
        <f t="shared" si="28"/>
        <v>7680</v>
      </c>
    </row>
    <row r="156" spans="1:22" ht="14.1" customHeight="1">
      <c r="A156" s="377">
        <v>157</v>
      </c>
      <c r="B156" s="620" t="s">
        <v>504</v>
      </c>
      <c r="C156" s="618" t="s">
        <v>371</v>
      </c>
      <c r="D156" s="619" t="s">
        <v>417</v>
      </c>
      <c r="E156" s="622" t="s">
        <v>426</v>
      </c>
      <c r="F156" s="621" t="str">
        <f t="shared" si="20"/>
        <v>Leslokalen</v>
      </c>
      <c r="G156" s="622" t="s">
        <v>392</v>
      </c>
      <c r="H156" s="623">
        <v>60</v>
      </c>
      <c r="I156" s="635">
        <v>13120</v>
      </c>
      <c r="J156" s="395">
        <f t="shared" si="21"/>
        <v>120</v>
      </c>
      <c r="K156" s="396">
        <f t="shared" si="22"/>
        <v>0</v>
      </c>
      <c r="L156" s="396">
        <f t="shared" si="23"/>
        <v>0</v>
      </c>
      <c r="M156" s="396">
        <f t="shared" si="24"/>
        <v>0</v>
      </c>
      <c r="N156" s="396">
        <f t="shared" si="25"/>
        <v>0</v>
      </c>
      <c r="O156" s="396">
        <f t="shared" si="26"/>
        <v>0</v>
      </c>
      <c r="P156" s="396">
        <f t="shared" si="29"/>
        <v>0</v>
      </c>
      <c r="Q156" s="397" t="str">
        <f t="shared" si="27"/>
        <v>L</v>
      </c>
      <c r="R156" s="394"/>
      <c r="S156" s="394"/>
      <c r="T156" s="394"/>
      <c r="V156" s="16">
        <f t="shared" si="28"/>
        <v>7200</v>
      </c>
    </row>
    <row r="157" spans="1:22" ht="14.1" customHeight="1">
      <c r="A157" s="377">
        <v>158</v>
      </c>
      <c r="B157" s="620" t="s">
        <v>504</v>
      </c>
      <c r="C157" s="618" t="s">
        <v>371</v>
      </c>
      <c r="D157" s="619" t="s">
        <v>419</v>
      </c>
      <c r="E157" s="622" t="s">
        <v>404</v>
      </c>
      <c r="F157" s="621" t="str">
        <f t="shared" si="20"/>
        <v>Leslokalen</v>
      </c>
      <c r="G157" s="622" t="s">
        <v>392</v>
      </c>
      <c r="H157" s="623">
        <v>64</v>
      </c>
      <c r="I157" s="635">
        <v>13120</v>
      </c>
      <c r="J157" s="395">
        <f t="shared" si="21"/>
        <v>120</v>
      </c>
      <c r="K157" s="396">
        <f t="shared" si="22"/>
        <v>0</v>
      </c>
      <c r="L157" s="396">
        <f t="shared" si="23"/>
        <v>0</v>
      </c>
      <c r="M157" s="396">
        <f t="shared" si="24"/>
        <v>0</v>
      </c>
      <c r="N157" s="396">
        <f t="shared" si="25"/>
        <v>0</v>
      </c>
      <c r="O157" s="396">
        <f t="shared" si="26"/>
        <v>0</v>
      </c>
      <c r="P157" s="396">
        <f t="shared" si="29"/>
        <v>0</v>
      </c>
      <c r="Q157" s="397" t="str">
        <f t="shared" si="27"/>
        <v>L</v>
      </c>
      <c r="R157" s="394"/>
      <c r="S157" s="394"/>
      <c r="T157" s="394"/>
      <c r="V157" s="16">
        <f t="shared" si="28"/>
        <v>7680</v>
      </c>
    </row>
    <row r="158" spans="1:22" ht="14.1" customHeight="1">
      <c r="A158" s="377">
        <v>159</v>
      </c>
      <c r="B158" s="620" t="s">
        <v>504</v>
      </c>
      <c r="C158" s="618" t="s">
        <v>371</v>
      </c>
      <c r="D158" s="619" t="s">
        <v>421</v>
      </c>
      <c r="E158" s="622" t="s">
        <v>387</v>
      </c>
      <c r="F158" s="621" t="str">
        <f t="shared" si="20"/>
        <v>Sanitaire ruimten</v>
      </c>
      <c r="G158" s="622" t="s">
        <v>377</v>
      </c>
      <c r="H158" s="623">
        <v>6</v>
      </c>
      <c r="I158" s="635">
        <v>2210</v>
      </c>
      <c r="J158" s="395">
        <f t="shared" si="21"/>
        <v>210</v>
      </c>
      <c r="K158" s="396">
        <f t="shared" si="22"/>
        <v>0</v>
      </c>
      <c r="L158" s="396">
        <f t="shared" si="23"/>
        <v>0</v>
      </c>
      <c r="M158" s="396">
        <f t="shared" si="24"/>
        <v>0</v>
      </c>
      <c r="N158" s="396">
        <f t="shared" si="25"/>
        <v>0</v>
      </c>
      <c r="O158" s="396">
        <f t="shared" si="26"/>
        <v>0</v>
      </c>
      <c r="P158" s="396">
        <f t="shared" si="29"/>
        <v>0</v>
      </c>
      <c r="Q158" s="397" t="str">
        <f t="shared" si="27"/>
        <v>S</v>
      </c>
      <c r="R158" s="394"/>
      <c r="S158" s="394"/>
      <c r="T158" s="394"/>
      <c r="V158" s="16">
        <f t="shared" si="28"/>
        <v>1260</v>
      </c>
    </row>
    <row r="159" spans="1:22" ht="14.1" customHeight="1">
      <c r="A159" s="377">
        <v>160</v>
      </c>
      <c r="B159" s="620" t="s">
        <v>504</v>
      </c>
      <c r="C159" s="618" t="s">
        <v>371</v>
      </c>
      <c r="D159" s="619" t="s">
        <v>422</v>
      </c>
      <c r="E159" s="622" t="s">
        <v>385</v>
      </c>
      <c r="F159" s="621" t="str">
        <f t="shared" si="20"/>
        <v>Sanitaire ruimten</v>
      </c>
      <c r="G159" s="622" t="s">
        <v>377</v>
      </c>
      <c r="H159" s="623">
        <v>6</v>
      </c>
      <c r="I159" s="635">
        <v>2210</v>
      </c>
      <c r="J159" s="395">
        <f t="shared" si="21"/>
        <v>210</v>
      </c>
      <c r="K159" s="396">
        <f t="shared" si="22"/>
        <v>0</v>
      </c>
      <c r="L159" s="396">
        <f t="shared" si="23"/>
        <v>0</v>
      </c>
      <c r="M159" s="396">
        <f t="shared" si="24"/>
        <v>0</v>
      </c>
      <c r="N159" s="396">
        <f t="shared" si="25"/>
        <v>0</v>
      </c>
      <c r="O159" s="396">
        <f t="shared" si="26"/>
        <v>0</v>
      </c>
      <c r="P159" s="396">
        <f t="shared" si="29"/>
        <v>0</v>
      </c>
      <c r="Q159" s="397" t="str">
        <f t="shared" si="27"/>
        <v>S</v>
      </c>
      <c r="R159" s="394"/>
      <c r="S159" s="394"/>
      <c r="T159" s="394"/>
      <c r="V159" s="16">
        <f t="shared" si="28"/>
        <v>1260</v>
      </c>
    </row>
    <row r="160" spans="1:22" ht="14.1" customHeight="1">
      <c r="A160" s="377">
        <v>161</v>
      </c>
      <c r="B160" s="620" t="s">
        <v>504</v>
      </c>
      <c r="C160" s="618" t="s">
        <v>371</v>
      </c>
      <c r="D160" s="619" t="s">
        <v>424</v>
      </c>
      <c r="E160" s="622" t="s">
        <v>517</v>
      </c>
      <c r="F160" s="621" t="str">
        <f t="shared" si="20"/>
        <v>Leslokalen praktijk</v>
      </c>
      <c r="G160" s="622" t="s">
        <v>392</v>
      </c>
      <c r="H160" s="623">
        <v>172</v>
      </c>
      <c r="I160" s="635">
        <v>16200</v>
      </c>
      <c r="J160" s="395">
        <f t="shared" si="21"/>
        <v>200</v>
      </c>
      <c r="K160" s="396">
        <f t="shared" si="22"/>
        <v>0</v>
      </c>
      <c r="L160" s="396">
        <f t="shared" si="23"/>
        <v>0</v>
      </c>
      <c r="M160" s="396">
        <f t="shared" si="24"/>
        <v>0</v>
      </c>
      <c r="N160" s="396">
        <f t="shared" si="25"/>
        <v>0</v>
      </c>
      <c r="O160" s="396">
        <f t="shared" si="26"/>
        <v>0</v>
      </c>
      <c r="P160" s="396">
        <f t="shared" si="29"/>
        <v>0</v>
      </c>
      <c r="Q160" s="397" t="str">
        <f t="shared" si="27"/>
        <v>L</v>
      </c>
      <c r="R160" s="394"/>
      <c r="S160" s="394"/>
      <c r="T160" s="394"/>
      <c r="V160" s="16">
        <f t="shared" si="28"/>
        <v>34400</v>
      </c>
    </row>
    <row r="161" spans="1:22" ht="14.1" customHeight="1">
      <c r="A161" s="377">
        <v>162</v>
      </c>
      <c r="B161" s="620" t="s">
        <v>504</v>
      </c>
      <c r="C161" s="618" t="s">
        <v>371</v>
      </c>
      <c r="D161" s="619" t="s">
        <v>425</v>
      </c>
      <c r="E161" s="622" t="s">
        <v>200</v>
      </c>
      <c r="F161" s="621" t="str">
        <f t="shared" si="20"/>
        <v>Administratieve ruimten</v>
      </c>
      <c r="G161" s="622" t="s">
        <v>465</v>
      </c>
      <c r="H161" s="623">
        <v>15</v>
      </c>
      <c r="I161" s="635">
        <v>1126</v>
      </c>
      <c r="J161" s="395">
        <f t="shared" si="21"/>
        <v>126</v>
      </c>
      <c r="K161" s="396">
        <f t="shared" si="22"/>
        <v>0</v>
      </c>
      <c r="L161" s="396">
        <f t="shared" si="23"/>
        <v>0</v>
      </c>
      <c r="M161" s="396">
        <f t="shared" si="24"/>
        <v>0</v>
      </c>
      <c r="N161" s="396">
        <f t="shared" si="25"/>
        <v>0</v>
      </c>
      <c r="O161" s="396">
        <f t="shared" si="26"/>
        <v>0</v>
      </c>
      <c r="P161" s="396">
        <f t="shared" si="29"/>
        <v>0</v>
      </c>
      <c r="Q161" s="397" t="str">
        <f t="shared" si="27"/>
        <v>B</v>
      </c>
      <c r="R161" s="394"/>
      <c r="S161" s="394"/>
      <c r="T161" s="394"/>
      <c r="V161" s="16">
        <f t="shared" si="28"/>
        <v>1890</v>
      </c>
    </row>
    <row r="162" spans="1:22" ht="14.1" customHeight="1">
      <c r="A162" s="377">
        <v>163</v>
      </c>
      <c r="B162" s="620" t="s">
        <v>504</v>
      </c>
      <c r="C162" s="618" t="s">
        <v>371</v>
      </c>
      <c r="D162" s="619" t="s">
        <v>427</v>
      </c>
      <c r="E162" s="622" t="s">
        <v>518</v>
      </c>
      <c r="F162" s="621" t="str">
        <f t="shared" si="20"/>
        <v>Gangen en hallen</v>
      </c>
      <c r="G162" s="622" t="s">
        <v>377</v>
      </c>
      <c r="H162" s="623">
        <v>317</v>
      </c>
      <c r="I162" s="635">
        <v>3200</v>
      </c>
      <c r="J162" s="395">
        <f t="shared" si="21"/>
        <v>200</v>
      </c>
      <c r="K162" s="396">
        <f t="shared" si="22"/>
        <v>0</v>
      </c>
      <c r="L162" s="396">
        <f t="shared" si="23"/>
        <v>0</v>
      </c>
      <c r="M162" s="396">
        <f t="shared" si="24"/>
        <v>0</v>
      </c>
      <c r="N162" s="396">
        <f t="shared" si="25"/>
        <v>0</v>
      </c>
      <c r="O162" s="396">
        <f t="shared" si="26"/>
        <v>0</v>
      </c>
      <c r="P162" s="396">
        <f t="shared" si="29"/>
        <v>0</v>
      </c>
      <c r="Q162" s="397" t="str">
        <f t="shared" si="27"/>
        <v>V</v>
      </c>
      <c r="R162" s="394"/>
      <c r="S162" s="394"/>
      <c r="T162" s="394"/>
      <c r="V162" s="16">
        <f t="shared" si="28"/>
        <v>63400</v>
      </c>
    </row>
    <row r="163" spans="1:22" ht="14.1" customHeight="1">
      <c r="A163" s="377">
        <v>164</v>
      </c>
      <c r="B163" s="620" t="s">
        <v>504</v>
      </c>
      <c r="C163" s="618" t="s">
        <v>371</v>
      </c>
      <c r="D163" s="619" t="s">
        <v>429</v>
      </c>
      <c r="E163" s="622" t="s">
        <v>385</v>
      </c>
      <c r="F163" s="621" t="str">
        <f t="shared" si="20"/>
        <v>Sanitaire ruimten</v>
      </c>
      <c r="G163" s="622" t="s">
        <v>377</v>
      </c>
      <c r="H163" s="623">
        <v>22</v>
      </c>
      <c r="I163" s="635">
        <v>2210</v>
      </c>
      <c r="J163" s="395">
        <f t="shared" si="21"/>
        <v>210</v>
      </c>
      <c r="K163" s="396">
        <f t="shared" si="22"/>
        <v>0</v>
      </c>
      <c r="L163" s="396">
        <f t="shared" si="23"/>
        <v>0</v>
      </c>
      <c r="M163" s="396">
        <f t="shared" si="24"/>
        <v>0</v>
      </c>
      <c r="N163" s="396">
        <f t="shared" si="25"/>
        <v>0</v>
      </c>
      <c r="O163" s="396">
        <f t="shared" si="26"/>
        <v>0</v>
      </c>
      <c r="P163" s="396">
        <f t="shared" si="29"/>
        <v>0</v>
      </c>
      <c r="Q163" s="397" t="str">
        <f t="shared" si="27"/>
        <v>S</v>
      </c>
      <c r="R163" s="394"/>
      <c r="S163" s="394"/>
      <c r="T163" s="394"/>
      <c r="V163" s="16">
        <f t="shared" si="28"/>
        <v>4620</v>
      </c>
    </row>
    <row r="164" spans="1:22" ht="14.1" customHeight="1">
      <c r="A164" s="377">
        <v>165</v>
      </c>
      <c r="B164" s="620" t="s">
        <v>504</v>
      </c>
      <c r="C164" s="618" t="s">
        <v>371</v>
      </c>
      <c r="D164" s="619" t="s">
        <v>431</v>
      </c>
      <c r="E164" s="622" t="s">
        <v>519</v>
      </c>
      <c r="F164" s="621" t="str">
        <f t="shared" si="20"/>
        <v>Niet van toepassing</v>
      </c>
      <c r="G164" s="622" t="s">
        <v>392</v>
      </c>
      <c r="H164" s="623">
        <v>11</v>
      </c>
      <c r="I164" s="635" t="s">
        <v>229</v>
      </c>
      <c r="J164" s="395">
        <f t="shared" si="21"/>
        <v>0</v>
      </c>
      <c r="K164" s="396">
        <f t="shared" si="22"/>
        <v>0</v>
      </c>
      <c r="L164" s="396">
        <f t="shared" si="23"/>
        <v>0</v>
      </c>
      <c r="M164" s="396">
        <f t="shared" si="24"/>
        <v>0</v>
      </c>
      <c r="N164" s="396">
        <f t="shared" si="25"/>
        <v>0</v>
      </c>
      <c r="O164" s="396">
        <f t="shared" si="26"/>
        <v>0</v>
      </c>
      <c r="P164" s="396">
        <f t="shared" si="29"/>
        <v>0</v>
      </c>
      <c r="Q164" s="397">
        <f t="shared" si="27"/>
        <v>0</v>
      </c>
      <c r="R164" s="394"/>
      <c r="S164" s="394"/>
      <c r="T164" s="394"/>
      <c r="V164" s="16">
        <f t="shared" si="28"/>
        <v>0</v>
      </c>
    </row>
    <row r="165" spans="1:22" ht="14.1" customHeight="1">
      <c r="A165" s="377">
        <v>166</v>
      </c>
      <c r="B165" s="620" t="s">
        <v>504</v>
      </c>
      <c r="C165" s="618" t="s">
        <v>371</v>
      </c>
      <c r="D165" s="619" t="s">
        <v>433</v>
      </c>
      <c r="E165" s="622" t="s">
        <v>520</v>
      </c>
      <c r="F165" s="621" t="str">
        <f t="shared" si="20"/>
        <v>Leslokalen</v>
      </c>
      <c r="G165" s="622" t="s">
        <v>392</v>
      </c>
      <c r="H165" s="623">
        <v>62</v>
      </c>
      <c r="I165" s="635">
        <v>13120</v>
      </c>
      <c r="J165" s="395">
        <f t="shared" si="21"/>
        <v>120</v>
      </c>
      <c r="K165" s="396">
        <f t="shared" si="22"/>
        <v>0</v>
      </c>
      <c r="L165" s="396">
        <f t="shared" si="23"/>
        <v>0</v>
      </c>
      <c r="M165" s="396">
        <f t="shared" si="24"/>
        <v>0</v>
      </c>
      <c r="N165" s="396">
        <f t="shared" si="25"/>
        <v>0</v>
      </c>
      <c r="O165" s="396">
        <f t="shared" si="26"/>
        <v>0</v>
      </c>
      <c r="P165" s="396">
        <f t="shared" si="29"/>
        <v>0</v>
      </c>
      <c r="Q165" s="397" t="str">
        <f t="shared" si="27"/>
        <v>L</v>
      </c>
      <c r="R165" s="394"/>
      <c r="S165" s="394"/>
      <c r="T165" s="394"/>
      <c r="V165" s="16">
        <f t="shared" si="28"/>
        <v>7440</v>
      </c>
    </row>
    <row r="166" spans="1:22" ht="14.1" customHeight="1">
      <c r="A166" s="377">
        <v>167</v>
      </c>
      <c r="B166" s="620" t="s">
        <v>504</v>
      </c>
      <c r="C166" s="618" t="s">
        <v>371</v>
      </c>
      <c r="D166" s="619" t="s">
        <v>435</v>
      </c>
      <c r="E166" s="622" t="s">
        <v>521</v>
      </c>
      <c r="F166" s="621" t="str">
        <f t="shared" si="20"/>
        <v>Leslokalen</v>
      </c>
      <c r="G166" s="622" t="s">
        <v>392</v>
      </c>
      <c r="H166" s="623">
        <v>62</v>
      </c>
      <c r="I166" s="635">
        <v>13120</v>
      </c>
      <c r="J166" s="395">
        <f t="shared" si="21"/>
        <v>120</v>
      </c>
      <c r="K166" s="396">
        <f t="shared" si="22"/>
        <v>0</v>
      </c>
      <c r="L166" s="396">
        <f t="shared" si="23"/>
        <v>0</v>
      </c>
      <c r="M166" s="396">
        <f t="shared" si="24"/>
        <v>0</v>
      </c>
      <c r="N166" s="396">
        <f t="shared" si="25"/>
        <v>0</v>
      </c>
      <c r="O166" s="396">
        <f t="shared" si="26"/>
        <v>0</v>
      </c>
      <c r="P166" s="396">
        <f t="shared" si="29"/>
        <v>0</v>
      </c>
      <c r="Q166" s="397" t="str">
        <f t="shared" si="27"/>
        <v>L</v>
      </c>
      <c r="R166" s="394"/>
      <c r="S166" s="394"/>
      <c r="T166" s="394"/>
      <c r="V166" s="16">
        <f t="shared" si="28"/>
        <v>7440</v>
      </c>
    </row>
    <row r="167" spans="1:22" ht="14.1" customHeight="1">
      <c r="A167" s="377">
        <v>168</v>
      </c>
      <c r="B167" s="620" t="s">
        <v>504</v>
      </c>
      <c r="C167" s="618" t="s">
        <v>371</v>
      </c>
      <c r="D167" s="619" t="s">
        <v>437</v>
      </c>
      <c r="E167" s="622" t="s">
        <v>522</v>
      </c>
      <c r="F167" s="621" t="str">
        <f t="shared" si="20"/>
        <v>Leslokalen</v>
      </c>
      <c r="G167" s="622" t="s">
        <v>392</v>
      </c>
      <c r="H167" s="623">
        <v>79</v>
      </c>
      <c r="I167" s="635">
        <v>13120</v>
      </c>
      <c r="J167" s="395">
        <f t="shared" si="21"/>
        <v>120</v>
      </c>
      <c r="K167" s="396">
        <f t="shared" si="22"/>
        <v>0</v>
      </c>
      <c r="L167" s="396">
        <f t="shared" si="23"/>
        <v>0</v>
      </c>
      <c r="M167" s="396">
        <f t="shared" si="24"/>
        <v>0</v>
      </c>
      <c r="N167" s="396">
        <f t="shared" si="25"/>
        <v>0</v>
      </c>
      <c r="O167" s="396">
        <f t="shared" si="26"/>
        <v>0</v>
      </c>
      <c r="P167" s="396">
        <f t="shared" si="29"/>
        <v>0</v>
      </c>
      <c r="Q167" s="397" t="str">
        <f t="shared" si="27"/>
        <v>L</v>
      </c>
      <c r="R167" s="394"/>
      <c r="S167" s="394"/>
      <c r="T167" s="394"/>
      <c r="V167" s="16">
        <f t="shared" si="28"/>
        <v>9480</v>
      </c>
    </row>
    <row r="168" spans="1:22" ht="14.1" customHeight="1">
      <c r="A168" s="377">
        <v>169</v>
      </c>
      <c r="B168" s="620" t="s">
        <v>504</v>
      </c>
      <c r="C168" s="618" t="s">
        <v>371</v>
      </c>
      <c r="D168" s="619" t="s">
        <v>438</v>
      </c>
      <c r="E168" s="622" t="s">
        <v>506</v>
      </c>
      <c r="F168" s="621" t="str">
        <f t="shared" si="20"/>
        <v>Gangen en hallen</v>
      </c>
      <c r="G168" s="622" t="s">
        <v>377</v>
      </c>
      <c r="H168" s="623">
        <v>214</v>
      </c>
      <c r="I168" s="635">
        <v>3200</v>
      </c>
      <c r="J168" s="395">
        <f t="shared" si="21"/>
        <v>200</v>
      </c>
      <c r="K168" s="396">
        <f t="shared" si="22"/>
        <v>0</v>
      </c>
      <c r="L168" s="396">
        <f t="shared" si="23"/>
        <v>0</v>
      </c>
      <c r="M168" s="396">
        <f t="shared" si="24"/>
        <v>0</v>
      </c>
      <c r="N168" s="396">
        <f t="shared" si="25"/>
        <v>0</v>
      </c>
      <c r="O168" s="396">
        <f t="shared" si="26"/>
        <v>0</v>
      </c>
      <c r="P168" s="396">
        <f t="shared" si="29"/>
        <v>0</v>
      </c>
      <c r="Q168" s="397" t="str">
        <f t="shared" si="27"/>
        <v>V</v>
      </c>
      <c r="R168" s="394"/>
      <c r="S168" s="394"/>
      <c r="T168" s="394"/>
      <c r="V168" s="16">
        <f t="shared" si="28"/>
        <v>42800</v>
      </c>
    </row>
    <row r="169" spans="1:22" ht="14.1" customHeight="1">
      <c r="A169" s="377">
        <v>170</v>
      </c>
      <c r="B169" s="620" t="s">
        <v>504</v>
      </c>
      <c r="C169" s="618" t="s">
        <v>371</v>
      </c>
      <c r="D169" s="619" t="s">
        <v>439</v>
      </c>
      <c r="E169" s="622" t="s">
        <v>523</v>
      </c>
      <c r="F169" s="621" t="str">
        <f t="shared" si="20"/>
        <v>Administratieve ruimten</v>
      </c>
      <c r="G169" s="622" t="s">
        <v>392</v>
      </c>
      <c r="H169" s="623">
        <v>15</v>
      </c>
      <c r="I169" s="635">
        <v>1126</v>
      </c>
      <c r="J169" s="395">
        <f t="shared" si="21"/>
        <v>126</v>
      </c>
      <c r="K169" s="396">
        <f t="shared" si="22"/>
        <v>0</v>
      </c>
      <c r="L169" s="396">
        <f t="shared" si="23"/>
        <v>0</v>
      </c>
      <c r="M169" s="396">
        <f t="shared" si="24"/>
        <v>0</v>
      </c>
      <c r="N169" s="396">
        <f t="shared" si="25"/>
        <v>0</v>
      </c>
      <c r="O169" s="396">
        <f t="shared" si="26"/>
        <v>0</v>
      </c>
      <c r="P169" s="396">
        <f t="shared" si="29"/>
        <v>0</v>
      </c>
      <c r="Q169" s="397" t="str">
        <f t="shared" si="27"/>
        <v>B</v>
      </c>
      <c r="R169" s="394"/>
      <c r="S169" s="394"/>
      <c r="T169" s="394"/>
      <c r="V169" s="16">
        <f t="shared" si="28"/>
        <v>1890</v>
      </c>
    </row>
    <row r="170" spans="1:22" ht="14.1" customHeight="1">
      <c r="A170" s="377">
        <v>171</v>
      </c>
      <c r="B170" s="620" t="s">
        <v>504</v>
      </c>
      <c r="C170" s="618" t="s">
        <v>371</v>
      </c>
      <c r="D170" s="619" t="s">
        <v>440</v>
      </c>
      <c r="E170" s="622" t="s">
        <v>456</v>
      </c>
      <c r="F170" s="621" t="str">
        <f t="shared" si="20"/>
        <v>Gangen en hallen</v>
      </c>
      <c r="G170" s="622" t="s">
        <v>392</v>
      </c>
      <c r="H170" s="623">
        <v>9</v>
      </c>
      <c r="I170" s="635">
        <v>3200</v>
      </c>
      <c r="J170" s="395">
        <f t="shared" si="21"/>
        <v>200</v>
      </c>
      <c r="K170" s="396">
        <f t="shared" si="22"/>
        <v>0</v>
      </c>
      <c r="L170" s="396">
        <f t="shared" si="23"/>
        <v>0</v>
      </c>
      <c r="M170" s="396">
        <f t="shared" si="24"/>
        <v>0</v>
      </c>
      <c r="N170" s="396">
        <f t="shared" si="25"/>
        <v>0</v>
      </c>
      <c r="O170" s="396">
        <f t="shared" si="26"/>
        <v>0</v>
      </c>
      <c r="P170" s="396">
        <f t="shared" si="29"/>
        <v>0</v>
      </c>
      <c r="Q170" s="397" t="str">
        <f t="shared" si="27"/>
        <v>V</v>
      </c>
      <c r="R170" s="394"/>
      <c r="S170" s="394"/>
      <c r="T170" s="394"/>
      <c r="V170" s="16">
        <f t="shared" si="28"/>
        <v>1800</v>
      </c>
    </row>
    <row r="171" spans="1:22" ht="14.1" customHeight="1">
      <c r="A171" s="377">
        <v>172</v>
      </c>
      <c r="B171" s="620" t="s">
        <v>504</v>
      </c>
      <c r="C171" s="618" t="s">
        <v>371</v>
      </c>
      <c r="D171" s="619" t="s">
        <v>441</v>
      </c>
      <c r="E171" s="622" t="s">
        <v>524</v>
      </c>
      <c r="F171" s="621" t="str">
        <f t="shared" si="20"/>
        <v>Leslokalen</v>
      </c>
      <c r="G171" s="622" t="s">
        <v>465</v>
      </c>
      <c r="H171" s="623">
        <v>84</v>
      </c>
      <c r="I171" s="635">
        <v>13120</v>
      </c>
      <c r="J171" s="395">
        <f t="shared" si="21"/>
        <v>120</v>
      </c>
      <c r="K171" s="396">
        <f t="shared" si="22"/>
        <v>0</v>
      </c>
      <c r="L171" s="396">
        <f t="shared" si="23"/>
        <v>0</v>
      </c>
      <c r="M171" s="396">
        <f t="shared" si="24"/>
        <v>0</v>
      </c>
      <c r="N171" s="396">
        <f t="shared" si="25"/>
        <v>0</v>
      </c>
      <c r="O171" s="396">
        <f t="shared" si="26"/>
        <v>0</v>
      </c>
      <c r="P171" s="396">
        <f t="shared" si="29"/>
        <v>0</v>
      </c>
      <c r="Q171" s="397" t="str">
        <f t="shared" si="27"/>
        <v>L</v>
      </c>
      <c r="R171" s="394"/>
      <c r="S171" s="394"/>
      <c r="T171" s="394"/>
      <c r="V171" s="16">
        <f t="shared" si="28"/>
        <v>10080</v>
      </c>
    </row>
    <row r="172" spans="1:22" ht="14.1" customHeight="1">
      <c r="A172" s="377">
        <v>173</v>
      </c>
      <c r="B172" s="620" t="s">
        <v>504</v>
      </c>
      <c r="C172" s="618" t="s">
        <v>371</v>
      </c>
      <c r="D172" s="619" t="s">
        <v>442</v>
      </c>
      <c r="E172" s="622" t="s">
        <v>525</v>
      </c>
      <c r="F172" s="621" t="str">
        <f t="shared" si="20"/>
        <v>Administratieve ruimten</v>
      </c>
      <c r="G172" s="622" t="s">
        <v>392</v>
      </c>
      <c r="H172" s="623">
        <v>26</v>
      </c>
      <c r="I172" s="635">
        <v>1210</v>
      </c>
      <c r="J172" s="395">
        <f t="shared" si="21"/>
        <v>210</v>
      </c>
      <c r="K172" s="396">
        <f t="shared" si="22"/>
        <v>0</v>
      </c>
      <c r="L172" s="396">
        <f t="shared" si="23"/>
        <v>0</v>
      </c>
      <c r="M172" s="396">
        <f t="shared" si="24"/>
        <v>0</v>
      </c>
      <c r="N172" s="396">
        <f t="shared" si="25"/>
        <v>0</v>
      </c>
      <c r="O172" s="396">
        <f t="shared" si="26"/>
        <v>0</v>
      </c>
      <c r="P172" s="396">
        <f t="shared" si="29"/>
        <v>0</v>
      </c>
      <c r="Q172" s="397" t="str">
        <f t="shared" si="27"/>
        <v>B</v>
      </c>
      <c r="R172" s="394"/>
      <c r="S172" s="394"/>
      <c r="T172" s="394"/>
      <c r="V172" s="16">
        <f t="shared" si="28"/>
        <v>5460</v>
      </c>
    </row>
    <row r="173" spans="1:22" ht="14.1" customHeight="1">
      <c r="A173" s="377">
        <v>174</v>
      </c>
      <c r="B173" s="620" t="s">
        <v>504</v>
      </c>
      <c r="C173" s="618" t="s">
        <v>371</v>
      </c>
      <c r="D173" s="619" t="s">
        <v>444</v>
      </c>
      <c r="E173" s="622" t="s">
        <v>525</v>
      </c>
      <c r="F173" s="621" t="str">
        <f t="shared" si="20"/>
        <v>Administratieve ruimten</v>
      </c>
      <c r="G173" s="622" t="s">
        <v>465</v>
      </c>
      <c r="H173" s="623">
        <v>12</v>
      </c>
      <c r="I173" s="635">
        <v>1210</v>
      </c>
      <c r="J173" s="395">
        <f t="shared" si="21"/>
        <v>210</v>
      </c>
      <c r="K173" s="396">
        <f t="shared" si="22"/>
        <v>0</v>
      </c>
      <c r="L173" s="396">
        <f t="shared" si="23"/>
        <v>0</v>
      </c>
      <c r="M173" s="396">
        <f t="shared" si="24"/>
        <v>0</v>
      </c>
      <c r="N173" s="396">
        <f t="shared" si="25"/>
        <v>0</v>
      </c>
      <c r="O173" s="396">
        <f t="shared" si="26"/>
        <v>0</v>
      </c>
      <c r="P173" s="396">
        <f t="shared" si="29"/>
        <v>0</v>
      </c>
      <c r="Q173" s="397" t="str">
        <f t="shared" si="27"/>
        <v>B</v>
      </c>
      <c r="R173" s="394"/>
      <c r="S173" s="394"/>
      <c r="T173" s="394"/>
      <c r="V173" s="16">
        <f t="shared" si="28"/>
        <v>2520</v>
      </c>
    </row>
    <row r="174" spans="1:22" ht="14.1" customHeight="1">
      <c r="A174" s="377">
        <v>175</v>
      </c>
      <c r="B174" s="620" t="s">
        <v>504</v>
      </c>
      <c r="C174" s="618" t="s">
        <v>371</v>
      </c>
      <c r="D174" s="619" t="s">
        <v>446</v>
      </c>
      <c r="E174" s="622" t="s">
        <v>526</v>
      </c>
      <c r="F174" s="621" t="str">
        <f t="shared" si="20"/>
        <v>Leslokalen</v>
      </c>
      <c r="G174" s="622" t="s">
        <v>392</v>
      </c>
      <c r="H174" s="623">
        <v>18</v>
      </c>
      <c r="I174" s="635">
        <v>13120</v>
      </c>
      <c r="J174" s="395">
        <f t="shared" si="21"/>
        <v>120</v>
      </c>
      <c r="K174" s="396">
        <f t="shared" si="22"/>
        <v>0</v>
      </c>
      <c r="L174" s="396">
        <f t="shared" si="23"/>
        <v>0</v>
      </c>
      <c r="M174" s="396">
        <f t="shared" si="24"/>
        <v>0</v>
      </c>
      <c r="N174" s="396">
        <f t="shared" si="25"/>
        <v>0</v>
      </c>
      <c r="O174" s="396">
        <f t="shared" si="26"/>
        <v>0</v>
      </c>
      <c r="P174" s="396">
        <f t="shared" si="29"/>
        <v>0</v>
      </c>
      <c r="Q174" s="397" t="str">
        <f t="shared" si="27"/>
        <v>L</v>
      </c>
      <c r="R174" s="394"/>
      <c r="S174" s="394"/>
      <c r="T174" s="394"/>
      <c r="V174" s="16">
        <f t="shared" si="28"/>
        <v>2160</v>
      </c>
    </row>
    <row r="175" spans="1:22" ht="14.1" customHeight="1">
      <c r="A175" s="377">
        <v>176</v>
      </c>
      <c r="B175" s="620" t="s">
        <v>504</v>
      </c>
      <c r="C175" s="618" t="s">
        <v>371</v>
      </c>
      <c r="D175" s="619" t="s">
        <v>448</v>
      </c>
      <c r="E175" s="622" t="s">
        <v>527</v>
      </c>
      <c r="F175" s="621" t="str">
        <f t="shared" si="20"/>
        <v>Sanitaire ruimten</v>
      </c>
      <c r="G175" s="622" t="s">
        <v>377</v>
      </c>
      <c r="H175" s="623">
        <v>6</v>
      </c>
      <c r="I175" s="635">
        <v>2210</v>
      </c>
      <c r="J175" s="395">
        <f t="shared" si="21"/>
        <v>210</v>
      </c>
      <c r="K175" s="396">
        <f t="shared" si="22"/>
        <v>0</v>
      </c>
      <c r="L175" s="396">
        <f t="shared" si="23"/>
        <v>0</v>
      </c>
      <c r="M175" s="396">
        <f t="shared" si="24"/>
        <v>0</v>
      </c>
      <c r="N175" s="396">
        <f t="shared" si="25"/>
        <v>0</v>
      </c>
      <c r="O175" s="396">
        <f t="shared" si="26"/>
        <v>0</v>
      </c>
      <c r="P175" s="396">
        <f t="shared" si="29"/>
        <v>0</v>
      </c>
      <c r="Q175" s="397" t="str">
        <f t="shared" si="27"/>
        <v>S</v>
      </c>
      <c r="R175" s="394"/>
      <c r="S175" s="394"/>
      <c r="T175" s="394"/>
      <c r="V175" s="16">
        <f t="shared" si="28"/>
        <v>1260</v>
      </c>
    </row>
    <row r="176" spans="1:22" ht="14.1" customHeight="1">
      <c r="A176" s="377">
        <v>177</v>
      </c>
      <c r="B176" s="620" t="s">
        <v>504</v>
      </c>
      <c r="C176" s="618" t="s">
        <v>371</v>
      </c>
      <c r="D176" s="619" t="s">
        <v>450</v>
      </c>
      <c r="E176" s="622" t="s">
        <v>387</v>
      </c>
      <c r="F176" s="621" t="str">
        <f t="shared" si="20"/>
        <v>Sanitaire ruimten</v>
      </c>
      <c r="G176" s="622" t="s">
        <v>377</v>
      </c>
      <c r="H176" s="623">
        <v>34</v>
      </c>
      <c r="I176" s="635">
        <v>2210</v>
      </c>
      <c r="J176" s="395">
        <f t="shared" si="21"/>
        <v>210</v>
      </c>
      <c r="K176" s="396">
        <f t="shared" si="22"/>
        <v>0</v>
      </c>
      <c r="L176" s="396">
        <f t="shared" si="23"/>
        <v>0</v>
      </c>
      <c r="M176" s="396">
        <f t="shared" si="24"/>
        <v>0</v>
      </c>
      <c r="N176" s="396">
        <f t="shared" si="25"/>
        <v>0</v>
      </c>
      <c r="O176" s="396">
        <f t="shared" si="26"/>
        <v>0</v>
      </c>
      <c r="P176" s="396">
        <f t="shared" si="29"/>
        <v>0</v>
      </c>
      <c r="Q176" s="397" t="str">
        <f t="shared" si="27"/>
        <v>S</v>
      </c>
      <c r="R176" s="394"/>
      <c r="S176" s="394"/>
      <c r="T176" s="394"/>
      <c r="V176" s="16">
        <f t="shared" si="28"/>
        <v>7140</v>
      </c>
    </row>
    <row r="177" spans="1:22" ht="14.1" customHeight="1">
      <c r="A177" s="377">
        <v>178</v>
      </c>
      <c r="B177" s="620" t="s">
        <v>504</v>
      </c>
      <c r="C177" s="618" t="s">
        <v>371</v>
      </c>
      <c r="D177" s="619" t="s">
        <v>452</v>
      </c>
      <c r="E177" s="622" t="s">
        <v>395</v>
      </c>
      <c r="F177" s="621" t="str">
        <f t="shared" si="20"/>
        <v>Gangen en hallen</v>
      </c>
      <c r="G177" s="622" t="s">
        <v>377</v>
      </c>
      <c r="H177" s="623">
        <v>38</v>
      </c>
      <c r="I177" s="635">
        <v>3200</v>
      </c>
      <c r="J177" s="395">
        <f t="shared" si="21"/>
        <v>200</v>
      </c>
      <c r="K177" s="396">
        <f t="shared" si="22"/>
        <v>0</v>
      </c>
      <c r="L177" s="396">
        <f t="shared" si="23"/>
        <v>0</v>
      </c>
      <c r="M177" s="396">
        <f t="shared" si="24"/>
        <v>0</v>
      </c>
      <c r="N177" s="396">
        <f t="shared" si="25"/>
        <v>0</v>
      </c>
      <c r="O177" s="396">
        <f t="shared" si="26"/>
        <v>0</v>
      </c>
      <c r="P177" s="396">
        <f t="shared" si="29"/>
        <v>0</v>
      </c>
      <c r="Q177" s="397" t="str">
        <f t="shared" si="27"/>
        <v>V</v>
      </c>
      <c r="R177" s="394"/>
      <c r="S177" s="394"/>
      <c r="T177" s="394"/>
      <c r="V177" s="16">
        <f t="shared" si="28"/>
        <v>7600</v>
      </c>
    </row>
    <row r="178" spans="1:22" ht="14.1" customHeight="1">
      <c r="A178" s="377">
        <v>179</v>
      </c>
      <c r="B178" s="620" t="s">
        <v>504</v>
      </c>
      <c r="C178" s="618" t="s">
        <v>371</v>
      </c>
      <c r="D178" s="619" t="s">
        <v>453</v>
      </c>
      <c r="E178" s="622" t="s">
        <v>528</v>
      </c>
      <c r="F178" s="621" t="str">
        <f t="shared" si="20"/>
        <v>Leslokalen praktijk</v>
      </c>
      <c r="G178" s="622" t="s">
        <v>377</v>
      </c>
      <c r="H178" s="623">
        <v>181</v>
      </c>
      <c r="I178" s="635">
        <v>16200</v>
      </c>
      <c r="J178" s="395">
        <f t="shared" si="21"/>
        <v>200</v>
      </c>
      <c r="K178" s="396">
        <f t="shared" si="22"/>
        <v>0</v>
      </c>
      <c r="L178" s="396">
        <f t="shared" si="23"/>
        <v>0</v>
      </c>
      <c r="M178" s="396">
        <f t="shared" si="24"/>
        <v>0</v>
      </c>
      <c r="N178" s="396">
        <f t="shared" si="25"/>
        <v>0</v>
      </c>
      <c r="O178" s="396">
        <f t="shared" si="26"/>
        <v>0</v>
      </c>
      <c r="P178" s="396">
        <f t="shared" si="29"/>
        <v>0</v>
      </c>
      <c r="Q178" s="397" t="str">
        <f t="shared" si="27"/>
        <v>L</v>
      </c>
      <c r="R178" s="394"/>
      <c r="S178" s="394"/>
      <c r="T178" s="394"/>
      <c r="V178" s="16">
        <f t="shared" si="28"/>
        <v>36200</v>
      </c>
    </row>
    <row r="179" spans="1:22" ht="14.1" customHeight="1">
      <c r="A179" s="377">
        <v>180</v>
      </c>
      <c r="B179" s="620" t="s">
        <v>504</v>
      </c>
      <c r="C179" s="618" t="s">
        <v>371</v>
      </c>
      <c r="D179" s="619" t="s">
        <v>455</v>
      </c>
      <c r="E179" s="622" t="s">
        <v>529</v>
      </c>
      <c r="F179" s="621" t="str">
        <f t="shared" si="20"/>
        <v>Niet van toepassing</v>
      </c>
      <c r="G179" s="622" t="s">
        <v>392</v>
      </c>
      <c r="H179" s="623">
        <v>11</v>
      </c>
      <c r="I179" s="635" t="s">
        <v>229</v>
      </c>
      <c r="J179" s="395">
        <f t="shared" si="21"/>
        <v>0</v>
      </c>
      <c r="K179" s="396">
        <f t="shared" si="22"/>
        <v>0</v>
      </c>
      <c r="L179" s="396">
        <f t="shared" si="23"/>
        <v>0</v>
      </c>
      <c r="M179" s="396">
        <f t="shared" si="24"/>
        <v>0</v>
      </c>
      <c r="N179" s="396">
        <f t="shared" si="25"/>
        <v>0</v>
      </c>
      <c r="O179" s="396">
        <f t="shared" si="26"/>
        <v>0</v>
      </c>
      <c r="P179" s="396">
        <f t="shared" si="29"/>
        <v>0</v>
      </c>
      <c r="Q179" s="397">
        <f t="shared" si="27"/>
        <v>0</v>
      </c>
      <c r="R179" s="394"/>
      <c r="S179" s="394"/>
      <c r="T179" s="394"/>
      <c r="V179" s="16">
        <f t="shared" si="28"/>
        <v>0</v>
      </c>
    </row>
    <row r="180" spans="1:22" ht="14.1" customHeight="1">
      <c r="A180" s="377">
        <v>181</v>
      </c>
      <c r="B180" s="620" t="s">
        <v>504</v>
      </c>
      <c r="C180" s="618" t="s">
        <v>371</v>
      </c>
      <c r="D180" s="619" t="s">
        <v>457</v>
      </c>
      <c r="E180" s="622" t="s">
        <v>530</v>
      </c>
      <c r="F180" s="621" t="str">
        <f t="shared" si="20"/>
        <v>Leslokalen</v>
      </c>
      <c r="G180" s="622" t="s">
        <v>392</v>
      </c>
      <c r="H180" s="623">
        <v>163</v>
      </c>
      <c r="I180" s="635">
        <v>13120</v>
      </c>
      <c r="J180" s="395">
        <f t="shared" si="21"/>
        <v>120</v>
      </c>
      <c r="K180" s="396">
        <f t="shared" si="22"/>
        <v>0</v>
      </c>
      <c r="L180" s="396">
        <f t="shared" si="23"/>
        <v>0</v>
      </c>
      <c r="M180" s="396">
        <f t="shared" si="24"/>
        <v>0</v>
      </c>
      <c r="N180" s="396">
        <f t="shared" si="25"/>
        <v>0</v>
      </c>
      <c r="O180" s="396">
        <f t="shared" si="26"/>
        <v>0</v>
      </c>
      <c r="P180" s="396">
        <f t="shared" si="29"/>
        <v>0</v>
      </c>
      <c r="Q180" s="397" t="str">
        <f t="shared" si="27"/>
        <v>L</v>
      </c>
      <c r="R180" s="394"/>
      <c r="S180" s="394"/>
      <c r="T180" s="394"/>
      <c r="V180" s="16">
        <f t="shared" si="28"/>
        <v>19560</v>
      </c>
    </row>
    <row r="181" spans="1:22" ht="14.1" customHeight="1">
      <c r="A181" s="377">
        <v>182</v>
      </c>
      <c r="B181" s="620" t="s">
        <v>504</v>
      </c>
      <c r="C181" s="618" t="s">
        <v>371</v>
      </c>
      <c r="D181" s="619" t="s">
        <v>459</v>
      </c>
      <c r="E181" s="622" t="s">
        <v>389</v>
      </c>
      <c r="F181" s="621" t="str">
        <f t="shared" si="20"/>
        <v>Niet van toepassing</v>
      </c>
      <c r="G181" s="622" t="s">
        <v>392</v>
      </c>
      <c r="H181" s="623">
        <v>11</v>
      </c>
      <c r="I181" s="635" t="s">
        <v>229</v>
      </c>
      <c r="J181" s="395">
        <f t="shared" si="21"/>
        <v>0</v>
      </c>
      <c r="K181" s="396">
        <f t="shared" si="22"/>
        <v>0</v>
      </c>
      <c r="L181" s="396">
        <f t="shared" si="23"/>
        <v>0</v>
      </c>
      <c r="M181" s="396">
        <f t="shared" si="24"/>
        <v>0</v>
      </c>
      <c r="N181" s="396">
        <f t="shared" si="25"/>
        <v>0</v>
      </c>
      <c r="O181" s="396">
        <f t="shared" si="26"/>
        <v>0</v>
      </c>
      <c r="P181" s="396">
        <f t="shared" si="29"/>
        <v>0</v>
      </c>
      <c r="Q181" s="397">
        <f t="shared" si="27"/>
        <v>0</v>
      </c>
      <c r="R181" s="394"/>
      <c r="S181" s="394"/>
      <c r="T181" s="394"/>
      <c r="V181" s="16">
        <f t="shared" si="28"/>
        <v>0</v>
      </c>
    </row>
    <row r="182" spans="1:22" ht="14.1" customHeight="1">
      <c r="A182" s="377">
        <v>183</v>
      </c>
      <c r="B182" s="620" t="s">
        <v>504</v>
      </c>
      <c r="C182" s="618" t="s">
        <v>371</v>
      </c>
      <c r="D182" s="619" t="s">
        <v>531</v>
      </c>
      <c r="E182" s="622" t="s">
        <v>532</v>
      </c>
      <c r="F182" s="621" t="str">
        <f t="shared" si="20"/>
        <v>Leslokalen</v>
      </c>
      <c r="G182" s="622" t="s">
        <v>392</v>
      </c>
      <c r="H182" s="623">
        <v>109</v>
      </c>
      <c r="I182" s="635">
        <v>13120</v>
      </c>
      <c r="J182" s="395">
        <f t="shared" si="21"/>
        <v>120</v>
      </c>
      <c r="K182" s="396">
        <f t="shared" si="22"/>
        <v>0</v>
      </c>
      <c r="L182" s="396">
        <f t="shared" si="23"/>
        <v>0</v>
      </c>
      <c r="M182" s="396">
        <f t="shared" si="24"/>
        <v>0</v>
      </c>
      <c r="N182" s="396">
        <f t="shared" si="25"/>
        <v>0</v>
      </c>
      <c r="O182" s="396">
        <f t="shared" si="26"/>
        <v>0</v>
      </c>
      <c r="P182" s="396">
        <f t="shared" si="29"/>
        <v>0</v>
      </c>
      <c r="Q182" s="397" t="str">
        <f t="shared" si="27"/>
        <v>L</v>
      </c>
      <c r="R182" s="394"/>
      <c r="S182" s="394"/>
      <c r="T182" s="394"/>
      <c r="V182" s="16">
        <f t="shared" si="28"/>
        <v>13080</v>
      </c>
    </row>
    <row r="183" spans="1:22" ht="14.1" customHeight="1">
      <c r="A183" s="377">
        <v>184</v>
      </c>
      <c r="B183" s="620" t="s">
        <v>504</v>
      </c>
      <c r="C183" s="618" t="s">
        <v>371</v>
      </c>
      <c r="D183" s="619" t="s">
        <v>533</v>
      </c>
      <c r="E183" s="622" t="s">
        <v>534</v>
      </c>
      <c r="F183" s="621" t="str">
        <f t="shared" si="20"/>
        <v>Leslokalen praktijk</v>
      </c>
      <c r="G183" s="622" t="s">
        <v>402</v>
      </c>
      <c r="H183" s="623">
        <v>109</v>
      </c>
      <c r="I183" s="635">
        <v>16200</v>
      </c>
      <c r="J183" s="395">
        <f t="shared" si="21"/>
        <v>200</v>
      </c>
      <c r="K183" s="396">
        <f t="shared" si="22"/>
        <v>0</v>
      </c>
      <c r="L183" s="396">
        <f t="shared" si="23"/>
        <v>0</v>
      </c>
      <c r="M183" s="396">
        <f t="shared" si="24"/>
        <v>0</v>
      </c>
      <c r="N183" s="396">
        <f t="shared" si="25"/>
        <v>0</v>
      </c>
      <c r="O183" s="396">
        <f t="shared" si="26"/>
        <v>0</v>
      </c>
      <c r="P183" s="396">
        <f t="shared" si="29"/>
        <v>0</v>
      </c>
      <c r="Q183" s="397" t="str">
        <f t="shared" si="27"/>
        <v>L</v>
      </c>
      <c r="R183" s="394"/>
      <c r="S183" s="394"/>
      <c r="T183" s="394"/>
      <c r="V183" s="16">
        <f t="shared" si="28"/>
        <v>21800</v>
      </c>
    </row>
    <row r="184" spans="1:22" ht="14.1" customHeight="1">
      <c r="A184" s="377">
        <v>185</v>
      </c>
      <c r="B184" s="620" t="s">
        <v>504</v>
      </c>
      <c r="C184" s="618" t="s">
        <v>371</v>
      </c>
      <c r="D184" s="619" t="s">
        <v>535</v>
      </c>
      <c r="E184" s="622" t="s">
        <v>536</v>
      </c>
      <c r="F184" s="621" t="str">
        <f t="shared" si="20"/>
        <v>Leslokalen praktijk</v>
      </c>
      <c r="G184" s="622" t="s">
        <v>402</v>
      </c>
      <c r="H184" s="623">
        <v>84</v>
      </c>
      <c r="I184" s="635">
        <v>16200</v>
      </c>
      <c r="J184" s="395">
        <f t="shared" si="21"/>
        <v>200</v>
      </c>
      <c r="K184" s="396">
        <f t="shared" si="22"/>
        <v>0</v>
      </c>
      <c r="L184" s="396">
        <f t="shared" si="23"/>
        <v>0</v>
      </c>
      <c r="M184" s="396">
        <f t="shared" si="24"/>
        <v>0</v>
      </c>
      <c r="N184" s="396">
        <f t="shared" si="25"/>
        <v>0</v>
      </c>
      <c r="O184" s="396">
        <f t="shared" si="26"/>
        <v>0</v>
      </c>
      <c r="P184" s="396">
        <f t="shared" si="29"/>
        <v>0</v>
      </c>
      <c r="Q184" s="397" t="str">
        <f t="shared" si="27"/>
        <v>L</v>
      </c>
      <c r="R184" s="394"/>
      <c r="S184" s="394"/>
      <c r="T184" s="394"/>
      <c r="V184" s="16">
        <f t="shared" si="28"/>
        <v>16800</v>
      </c>
    </row>
    <row r="185" spans="1:22" ht="14.1" customHeight="1">
      <c r="A185" s="377">
        <v>186</v>
      </c>
      <c r="B185" s="620" t="s">
        <v>504</v>
      </c>
      <c r="C185" s="618" t="s">
        <v>371</v>
      </c>
      <c r="D185" s="619" t="s">
        <v>537</v>
      </c>
      <c r="E185" s="622" t="s">
        <v>512</v>
      </c>
      <c r="F185" s="621" t="str">
        <f t="shared" si="20"/>
        <v>Opslagruimten</v>
      </c>
      <c r="G185" s="622" t="s">
        <v>402</v>
      </c>
      <c r="H185" s="623">
        <v>24</v>
      </c>
      <c r="I185" s="635">
        <v>14012</v>
      </c>
      <c r="J185" s="395">
        <f t="shared" si="21"/>
        <v>12</v>
      </c>
      <c r="K185" s="396">
        <f t="shared" si="22"/>
        <v>0</v>
      </c>
      <c r="L185" s="396">
        <f t="shared" si="23"/>
        <v>0</v>
      </c>
      <c r="M185" s="396">
        <f t="shared" si="24"/>
        <v>0</v>
      </c>
      <c r="N185" s="396">
        <f t="shared" si="25"/>
        <v>0</v>
      </c>
      <c r="O185" s="396">
        <f t="shared" si="26"/>
        <v>0</v>
      </c>
      <c r="P185" s="396">
        <f t="shared" si="29"/>
        <v>0</v>
      </c>
      <c r="Q185" s="397" t="str">
        <f t="shared" si="27"/>
        <v>V</v>
      </c>
      <c r="R185" s="394"/>
      <c r="S185" s="394"/>
      <c r="T185" s="394"/>
      <c r="V185" s="16">
        <f t="shared" si="28"/>
        <v>288</v>
      </c>
    </row>
    <row r="186" spans="1:22" ht="14.1" customHeight="1">
      <c r="A186" s="377">
        <v>187</v>
      </c>
      <c r="B186" s="620" t="s">
        <v>504</v>
      </c>
      <c r="C186" s="618" t="s">
        <v>371</v>
      </c>
      <c r="D186" s="619" t="s">
        <v>538</v>
      </c>
      <c r="E186" s="622" t="s">
        <v>539</v>
      </c>
      <c r="F186" s="621" t="str">
        <f t="shared" si="20"/>
        <v>Leslokalen praktijk</v>
      </c>
      <c r="G186" s="622" t="s">
        <v>402</v>
      </c>
      <c r="H186" s="623">
        <v>94</v>
      </c>
      <c r="I186" s="635">
        <v>16200</v>
      </c>
      <c r="J186" s="395">
        <f t="shared" si="21"/>
        <v>200</v>
      </c>
      <c r="K186" s="396">
        <f t="shared" si="22"/>
        <v>0</v>
      </c>
      <c r="L186" s="396">
        <f t="shared" si="23"/>
        <v>0</v>
      </c>
      <c r="M186" s="396">
        <f t="shared" si="24"/>
        <v>0</v>
      </c>
      <c r="N186" s="396">
        <f t="shared" si="25"/>
        <v>0</v>
      </c>
      <c r="O186" s="396">
        <f t="shared" si="26"/>
        <v>0</v>
      </c>
      <c r="P186" s="396">
        <f t="shared" si="29"/>
        <v>0</v>
      </c>
      <c r="Q186" s="397" t="str">
        <f t="shared" si="27"/>
        <v>L</v>
      </c>
      <c r="R186" s="394"/>
      <c r="S186" s="394"/>
      <c r="T186" s="394"/>
      <c r="V186" s="16">
        <f t="shared" si="28"/>
        <v>18800</v>
      </c>
    </row>
    <row r="187" spans="1:22" ht="14.1" customHeight="1">
      <c r="A187" s="377">
        <v>188</v>
      </c>
      <c r="B187" s="620" t="s">
        <v>504</v>
      </c>
      <c r="C187" s="618" t="s">
        <v>371</v>
      </c>
      <c r="D187" s="619" t="s">
        <v>540</v>
      </c>
      <c r="E187" s="622" t="s">
        <v>512</v>
      </c>
      <c r="F187" s="621" t="str">
        <f t="shared" si="20"/>
        <v>Opslagruimten</v>
      </c>
      <c r="G187" s="622" t="s">
        <v>402</v>
      </c>
      <c r="H187" s="623">
        <v>22</v>
      </c>
      <c r="I187" s="635">
        <v>14012</v>
      </c>
      <c r="J187" s="395">
        <f t="shared" si="21"/>
        <v>12</v>
      </c>
      <c r="K187" s="396">
        <f t="shared" si="22"/>
        <v>0</v>
      </c>
      <c r="L187" s="396">
        <f t="shared" si="23"/>
        <v>0</v>
      </c>
      <c r="M187" s="396">
        <f t="shared" si="24"/>
        <v>0</v>
      </c>
      <c r="N187" s="396">
        <f t="shared" si="25"/>
        <v>0</v>
      </c>
      <c r="O187" s="396">
        <f t="shared" si="26"/>
        <v>0</v>
      </c>
      <c r="P187" s="396">
        <f t="shared" si="29"/>
        <v>0</v>
      </c>
      <c r="Q187" s="397" t="str">
        <f t="shared" si="27"/>
        <v>V</v>
      </c>
      <c r="R187" s="394"/>
      <c r="S187" s="394"/>
      <c r="T187" s="394"/>
      <c r="V187" s="16">
        <f t="shared" si="28"/>
        <v>264</v>
      </c>
    </row>
    <row r="188" spans="1:22" ht="14.1" customHeight="1">
      <c r="A188" s="377">
        <v>189</v>
      </c>
      <c r="B188" s="620" t="s">
        <v>504</v>
      </c>
      <c r="C188" s="618" t="s">
        <v>371</v>
      </c>
      <c r="D188" s="619" t="s">
        <v>541</v>
      </c>
      <c r="E188" s="622" t="s">
        <v>542</v>
      </c>
      <c r="F188" s="621" t="str">
        <f t="shared" si="20"/>
        <v>Leslokalen praktijk</v>
      </c>
      <c r="G188" s="622" t="s">
        <v>543</v>
      </c>
      <c r="H188" s="623">
        <v>178</v>
      </c>
      <c r="I188" s="635">
        <v>16200</v>
      </c>
      <c r="J188" s="395">
        <f t="shared" si="21"/>
        <v>200</v>
      </c>
      <c r="K188" s="396">
        <f t="shared" si="22"/>
        <v>0</v>
      </c>
      <c r="L188" s="396">
        <f t="shared" si="23"/>
        <v>0</v>
      </c>
      <c r="M188" s="396">
        <f t="shared" si="24"/>
        <v>0</v>
      </c>
      <c r="N188" s="396">
        <f t="shared" si="25"/>
        <v>0</v>
      </c>
      <c r="O188" s="396">
        <f t="shared" si="26"/>
        <v>0</v>
      </c>
      <c r="P188" s="396">
        <f t="shared" si="29"/>
        <v>0</v>
      </c>
      <c r="Q188" s="397" t="str">
        <f t="shared" si="27"/>
        <v>L</v>
      </c>
      <c r="R188" s="394"/>
      <c r="S188" s="394"/>
      <c r="T188" s="394"/>
      <c r="V188" s="16">
        <f t="shared" si="28"/>
        <v>35600</v>
      </c>
    </row>
    <row r="189" spans="1:22" ht="14.1" customHeight="1">
      <c r="A189" s="377">
        <v>190</v>
      </c>
      <c r="B189" s="620" t="s">
        <v>504</v>
      </c>
      <c r="C189" s="618" t="s">
        <v>371</v>
      </c>
      <c r="D189" s="619" t="s">
        <v>544</v>
      </c>
      <c r="E189" s="622" t="s">
        <v>545</v>
      </c>
      <c r="F189" s="621" t="str">
        <f t="shared" si="20"/>
        <v>Leslokalen praktijk</v>
      </c>
      <c r="G189" s="622" t="s">
        <v>543</v>
      </c>
      <c r="H189" s="623">
        <v>171</v>
      </c>
      <c r="I189" s="635">
        <v>16200</v>
      </c>
      <c r="J189" s="395">
        <f t="shared" si="21"/>
        <v>200</v>
      </c>
      <c r="K189" s="396">
        <f t="shared" si="22"/>
        <v>0</v>
      </c>
      <c r="L189" s="396">
        <f t="shared" si="23"/>
        <v>0</v>
      </c>
      <c r="M189" s="396">
        <f t="shared" si="24"/>
        <v>0</v>
      </c>
      <c r="N189" s="396">
        <f t="shared" si="25"/>
        <v>0</v>
      </c>
      <c r="O189" s="396">
        <f t="shared" si="26"/>
        <v>0</v>
      </c>
      <c r="P189" s="396">
        <f t="shared" si="29"/>
        <v>0</v>
      </c>
      <c r="Q189" s="397" t="str">
        <f t="shared" si="27"/>
        <v>L</v>
      </c>
      <c r="R189" s="394"/>
      <c r="S189" s="394"/>
      <c r="T189" s="394"/>
      <c r="V189" s="16">
        <f t="shared" si="28"/>
        <v>34200</v>
      </c>
    </row>
    <row r="190" spans="1:22" ht="14.1" customHeight="1">
      <c r="A190" s="377">
        <v>191</v>
      </c>
      <c r="B190" s="620" t="s">
        <v>504</v>
      </c>
      <c r="C190" s="618" t="s">
        <v>371</v>
      </c>
      <c r="D190" s="619" t="s">
        <v>546</v>
      </c>
      <c r="E190" s="622" t="s">
        <v>547</v>
      </c>
      <c r="F190" s="621" t="str">
        <f t="shared" si="20"/>
        <v>Leslokalen praktijk</v>
      </c>
      <c r="G190" s="622" t="s">
        <v>543</v>
      </c>
      <c r="H190" s="623">
        <v>148</v>
      </c>
      <c r="I190" s="635">
        <v>16200</v>
      </c>
      <c r="J190" s="395">
        <f t="shared" si="21"/>
        <v>200</v>
      </c>
      <c r="K190" s="396">
        <f t="shared" si="22"/>
        <v>0</v>
      </c>
      <c r="L190" s="396">
        <f t="shared" si="23"/>
        <v>0</v>
      </c>
      <c r="M190" s="396">
        <f t="shared" si="24"/>
        <v>0</v>
      </c>
      <c r="N190" s="396">
        <f t="shared" si="25"/>
        <v>0</v>
      </c>
      <c r="O190" s="396">
        <f t="shared" si="26"/>
        <v>0</v>
      </c>
      <c r="P190" s="396">
        <f t="shared" si="29"/>
        <v>0</v>
      </c>
      <c r="Q190" s="397" t="str">
        <f t="shared" si="27"/>
        <v>L</v>
      </c>
      <c r="R190" s="394"/>
      <c r="S190" s="394"/>
      <c r="T190" s="394"/>
      <c r="V190" s="16">
        <f t="shared" si="28"/>
        <v>29600</v>
      </c>
    </row>
    <row r="191" spans="1:22" ht="14.1" customHeight="1">
      <c r="A191" s="377">
        <v>192</v>
      </c>
      <c r="B191" s="620" t="s">
        <v>504</v>
      </c>
      <c r="C191" s="618" t="s">
        <v>371</v>
      </c>
      <c r="D191" s="619" t="s">
        <v>548</v>
      </c>
      <c r="E191" s="622" t="s">
        <v>549</v>
      </c>
      <c r="F191" s="621" t="str">
        <f t="shared" si="20"/>
        <v>Leslokalen praktijk</v>
      </c>
      <c r="G191" s="622" t="s">
        <v>550</v>
      </c>
      <c r="H191" s="623">
        <v>295</v>
      </c>
      <c r="I191" s="635">
        <v>16200</v>
      </c>
      <c r="J191" s="395">
        <f t="shared" si="21"/>
        <v>200</v>
      </c>
      <c r="K191" s="396">
        <f t="shared" si="22"/>
        <v>0</v>
      </c>
      <c r="L191" s="396">
        <f t="shared" si="23"/>
        <v>0</v>
      </c>
      <c r="M191" s="396">
        <f t="shared" si="24"/>
        <v>0</v>
      </c>
      <c r="N191" s="396">
        <f t="shared" si="25"/>
        <v>0</v>
      </c>
      <c r="O191" s="396">
        <f t="shared" si="26"/>
        <v>0</v>
      </c>
      <c r="P191" s="396">
        <f t="shared" si="29"/>
        <v>0</v>
      </c>
      <c r="Q191" s="397" t="str">
        <f t="shared" si="27"/>
        <v>L</v>
      </c>
      <c r="R191" s="394"/>
      <c r="S191" s="394"/>
      <c r="T191" s="394"/>
      <c r="V191" s="16">
        <f t="shared" si="28"/>
        <v>59000</v>
      </c>
    </row>
    <row r="192" spans="1:22" ht="14.1" customHeight="1">
      <c r="A192" s="377">
        <v>193</v>
      </c>
      <c r="B192" s="620" t="s">
        <v>504</v>
      </c>
      <c r="C192" s="618" t="s">
        <v>371</v>
      </c>
      <c r="D192" s="619" t="s">
        <v>551</v>
      </c>
      <c r="E192" s="622" t="s">
        <v>552</v>
      </c>
      <c r="F192" s="621" t="str">
        <f t="shared" si="20"/>
        <v>Administratieve ruimten</v>
      </c>
      <c r="G192" s="622" t="s">
        <v>550</v>
      </c>
      <c r="H192" s="623">
        <v>47</v>
      </c>
      <c r="I192" s="635">
        <v>1126</v>
      </c>
      <c r="J192" s="395">
        <f t="shared" si="21"/>
        <v>126</v>
      </c>
      <c r="K192" s="396">
        <f t="shared" si="22"/>
        <v>0</v>
      </c>
      <c r="L192" s="396">
        <f t="shared" si="23"/>
        <v>0</v>
      </c>
      <c r="M192" s="396">
        <f t="shared" si="24"/>
        <v>0</v>
      </c>
      <c r="N192" s="396">
        <f t="shared" si="25"/>
        <v>0</v>
      </c>
      <c r="O192" s="396">
        <f t="shared" si="26"/>
        <v>0</v>
      </c>
      <c r="P192" s="396">
        <f t="shared" si="29"/>
        <v>0</v>
      </c>
      <c r="Q192" s="397" t="str">
        <f t="shared" si="27"/>
        <v>B</v>
      </c>
      <c r="R192" s="394"/>
      <c r="S192" s="394"/>
      <c r="T192" s="394"/>
      <c r="V192" s="16">
        <f t="shared" si="28"/>
        <v>5922</v>
      </c>
    </row>
    <row r="193" spans="1:22" ht="14.1" customHeight="1">
      <c r="A193" s="377">
        <v>194</v>
      </c>
      <c r="B193" s="620" t="s">
        <v>504</v>
      </c>
      <c r="C193" s="618" t="s">
        <v>371</v>
      </c>
      <c r="D193" s="619" t="s">
        <v>553</v>
      </c>
      <c r="E193" s="622" t="s">
        <v>554</v>
      </c>
      <c r="F193" s="621" t="str">
        <f t="shared" si="20"/>
        <v>Leslokalen praktijk</v>
      </c>
      <c r="G193" s="622" t="s">
        <v>392</v>
      </c>
      <c r="H193" s="623">
        <v>155</v>
      </c>
      <c r="I193" s="635">
        <v>16200</v>
      </c>
      <c r="J193" s="395">
        <f t="shared" si="21"/>
        <v>200</v>
      </c>
      <c r="K193" s="396">
        <f t="shared" si="22"/>
        <v>0</v>
      </c>
      <c r="L193" s="396">
        <f t="shared" si="23"/>
        <v>0</v>
      </c>
      <c r="M193" s="396">
        <f t="shared" si="24"/>
        <v>0</v>
      </c>
      <c r="N193" s="396">
        <f t="shared" si="25"/>
        <v>0</v>
      </c>
      <c r="O193" s="396">
        <f t="shared" si="26"/>
        <v>0</v>
      </c>
      <c r="P193" s="396">
        <f t="shared" si="29"/>
        <v>0</v>
      </c>
      <c r="Q193" s="397" t="str">
        <f t="shared" si="27"/>
        <v>L</v>
      </c>
      <c r="R193" s="394"/>
      <c r="S193" s="394"/>
      <c r="T193" s="394"/>
      <c r="V193" s="16">
        <f t="shared" si="28"/>
        <v>31000</v>
      </c>
    </row>
    <row r="194" spans="1:22" ht="14.1" customHeight="1">
      <c r="A194" s="377">
        <v>195</v>
      </c>
      <c r="B194" s="620" t="s">
        <v>504</v>
      </c>
      <c r="C194" s="618" t="s">
        <v>371</v>
      </c>
      <c r="D194" s="619" t="s">
        <v>555</v>
      </c>
      <c r="E194" s="622" t="s">
        <v>385</v>
      </c>
      <c r="F194" s="621" t="str">
        <f t="shared" si="20"/>
        <v>Sanitaire ruimten</v>
      </c>
      <c r="G194" s="622" t="s">
        <v>377</v>
      </c>
      <c r="H194" s="623">
        <v>17</v>
      </c>
      <c r="I194" s="635">
        <v>2210</v>
      </c>
      <c r="J194" s="395">
        <f t="shared" si="21"/>
        <v>210</v>
      </c>
      <c r="K194" s="396">
        <f t="shared" si="22"/>
        <v>0</v>
      </c>
      <c r="L194" s="396">
        <f t="shared" si="23"/>
        <v>0</v>
      </c>
      <c r="M194" s="396">
        <f t="shared" si="24"/>
        <v>0</v>
      </c>
      <c r="N194" s="396">
        <f t="shared" si="25"/>
        <v>0</v>
      </c>
      <c r="O194" s="396">
        <f t="shared" si="26"/>
        <v>0</v>
      </c>
      <c r="P194" s="396">
        <f t="shared" si="29"/>
        <v>0</v>
      </c>
      <c r="Q194" s="397" t="str">
        <f t="shared" si="27"/>
        <v>S</v>
      </c>
      <c r="R194" s="394"/>
      <c r="S194" s="394"/>
      <c r="T194" s="394"/>
      <c r="V194" s="16">
        <f t="shared" si="28"/>
        <v>3570</v>
      </c>
    </row>
    <row r="195" spans="1:22" ht="14.1" customHeight="1">
      <c r="A195" s="377">
        <v>196</v>
      </c>
      <c r="B195" s="620" t="s">
        <v>504</v>
      </c>
      <c r="C195" s="618" t="s">
        <v>371</v>
      </c>
      <c r="D195" s="619" t="s">
        <v>556</v>
      </c>
      <c r="E195" s="622" t="s">
        <v>557</v>
      </c>
      <c r="F195" s="621" t="str">
        <f t="shared" si="20"/>
        <v>Leslokalen praktijk</v>
      </c>
      <c r="G195" s="622" t="s">
        <v>402</v>
      </c>
      <c r="H195" s="623">
        <v>350</v>
      </c>
      <c r="I195" s="635">
        <v>16200</v>
      </c>
      <c r="J195" s="395">
        <f t="shared" si="21"/>
        <v>200</v>
      </c>
      <c r="K195" s="396">
        <f t="shared" si="22"/>
        <v>0</v>
      </c>
      <c r="L195" s="396">
        <f t="shared" si="23"/>
        <v>0</v>
      </c>
      <c r="M195" s="396">
        <f t="shared" si="24"/>
        <v>0</v>
      </c>
      <c r="N195" s="396">
        <f t="shared" si="25"/>
        <v>0</v>
      </c>
      <c r="O195" s="396">
        <f t="shared" si="26"/>
        <v>0</v>
      </c>
      <c r="P195" s="396">
        <f t="shared" si="29"/>
        <v>0</v>
      </c>
      <c r="Q195" s="397" t="str">
        <f t="shared" si="27"/>
        <v>L</v>
      </c>
      <c r="R195" s="394"/>
      <c r="S195" s="394"/>
      <c r="T195" s="394"/>
      <c r="V195" s="16">
        <f t="shared" si="28"/>
        <v>70000</v>
      </c>
    </row>
    <row r="196" spans="1:22" ht="14.1" customHeight="1">
      <c r="A196" s="377">
        <v>197</v>
      </c>
      <c r="B196" s="620" t="s">
        <v>504</v>
      </c>
      <c r="C196" s="618" t="s">
        <v>371</v>
      </c>
      <c r="D196" s="619" t="s">
        <v>558</v>
      </c>
      <c r="E196" s="622" t="s">
        <v>559</v>
      </c>
      <c r="F196" s="621" t="str">
        <f t="shared" si="20"/>
        <v>Leslokalen</v>
      </c>
      <c r="G196" s="622" t="s">
        <v>402</v>
      </c>
      <c r="H196" s="623">
        <v>58</v>
      </c>
      <c r="I196" s="635">
        <v>13120</v>
      </c>
      <c r="J196" s="395">
        <f t="shared" si="21"/>
        <v>120</v>
      </c>
      <c r="K196" s="396">
        <f t="shared" si="22"/>
        <v>0</v>
      </c>
      <c r="L196" s="396">
        <f t="shared" si="23"/>
        <v>0</v>
      </c>
      <c r="M196" s="396">
        <f t="shared" si="24"/>
        <v>0</v>
      </c>
      <c r="N196" s="396">
        <f t="shared" si="25"/>
        <v>0</v>
      </c>
      <c r="O196" s="396">
        <f t="shared" si="26"/>
        <v>0</v>
      </c>
      <c r="P196" s="396">
        <f t="shared" si="29"/>
        <v>0</v>
      </c>
      <c r="Q196" s="397" t="str">
        <f t="shared" si="27"/>
        <v>L</v>
      </c>
      <c r="R196" s="394"/>
      <c r="S196" s="394"/>
      <c r="T196" s="394"/>
      <c r="V196" s="16">
        <f t="shared" si="28"/>
        <v>6960</v>
      </c>
    </row>
    <row r="197" spans="1:22" ht="14.1" customHeight="1">
      <c r="A197" s="377">
        <v>198</v>
      </c>
      <c r="B197" s="620" t="s">
        <v>504</v>
      </c>
      <c r="C197" s="618" t="s">
        <v>371</v>
      </c>
      <c r="D197" s="619" t="s">
        <v>560</v>
      </c>
      <c r="E197" s="622" t="s">
        <v>512</v>
      </c>
      <c r="F197" s="621" t="str">
        <f t="shared" si="20"/>
        <v>Opslagruimten</v>
      </c>
      <c r="G197" s="622" t="s">
        <v>392</v>
      </c>
      <c r="H197" s="623">
        <v>23</v>
      </c>
      <c r="I197" s="635">
        <v>14012</v>
      </c>
      <c r="J197" s="395">
        <f t="shared" si="21"/>
        <v>12</v>
      </c>
      <c r="K197" s="396">
        <f t="shared" si="22"/>
        <v>0</v>
      </c>
      <c r="L197" s="396">
        <f t="shared" si="23"/>
        <v>0</v>
      </c>
      <c r="M197" s="396">
        <f t="shared" si="24"/>
        <v>0</v>
      </c>
      <c r="N197" s="396">
        <f t="shared" si="25"/>
        <v>0</v>
      </c>
      <c r="O197" s="396">
        <f t="shared" si="26"/>
        <v>0</v>
      </c>
      <c r="P197" s="396">
        <f t="shared" si="29"/>
        <v>0</v>
      </c>
      <c r="Q197" s="397" t="str">
        <f t="shared" si="27"/>
        <v>V</v>
      </c>
      <c r="R197" s="394"/>
      <c r="S197" s="394"/>
      <c r="T197" s="394"/>
      <c r="V197" s="16">
        <f t="shared" si="28"/>
        <v>276</v>
      </c>
    </row>
    <row r="198" spans="1:22" ht="14.1" customHeight="1">
      <c r="A198" s="377">
        <v>199</v>
      </c>
      <c r="B198" s="620" t="s">
        <v>504</v>
      </c>
      <c r="C198" s="618" t="s">
        <v>371</v>
      </c>
      <c r="D198" s="619" t="s">
        <v>561</v>
      </c>
      <c r="E198" s="622" t="s">
        <v>389</v>
      </c>
      <c r="F198" s="621" t="str">
        <f t="shared" si="20"/>
        <v>Niet van toepassing</v>
      </c>
      <c r="G198" s="622" t="s">
        <v>377</v>
      </c>
      <c r="H198" s="623">
        <v>2</v>
      </c>
      <c r="I198" s="635" t="s">
        <v>229</v>
      </c>
      <c r="J198" s="395">
        <f t="shared" si="21"/>
        <v>0</v>
      </c>
      <c r="K198" s="396">
        <f t="shared" si="22"/>
        <v>0</v>
      </c>
      <c r="L198" s="396">
        <f t="shared" si="23"/>
        <v>0</v>
      </c>
      <c r="M198" s="396">
        <f t="shared" si="24"/>
        <v>0</v>
      </c>
      <c r="N198" s="396">
        <f t="shared" si="25"/>
        <v>0</v>
      </c>
      <c r="O198" s="396">
        <f t="shared" si="26"/>
        <v>0</v>
      </c>
      <c r="P198" s="396">
        <f t="shared" si="29"/>
        <v>0</v>
      </c>
      <c r="Q198" s="397">
        <f t="shared" si="27"/>
        <v>0</v>
      </c>
      <c r="R198" s="394"/>
      <c r="S198" s="394"/>
      <c r="T198" s="394"/>
      <c r="V198" s="16">
        <f t="shared" si="28"/>
        <v>0</v>
      </c>
    </row>
    <row r="199" spans="1:22" ht="14.1" customHeight="1">
      <c r="A199" s="377">
        <v>200</v>
      </c>
      <c r="B199" s="620" t="s">
        <v>504</v>
      </c>
      <c r="C199" s="618" t="s">
        <v>371</v>
      </c>
      <c r="D199" s="619" t="s">
        <v>562</v>
      </c>
      <c r="E199" s="622" t="s">
        <v>563</v>
      </c>
      <c r="F199" s="621" t="str">
        <f t="shared" si="20"/>
        <v>Leslokalen praktijk</v>
      </c>
      <c r="G199" s="622" t="s">
        <v>377</v>
      </c>
      <c r="H199" s="623">
        <v>22</v>
      </c>
      <c r="I199" s="635">
        <v>16200</v>
      </c>
      <c r="J199" s="395">
        <f t="shared" si="21"/>
        <v>200</v>
      </c>
      <c r="K199" s="396">
        <f t="shared" si="22"/>
        <v>0</v>
      </c>
      <c r="L199" s="396">
        <f t="shared" si="23"/>
        <v>0</v>
      </c>
      <c r="M199" s="396">
        <f t="shared" si="24"/>
        <v>0</v>
      </c>
      <c r="N199" s="396">
        <f t="shared" si="25"/>
        <v>0</v>
      </c>
      <c r="O199" s="396">
        <f t="shared" si="26"/>
        <v>0</v>
      </c>
      <c r="P199" s="396">
        <f t="shared" si="29"/>
        <v>0</v>
      </c>
      <c r="Q199" s="397" t="str">
        <f t="shared" si="27"/>
        <v>L</v>
      </c>
      <c r="R199" s="394"/>
      <c r="S199" s="394"/>
      <c r="T199" s="394"/>
      <c r="V199" s="16">
        <f t="shared" si="28"/>
        <v>4400</v>
      </c>
    </row>
    <row r="200" spans="1:22" ht="14.1" customHeight="1">
      <c r="A200" s="377">
        <v>201</v>
      </c>
      <c r="B200" s="620" t="s">
        <v>504</v>
      </c>
      <c r="C200" s="618" t="s">
        <v>371</v>
      </c>
      <c r="D200" s="619" t="s">
        <v>564</v>
      </c>
      <c r="E200" s="622" t="s">
        <v>565</v>
      </c>
      <c r="F200" s="621" t="str">
        <f t="shared" si="20"/>
        <v>Leslokalen</v>
      </c>
      <c r="G200" s="622" t="s">
        <v>392</v>
      </c>
      <c r="H200" s="623">
        <v>147</v>
      </c>
      <c r="I200" s="635">
        <v>13120</v>
      </c>
      <c r="J200" s="395">
        <f t="shared" si="21"/>
        <v>120</v>
      </c>
      <c r="K200" s="396">
        <f t="shared" si="22"/>
        <v>0</v>
      </c>
      <c r="L200" s="396">
        <f t="shared" si="23"/>
        <v>0</v>
      </c>
      <c r="M200" s="396">
        <f t="shared" si="24"/>
        <v>0</v>
      </c>
      <c r="N200" s="396">
        <f t="shared" si="25"/>
        <v>0</v>
      </c>
      <c r="O200" s="396">
        <f t="shared" si="26"/>
        <v>0</v>
      </c>
      <c r="P200" s="396">
        <f t="shared" si="29"/>
        <v>0</v>
      </c>
      <c r="Q200" s="397" t="str">
        <f t="shared" si="27"/>
        <v>L</v>
      </c>
      <c r="R200" s="394"/>
      <c r="S200" s="394"/>
      <c r="T200" s="394"/>
      <c r="V200" s="16">
        <f t="shared" si="28"/>
        <v>17640</v>
      </c>
    </row>
    <row r="201" spans="1:22" ht="14.1" customHeight="1">
      <c r="A201" s="377">
        <v>202</v>
      </c>
      <c r="B201" s="620" t="s">
        <v>504</v>
      </c>
      <c r="C201" s="618" t="s">
        <v>371</v>
      </c>
      <c r="D201" s="619" t="s">
        <v>566</v>
      </c>
      <c r="E201" s="622" t="s">
        <v>567</v>
      </c>
      <c r="F201" s="621" t="str">
        <f t="shared" ref="F201:F264" si="30">IF($I201="",0,VLOOKUP($I201,Kengetal,3,FALSE))</f>
        <v>Administratieve ruimten</v>
      </c>
      <c r="G201" s="622" t="s">
        <v>465</v>
      </c>
      <c r="H201" s="623">
        <v>83</v>
      </c>
      <c r="I201" s="635">
        <v>1126</v>
      </c>
      <c r="J201" s="395">
        <f t="shared" ref="J201:J264" si="31">SUM(IF(I201="",0,VLOOKUP(I201,Kengetal,2)))</f>
        <v>126</v>
      </c>
      <c r="K201" s="396">
        <f t="shared" ref="K201:K264" si="32">N201*H201</f>
        <v>0</v>
      </c>
      <c r="L201" s="396">
        <f t="shared" ref="L201:L264" si="33">O201*H201</f>
        <v>0</v>
      </c>
      <c r="M201" s="396">
        <f t="shared" ref="M201:M264" si="34">P201*H201</f>
        <v>0</v>
      </c>
      <c r="N201" s="396">
        <f t="shared" ref="N201:N264" si="35">IF($I201="",0,VLOOKUP($I201,Kengetal,5,FALSE))</f>
        <v>0</v>
      </c>
      <c r="O201" s="396">
        <f t="shared" ref="O201:O264" si="36">IF($I201="",0,VLOOKUP($I201,Kengetal,6,FALSE))</f>
        <v>0</v>
      </c>
      <c r="P201" s="396">
        <f t="shared" si="29"/>
        <v>0</v>
      </c>
      <c r="Q201" s="397" t="str">
        <f t="shared" ref="Q201:Q264" si="37">IF(I201="","",VLOOKUP(I201,Kengetal,12,FALSE))</f>
        <v>B</v>
      </c>
      <c r="R201" s="394"/>
      <c r="S201" s="394"/>
      <c r="T201" s="394"/>
      <c r="V201" s="16">
        <f t="shared" ref="V201:V264" si="38">H201*J201</f>
        <v>10458</v>
      </c>
    </row>
    <row r="202" spans="1:22" ht="14.1" customHeight="1">
      <c r="A202" s="377">
        <v>203</v>
      </c>
      <c r="B202" s="620" t="s">
        <v>504</v>
      </c>
      <c r="C202" s="618" t="s">
        <v>371</v>
      </c>
      <c r="D202" s="619" t="s">
        <v>568</v>
      </c>
      <c r="E202" s="622" t="s">
        <v>569</v>
      </c>
      <c r="F202" s="621" t="str">
        <f t="shared" si="30"/>
        <v>Gangen en hallen</v>
      </c>
      <c r="G202" s="622" t="s">
        <v>377</v>
      </c>
      <c r="H202" s="623">
        <v>7</v>
      </c>
      <c r="I202" s="635">
        <v>3200</v>
      </c>
      <c r="J202" s="395">
        <f t="shared" si="31"/>
        <v>200</v>
      </c>
      <c r="K202" s="396">
        <f t="shared" si="32"/>
        <v>0</v>
      </c>
      <c r="L202" s="396">
        <f t="shared" si="33"/>
        <v>0</v>
      </c>
      <c r="M202" s="396">
        <f t="shared" si="34"/>
        <v>0</v>
      </c>
      <c r="N202" s="396">
        <f t="shared" si="35"/>
        <v>0</v>
      </c>
      <c r="O202" s="396">
        <f t="shared" si="36"/>
        <v>0</v>
      </c>
      <c r="P202" s="396">
        <f t="shared" ref="P202:P265" si="39">IF($I202="",0,VLOOKUP($I202,Kengetal,7,FALSE))</f>
        <v>0</v>
      </c>
      <c r="Q202" s="397" t="str">
        <f t="shared" si="37"/>
        <v>V</v>
      </c>
      <c r="R202" s="394"/>
      <c r="S202" s="394"/>
      <c r="T202" s="394"/>
      <c r="V202" s="16">
        <f t="shared" si="38"/>
        <v>1400</v>
      </c>
    </row>
    <row r="203" spans="1:22" ht="14.1" customHeight="1">
      <c r="A203" s="377">
        <v>204</v>
      </c>
      <c r="B203" s="620" t="s">
        <v>504</v>
      </c>
      <c r="C203" s="618" t="s">
        <v>371</v>
      </c>
      <c r="D203" s="619" t="s">
        <v>570</v>
      </c>
      <c r="E203" s="622" t="s">
        <v>398</v>
      </c>
      <c r="F203" s="621" t="str">
        <f t="shared" si="30"/>
        <v>Gangen en hallen</v>
      </c>
      <c r="G203" s="622" t="s">
        <v>377</v>
      </c>
      <c r="H203" s="623">
        <v>20</v>
      </c>
      <c r="I203" s="635">
        <v>3200</v>
      </c>
      <c r="J203" s="395">
        <f t="shared" si="31"/>
        <v>200</v>
      </c>
      <c r="K203" s="396">
        <f t="shared" si="32"/>
        <v>0</v>
      </c>
      <c r="L203" s="396">
        <f t="shared" si="33"/>
        <v>0</v>
      </c>
      <c r="M203" s="396">
        <f t="shared" si="34"/>
        <v>0</v>
      </c>
      <c r="N203" s="396">
        <f t="shared" si="35"/>
        <v>0</v>
      </c>
      <c r="O203" s="396">
        <f t="shared" si="36"/>
        <v>0</v>
      </c>
      <c r="P203" s="396">
        <f t="shared" si="39"/>
        <v>0</v>
      </c>
      <c r="Q203" s="397" t="str">
        <f t="shared" si="37"/>
        <v>V</v>
      </c>
      <c r="R203" s="394"/>
      <c r="S203" s="394"/>
      <c r="T203" s="394"/>
      <c r="V203" s="16">
        <f t="shared" si="38"/>
        <v>4000</v>
      </c>
    </row>
    <row r="204" spans="1:22" ht="14.1" customHeight="1">
      <c r="A204" s="377">
        <v>205</v>
      </c>
      <c r="B204" s="620" t="s">
        <v>504</v>
      </c>
      <c r="C204" s="618" t="s">
        <v>371</v>
      </c>
      <c r="D204" s="619" t="s">
        <v>571</v>
      </c>
      <c r="E204" s="622" t="s">
        <v>572</v>
      </c>
      <c r="F204" s="621" t="str">
        <f t="shared" si="30"/>
        <v>Administratieve ruimten</v>
      </c>
      <c r="G204" s="622" t="s">
        <v>465</v>
      </c>
      <c r="H204" s="623">
        <v>39</v>
      </c>
      <c r="I204" s="635">
        <v>1126</v>
      </c>
      <c r="J204" s="395">
        <f t="shared" si="31"/>
        <v>126</v>
      </c>
      <c r="K204" s="396">
        <f t="shared" si="32"/>
        <v>0</v>
      </c>
      <c r="L204" s="396">
        <f t="shared" si="33"/>
        <v>0</v>
      </c>
      <c r="M204" s="396">
        <f t="shared" si="34"/>
        <v>0</v>
      </c>
      <c r="N204" s="396">
        <f t="shared" si="35"/>
        <v>0</v>
      </c>
      <c r="O204" s="396">
        <f t="shared" si="36"/>
        <v>0</v>
      </c>
      <c r="P204" s="396">
        <f t="shared" si="39"/>
        <v>0</v>
      </c>
      <c r="Q204" s="397" t="str">
        <f t="shared" si="37"/>
        <v>B</v>
      </c>
      <c r="R204" s="394"/>
      <c r="S204" s="394"/>
      <c r="T204" s="394"/>
      <c r="V204" s="16">
        <f t="shared" si="38"/>
        <v>4914</v>
      </c>
    </row>
    <row r="205" spans="1:22" ht="14.1" customHeight="1">
      <c r="A205" s="377">
        <v>206</v>
      </c>
      <c r="B205" s="620" t="s">
        <v>504</v>
      </c>
      <c r="C205" s="618" t="s">
        <v>371</v>
      </c>
      <c r="D205" s="619" t="s">
        <v>573</v>
      </c>
      <c r="E205" s="622" t="s">
        <v>432</v>
      </c>
      <c r="F205" s="621" t="str">
        <f t="shared" si="30"/>
        <v>Kantine</v>
      </c>
      <c r="G205" s="622" t="s">
        <v>392</v>
      </c>
      <c r="H205" s="623">
        <v>299</v>
      </c>
      <c r="I205" s="635">
        <v>7200</v>
      </c>
      <c r="J205" s="395">
        <f t="shared" si="31"/>
        <v>200</v>
      </c>
      <c r="K205" s="396">
        <f t="shared" si="32"/>
        <v>0</v>
      </c>
      <c r="L205" s="396">
        <f t="shared" si="33"/>
        <v>0</v>
      </c>
      <c r="M205" s="396">
        <f t="shared" si="34"/>
        <v>0</v>
      </c>
      <c r="N205" s="396">
        <f t="shared" si="35"/>
        <v>0</v>
      </c>
      <c r="O205" s="396">
        <f t="shared" si="36"/>
        <v>0</v>
      </c>
      <c r="P205" s="396">
        <f t="shared" si="39"/>
        <v>0</v>
      </c>
      <c r="Q205" s="397" t="str">
        <f t="shared" si="37"/>
        <v>V</v>
      </c>
      <c r="R205" s="394"/>
      <c r="S205" s="394"/>
      <c r="T205" s="394"/>
      <c r="V205" s="16">
        <f t="shared" si="38"/>
        <v>59800</v>
      </c>
    </row>
    <row r="206" spans="1:22" ht="14.1" customHeight="1">
      <c r="A206" s="377">
        <v>207</v>
      </c>
      <c r="B206" s="620" t="s">
        <v>504</v>
      </c>
      <c r="C206" s="618" t="s">
        <v>371</v>
      </c>
      <c r="D206" s="619" t="s">
        <v>574</v>
      </c>
      <c r="E206" s="622" t="s">
        <v>434</v>
      </c>
      <c r="F206" s="621" t="str">
        <f t="shared" si="30"/>
        <v>Gangen en hallen</v>
      </c>
      <c r="G206" s="622" t="s">
        <v>392</v>
      </c>
      <c r="H206" s="623">
        <v>60</v>
      </c>
      <c r="I206" s="635">
        <v>3200</v>
      </c>
      <c r="J206" s="395">
        <f t="shared" si="31"/>
        <v>200</v>
      </c>
      <c r="K206" s="396">
        <f t="shared" si="32"/>
        <v>0</v>
      </c>
      <c r="L206" s="396">
        <f t="shared" si="33"/>
        <v>0</v>
      </c>
      <c r="M206" s="396">
        <f t="shared" si="34"/>
        <v>0</v>
      </c>
      <c r="N206" s="396">
        <f t="shared" si="35"/>
        <v>0</v>
      </c>
      <c r="O206" s="396">
        <f t="shared" si="36"/>
        <v>0</v>
      </c>
      <c r="P206" s="396">
        <f t="shared" si="39"/>
        <v>0</v>
      </c>
      <c r="Q206" s="397" t="str">
        <f t="shared" si="37"/>
        <v>V</v>
      </c>
      <c r="R206" s="394"/>
      <c r="S206" s="394"/>
      <c r="T206" s="394"/>
      <c r="V206" s="16">
        <f t="shared" si="38"/>
        <v>12000</v>
      </c>
    </row>
    <row r="207" spans="1:22" ht="14.1" customHeight="1">
      <c r="A207" s="377">
        <v>208</v>
      </c>
      <c r="B207" s="620" t="s">
        <v>504</v>
      </c>
      <c r="C207" s="618" t="s">
        <v>371</v>
      </c>
      <c r="D207" s="619" t="s">
        <v>575</v>
      </c>
      <c r="E207" s="622" t="s">
        <v>376</v>
      </c>
      <c r="F207" s="621" t="str">
        <f t="shared" si="30"/>
        <v>Gangen en hallen</v>
      </c>
      <c r="G207" s="622" t="s">
        <v>377</v>
      </c>
      <c r="H207" s="623">
        <v>28</v>
      </c>
      <c r="I207" s="635">
        <v>3200</v>
      </c>
      <c r="J207" s="395">
        <f t="shared" si="31"/>
        <v>200</v>
      </c>
      <c r="K207" s="396">
        <f t="shared" si="32"/>
        <v>0</v>
      </c>
      <c r="L207" s="396">
        <f t="shared" si="33"/>
        <v>0</v>
      </c>
      <c r="M207" s="396">
        <f t="shared" si="34"/>
        <v>0</v>
      </c>
      <c r="N207" s="396">
        <f t="shared" si="35"/>
        <v>0</v>
      </c>
      <c r="O207" s="396">
        <f t="shared" si="36"/>
        <v>0</v>
      </c>
      <c r="P207" s="396">
        <f t="shared" si="39"/>
        <v>0</v>
      </c>
      <c r="Q207" s="397" t="str">
        <f t="shared" si="37"/>
        <v>V</v>
      </c>
      <c r="R207" s="394"/>
      <c r="S207" s="394"/>
      <c r="T207" s="394"/>
      <c r="V207" s="16">
        <f t="shared" si="38"/>
        <v>5600</v>
      </c>
    </row>
    <row r="208" spans="1:22" ht="14.1" customHeight="1">
      <c r="A208" s="377">
        <v>209</v>
      </c>
      <c r="B208" s="620" t="s">
        <v>504</v>
      </c>
      <c r="C208" s="618" t="s">
        <v>371</v>
      </c>
      <c r="D208" s="619" t="s">
        <v>576</v>
      </c>
      <c r="E208" s="622" t="s">
        <v>387</v>
      </c>
      <c r="F208" s="621" t="str">
        <f t="shared" si="30"/>
        <v>Sanitaire ruimten</v>
      </c>
      <c r="G208" s="622" t="s">
        <v>377</v>
      </c>
      <c r="H208" s="623">
        <v>4</v>
      </c>
      <c r="I208" s="635">
        <v>2210</v>
      </c>
      <c r="J208" s="395">
        <f t="shared" si="31"/>
        <v>210</v>
      </c>
      <c r="K208" s="396">
        <f t="shared" si="32"/>
        <v>0</v>
      </c>
      <c r="L208" s="396">
        <f t="shared" si="33"/>
        <v>0</v>
      </c>
      <c r="M208" s="396">
        <f t="shared" si="34"/>
        <v>0</v>
      </c>
      <c r="N208" s="396">
        <f t="shared" si="35"/>
        <v>0</v>
      </c>
      <c r="O208" s="396">
        <f t="shared" si="36"/>
        <v>0</v>
      </c>
      <c r="P208" s="396">
        <f t="shared" si="39"/>
        <v>0</v>
      </c>
      <c r="Q208" s="397" t="str">
        <f t="shared" si="37"/>
        <v>S</v>
      </c>
      <c r="R208" s="394"/>
      <c r="S208" s="394"/>
      <c r="T208" s="394"/>
      <c r="V208" s="16">
        <f t="shared" si="38"/>
        <v>840</v>
      </c>
    </row>
    <row r="209" spans="1:22" ht="14.1" customHeight="1">
      <c r="A209" s="377">
        <v>210</v>
      </c>
      <c r="B209" s="620" t="s">
        <v>504</v>
      </c>
      <c r="C209" s="618" t="s">
        <v>371</v>
      </c>
      <c r="D209" s="619" t="s">
        <v>577</v>
      </c>
      <c r="E209" s="622" t="s">
        <v>385</v>
      </c>
      <c r="F209" s="621" t="str">
        <f t="shared" si="30"/>
        <v>Sanitaire ruimten</v>
      </c>
      <c r="G209" s="622" t="s">
        <v>377</v>
      </c>
      <c r="H209" s="623">
        <v>4</v>
      </c>
      <c r="I209" s="635">
        <v>2210</v>
      </c>
      <c r="J209" s="395">
        <f t="shared" si="31"/>
        <v>210</v>
      </c>
      <c r="K209" s="396">
        <f t="shared" si="32"/>
        <v>0</v>
      </c>
      <c r="L209" s="396">
        <f t="shared" si="33"/>
        <v>0</v>
      </c>
      <c r="M209" s="396">
        <f t="shared" si="34"/>
        <v>0</v>
      </c>
      <c r="N209" s="396">
        <f t="shared" si="35"/>
        <v>0</v>
      </c>
      <c r="O209" s="396">
        <f t="shared" si="36"/>
        <v>0</v>
      </c>
      <c r="P209" s="396">
        <f t="shared" si="39"/>
        <v>0</v>
      </c>
      <c r="Q209" s="397" t="str">
        <f t="shared" si="37"/>
        <v>S</v>
      </c>
      <c r="R209" s="394"/>
      <c r="S209" s="394"/>
      <c r="T209" s="394"/>
      <c r="V209" s="16">
        <f t="shared" si="38"/>
        <v>840</v>
      </c>
    </row>
    <row r="210" spans="1:22" ht="14.1" customHeight="1">
      <c r="A210" s="377">
        <v>211</v>
      </c>
      <c r="B210" s="620" t="s">
        <v>504</v>
      </c>
      <c r="C210" s="618" t="s">
        <v>371</v>
      </c>
      <c r="D210" s="619" t="s">
        <v>578</v>
      </c>
      <c r="E210" s="622" t="s">
        <v>579</v>
      </c>
      <c r="F210" s="621" t="str">
        <f t="shared" si="30"/>
        <v>Leslokalen</v>
      </c>
      <c r="G210" s="622" t="s">
        <v>392</v>
      </c>
      <c r="H210" s="623">
        <v>81</v>
      </c>
      <c r="I210" s="635">
        <v>13120</v>
      </c>
      <c r="J210" s="395">
        <f t="shared" si="31"/>
        <v>120</v>
      </c>
      <c r="K210" s="396">
        <f t="shared" si="32"/>
        <v>0</v>
      </c>
      <c r="L210" s="396">
        <f t="shared" si="33"/>
        <v>0</v>
      </c>
      <c r="M210" s="396">
        <f t="shared" si="34"/>
        <v>0</v>
      </c>
      <c r="N210" s="396">
        <f t="shared" si="35"/>
        <v>0</v>
      </c>
      <c r="O210" s="396">
        <f t="shared" si="36"/>
        <v>0</v>
      </c>
      <c r="P210" s="396">
        <f t="shared" si="39"/>
        <v>0</v>
      </c>
      <c r="Q210" s="397" t="str">
        <f t="shared" si="37"/>
        <v>L</v>
      </c>
      <c r="R210" s="394"/>
      <c r="S210" s="394"/>
      <c r="T210" s="394"/>
      <c r="V210" s="16">
        <f t="shared" si="38"/>
        <v>9720</v>
      </c>
    </row>
    <row r="211" spans="1:22" ht="14.1" customHeight="1">
      <c r="A211" s="377">
        <v>212</v>
      </c>
      <c r="B211" s="620" t="s">
        <v>504</v>
      </c>
      <c r="C211" s="618" t="s">
        <v>371</v>
      </c>
      <c r="D211" s="619" t="s">
        <v>580</v>
      </c>
      <c r="E211" s="622" t="s">
        <v>581</v>
      </c>
      <c r="F211" s="621" t="str">
        <f t="shared" si="30"/>
        <v>Administratieve ruimten</v>
      </c>
      <c r="G211" s="622" t="s">
        <v>465</v>
      </c>
      <c r="H211" s="623">
        <v>14</v>
      </c>
      <c r="I211" s="635">
        <v>1126</v>
      </c>
      <c r="J211" s="395">
        <f t="shared" si="31"/>
        <v>126</v>
      </c>
      <c r="K211" s="396">
        <f t="shared" si="32"/>
        <v>0</v>
      </c>
      <c r="L211" s="396">
        <f t="shared" si="33"/>
        <v>0</v>
      </c>
      <c r="M211" s="396">
        <f t="shared" si="34"/>
        <v>0</v>
      </c>
      <c r="N211" s="396">
        <f t="shared" si="35"/>
        <v>0</v>
      </c>
      <c r="O211" s="396">
        <f t="shared" si="36"/>
        <v>0</v>
      </c>
      <c r="P211" s="396">
        <f t="shared" si="39"/>
        <v>0</v>
      </c>
      <c r="Q211" s="397" t="str">
        <f t="shared" si="37"/>
        <v>B</v>
      </c>
      <c r="R211" s="609" t="s">
        <v>743</v>
      </c>
      <c r="S211" s="394"/>
      <c r="T211" s="394"/>
      <c r="V211" s="16">
        <f t="shared" si="38"/>
        <v>1764</v>
      </c>
    </row>
    <row r="212" spans="1:22" ht="14.1" customHeight="1">
      <c r="A212" s="377">
        <v>213</v>
      </c>
      <c r="B212" s="620" t="s">
        <v>504</v>
      </c>
      <c r="C212" s="618" t="s">
        <v>371</v>
      </c>
      <c r="D212" s="619" t="s">
        <v>582</v>
      </c>
      <c r="E212" s="622" t="s">
        <v>470</v>
      </c>
      <c r="F212" s="621" t="str">
        <f t="shared" si="30"/>
        <v>Administratieve ruimten</v>
      </c>
      <c r="G212" s="622" t="s">
        <v>465</v>
      </c>
      <c r="H212" s="623">
        <v>14</v>
      </c>
      <c r="I212" s="635">
        <v>1126</v>
      </c>
      <c r="J212" s="395">
        <f t="shared" si="31"/>
        <v>126</v>
      </c>
      <c r="K212" s="396">
        <f t="shared" si="32"/>
        <v>0</v>
      </c>
      <c r="L212" s="396">
        <f t="shared" si="33"/>
        <v>0</v>
      </c>
      <c r="M212" s="396">
        <f t="shared" si="34"/>
        <v>0</v>
      </c>
      <c r="N212" s="396">
        <f t="shared" si="35"/>
        <v>0</v>
      </c>
      <c r="O212" s="396">
        <f t="shared" si="36"/>
        <v>0</v>
      </c>
      <c r="P212" s="396">
        <f t="shared" si="39"/>
        <v>0</v>
      </c>
      <c r="Q212" s="397" t="str">
        <f t="shared" si="37"/>
        <v>B</v>
      </c>
      <c r="R212" s="609" t="s">
        <v>743</v>
      </c>
      <c r="S212" s="394"/>
      <c r="T212" s="394"/>
      <c r="V212" s="16">
        <f t="shared" si="38"/>
        <v>1764</v>
      </c>
    </row>
    <row r="213" spans="1:22" ht="14.1" customHeight="1">
      <c r="A213" s="377">
        <v>214</v>
      </c>
      <c r="B213" s="620" t="s">
        <v>504</v>
      </c>
      <c r="C213" s="618" t="s">
        <v>371</v>
      </c>
      <c r="D213" s="619" t="s">
        <v>583</v>
      </c>
      <c r="E213" s="622" t="s">
        <v>470</v>
      </c>
      <c r="F213" s="621" t="str">
        <f t="shared" si="30"/>
        <v>Administratieve ruimten</v>
      </c>
      <c r="G213" s="622" t="s">
        <v>465</v>
      </c>
      <c r="H213" s="623">
        <v>14</v>
      </c>
      <c r="I213" s="635">
        <v>1126</v>
      </c>
      <c r="J213" s="395">
        <f t="shared" si="31"/>
        <v>126</v>
      </c>
      <c r="K213" s="396">
        <f t="shared" si="32"/>
        <v>0</v>
      </c>
      <c r="L213" s="396">
        <f t="shared" si="33"/>
        <v>0</v>
      </c>
      <c r="M213" s="396">
        <f t="shared" si="34"/>
        <v>0</v>
      </c>
      <c r="N213" s="396">
        <f t="shared" si="35"/>
        <v>0</v>
      </c>
      <c r="O213" s="396">
        <f t="shared" si="36"/>
        <v>0</v>
      </c>
      <c r="P213" s="396">
        <f t="shared" si="39"/>
        <v>0</v>
      </c>
      <c r="Q213" s="397" t="str">
        <f t="shared" si="37"/>
        <v>B</v>
      </c>
      <c r="R213" s="609" t="s">
        <v>743</v>
      </c>
      <c r="S213" s="394"/>
      <c r="T213" s="394"/>
      <c r="V213" s="16">
        <f t="shared" si="38"/>
        <v>1764</v>
      </c>
    </row>
    <row r="214" spans="1:22" ht="14.1" customHeight="1">
      <c r="A214" s="377">
        <v>215</v>
      </c>
      <c r="B214" s="620" t="s">
        <v>504</v>
      </c>
      <c r="C214" s="618" t="s">
        <v>371</v>
      </c>
      <c r="D214" s="619" t="s">
        <v>584</v>
      </c>
      <c r="E214" s="622" t="s">
        <v>585</v>
      </c>
      <c r="F214" s="621" t="str">
        <f t="shared" si="30"/>
        <v>Administratieve ruimten</v>
      </c>
      <c r="G214" s="622" t="s">
        <v>465</v>
      </c>
      <c r="H214" s="623">
        <v>27</v>
      </c>
      <c r="I214" s="635">
        <v>1126</v>
      </c>
      <c r="J214" s="395">
        <f t="shared" si="31"/>
        <v>126</v>
      </c>
      <c r="K214" s="396">
        <f t="shared" si="32"/>
        <v>0</v>
      </c>
      <c r="L214" s="396">
        <f t="shared" si="33"/>
        <v>0</v>
      </c>
      <c r="M214" s="396">
        <f t="shared" si="34"/>
        <v>0</v>
      </c>
      <c r="N214" s="396">
        <f t="shared" si="35"/>
        <v>0</v>
      </c>
      <c r="O214" s="396">
        <f t="shared" si="36"/>
        <v>0</v>
      </c>
      <c r="P214" s="396">
        <f t="shared" si="39"/>
        <v>0</v>
      </c>
      <c r="Q214" s="397" t="str">
        <f t="shared" si="37"/>
        <v>B</v>
      </c>
      <c r="R214" s="609" t="s">
        <v>743</v>
      </c>
      <c r="S214" s="394"/>
      <c r="T214" s="394"/>
      <c r="V214" s="16">
        <f t="shared" si="38"/>
        <v>3402</v>
      </c>
    </row>
    <row r="215" spans="1:22" ht="14.1" customHeight="1">
      <c r="A215" s="377">
        <v>216</v>
      </c>
      <c r="B215" s="620" t="s">
        <v>504</v>
      </c>
      <c r="C215" s="618" t="s">
        <v>371</v>
      </c>
      <c r="D215" s="619" t="s">
        <v>586</v>
      </c>
      <c r="E215" s="622" t="s">
        <v>585</v>
      </c>
      <c r="F215" s="621" t="str">
        <f t="shared" si="30"/>
        <v>Administratieve ruimten</v>
      </c>
      <c r="G215" s="622" t="s">
        <v>543</v>
      </c>
      <c r="H215" s="623">
        <v>35</v>
      </c>
      <c r="I215" s="635">
        <v>1126</v>
      </c>
      <c r="J215" s="395">
        <f t="shared" si="31"/>
        <v>126</v>
      </c>
      <c r="K215" s="396">
        <f t="shared" si="32"/>
        <v>0</v>
      </c>
      <c r="L215" s="396">
        <f t="shared" si="33"/>
        <v>0</v>
      </c>
      <c r="M215" s="396">
        <f t="shared" si="34"/>
        <v>0</v>
      </c>
      <c r="N215" s="396">
        <f t="shared" si="35"/>
        <v>0</v>
      </c>
      <c r="O215" s="396">
        <f t="shared" si="36"/>
        <v>0</v>
      </c>
      <c r="P215" s="396">
        <f t="shared" si="39"/>
        <v>0</v>
      </c>
      <c r="Q215" s="397" t="str">
        <f t="shared" si="37"/>
        <v>B</v>
      </c>
      <c r="R215" s="609" t="s">
        <v>743</v>
      </c>
      <c r="S215" s="394"/>
      <c r="T215" s="394"/>
      <c r="V215" s="16">
        <f t="shared" si="38"/>
        <v>4410</v>
      </c>
    </row>
    <row r="216" spans="1:22" ht="14.1" customHeight="1">
      <c r="A216" s="377">
        <v>217</v>
      </c>
      <c r="B216" s="620" t="s">
        <v>504</v>
      </c>
      <c r="C216" s="618" t="s">
        <v>371</v>
      </c>
      <c r="D216" s="619" t="s">
        <v>587</v>
      </c>
      <c r="E216" s="622" t="s">
        <v>416</v>
      </c>
      <c r="F216" s="621" t="str">
        <f t="shared" si="30"/>
        <v>Opslagruimten</v>
      </c>
      <c r="G216" s="622" t="s">
        <v>392</v>
      </c>
      <c r="H216" s="623">
        <v>14</v>
      </c>
      <c r="I216" s="635">
        <v>14012</v>
      </c>
      <c r="J216" s="395">
        <f t="shared" si="31"/>
        <v>12</v>
      </c>
      <c r="K216" s="396">
        <f t="shared" si="32"/>
        <v>0</v>
      </c>
      <c r="L216" s="396">
        <f t="shared" si="33"/>
        <v>0</v>
      </c>
      <c r="M216" s="396">
        <f t="shared" si="34"/>
        <v>0</v>
      </c>
      <c r="N216" s="396">
        <f t="shared" si="35"/>
        <v>0</v>
      </c>
      <c r="O216" s="396">
        <f t="shared" si="36"/>
        <v>0</v>
      </c>
      <c r="P216" s="396">
        <f t="shared" si="39"/>
        <v>0</v>
      </c>
      <c r="Q216" s="397" t="str">
        <f t="shared" si="37"/>
        <v>V</v>
      </c>
      <c r="R216" s="609" t="s">
        <v>743</v>
      </c>
      <c r="S216" s="394"/>
      <c r="T216" s="394"/>
      <c r="V216" s="16">
        <f t="shared" si="38"/>
        <v>168</v>
      </c>
    </row>
    <row r="217" spans="1:22" ht="14.1" customHeight="1">
      <c r="A217" s="377">
        <v>218</v>
      </c>
      <c r="B217" s="620" t="s">
        <v>504</v>
      </c>
      <c r="C217" s="618" t="s">
        <v>371</v>
      </c>
      <c r="D217" s="619" t="s">
        <v>588</v>
      </c>
      <c r="E217" s="622" t="s">
        <v>589</v>
      </c>
      <c r="F217" s="621" t="str">
        <f t="shared" si="30"/>
        <v>Administratieve ruimten</v>
      </c>
      <c r="G217" s="622" t="s">
        <v>465</v>
      </c>
      <c r="H217" s="623">
        <v>37</v>
      </c>
      <c r="I217" s="635">
        <v>1210</v>
      </c>
      <c r="J217" s="395">
        <f t="shared" si="31"/>
        <v>210</v>
      </c>
      <c r="K217" s="396">
        <f t="shared" si="32"/>
        <v>0</v>
      </c>
      <c r="L217" s="396">
        <f t="shared" si="33"/>
        <v>0</v>
      </c>
      <c r="M217" s="396">
        <f t="shared" si="34"/>
        <v>0</v>
      </c>
      <c r="N217" s="396">
        <f t="shared" si="35"/>
        <v>0</v>
      </c>
      <c r="O217" s="396">
        <f t="shared" si="36"/>
        <v>0</v>
      </c>
      <c r="P217" s="396">
        <f t="shared" si="39"/>
        <v>0</v>
      </c>
      <c r="Q217" s="397" t="str">
        <f t="shared" si="37"/>
        <v>B</v>
      </c>
      <c r="R217" s="609" t="s">
        <v>743</v>
      </c>
      <c r="S217" s="394"/>
      <c r="T217" s="394"/>
      <c r="V217" s="16">
        <f t="shared" si="38"/>
        <v>7770</v>
      </c>
    </row>
    <row r="218" spans="1:22" ht="14.1" customHeight="1">
      <c r="A218" s="377">
        <v>219</v>
      </c>
      <c r="B218" s="620" t="s">
        <v>504</v>
      </c>
      <c r="C218" s="618" t="s">
        <v>468</v>
      </c>
      <c r="D218" s="619">
        <v>101</v>
      </c>
      <c r="E218" s="622" t="s">
        <v>395</v>
      </c>
      <c r="F218" s="621" t="str">
        <f t="shared" si="30"/>
        <v>Gangen en hallen</v>
      </c>
      <c r="G218" s="622" t="s">
        <v>377</v>
      </c>
      <c r="H218" s="623">
        <v>32</v>
      </c>
      <c r="I218" s="635">
        <v>3200</v>
      </c>
      <c r="J218" s="395">
        <f t="shared" si="31"/>
        <v>200</v>
      </c>
      <c r="K218" s="396">
        <f t="shared" si="32"/>
        <v>0</v>
      </c>
      <c r="L218" s="396">
        <f t="shared" si="33"/>
        <v>0</v>
      </c>
      <c r="M218" s="396">
        <f t="shared" si="34"/>
        <v>0</v>
      </c>
      <c r="N218" s="396">
        <f t="shared" si="35"/>
        <v>0</v>
      </c>
      <c r="O218" s="396">
        <f t="shared" si="36"/>
        <v>0</v>
      </c>
      <c r="P218" s="396">
        <f t="shared" si="39"/>
        <v>0</v>
      </c>
      <c r="Q218" s="397" t="str">
        <f t="shared" si="37"/>
        <v>V</v>
      </c>
      <c r="R218" s="609" t="s">
        <v>743</v>
      </c>
      <c r="S218" s="394"/>
      <c r="T218" s="394"/>
      <c r="V218" s="16">
        <f t="shared" si="38"/>
        <v>6400</v>
      </c>
    </row>
    <row r="219" spans="1:22" ht="14.1" customHeight="1">
      <c r="A219" s="377">
        <v>220</v>
      </c>
      <c r="B219" s="620" t="s">
        <v>504</v>
      </c>
      <c r="C219" s="618" t="s">
        <v>468</v>
      </c>
      <c r="D219" s="619">
        <v>102</v>
      </c>
      <c r="E219" s="622" t="s">
        <v>200</v>
      </c>
      <c r="F219" s="621" t="str">
        <f t="shared" si="30"/>
        <v>Administratieve ruimten</v>
      </c>
      <c r="G219" s="622" t="s">
        <v>465</v>
      </c>
      <c r="H219" s="623">
        <v>21</v>
      </c>
      <c r="I219" s="635">
        <v>1126</v>
      </c>
      <c r="J219" s="395">
        <f t="shared" si="31"/>
        <v>126</v>
      </c>
      <c r="K219" s="396">
        <f t="shared" si="32"/>
        <v>0</v>
      </c>
      <c r="L219" s="396">
        <f t="shared" si="33"/>
        <v>0</v>
      </c>
      <c r="M219" s="396">
        <f t="shared" si="34"/>
        <v>0</v>
      </c>
      <c r="N219" s="396">
        <f t="shared" si="35"/>
        <v>0</v>
      </c>
      <c r="O219" s="396">
        <f t="shared" si="36"/>
        <v>0</v>
      </c>
      <c r="P219" s="396">
        <f t="shared" si="39"/>
        <v>0</v>
      </c>
      <c r="Q219" s="397" t="str">
        <f t="shared" si="37"/>
        <v>B</v>
      </c>
      <c r="R219" s="609" t="s">
        <v>743</v>
      </c>
      <c r="S219" s="394"/>
      <c r="T219" s="394"/>
      <c r="V219" s="16">
        <f t="shared" si="38"/>
        <v>2646</v>
      </c>
    </row>
    <row r="220" spans="1:22" ht="14.1" customHeight="1">
      <c r="A220" s="377">
        <v>221</v>
      </c>
      <c r="B220" s="620" t="s">
        <v>504</v>
      </c>
      <c r="C220" s="618" t="s">
        <v>468</v>
      </c>
      <c r="D220" s="619">
        <v>103</v>
      </c>
      <c r="E220" s="622" t="s">
        <v>389</v>
      </c>
      <c r="F220" s="621" t="str">
        <f t="shared" si="30"/>
        <v>Niet van toepassing</v>
      </c>
      <c r="G220" s="622" t="s">
        <v>377</v>
      </c>
      <c r="H220" s="623">
        <v>2</v>
      </c>
      <c r="I220" s="635" t="s">
        <v>229</v>
      </c>
      <c r="J220" s="395">
        <f t="shared" si="31"/>
        <v>0</v>
      </c>
      <c r="K220" s="396">
        <f t="shared" si="32"/>
        <v>0</v>
      </c>
      <c r="L220" s="396">
        <f t="shared" si="33"/>
        <v>0</v>
      </c>
      <c r="M220" s="396">
        <f t="shared" si="34"/>
        <v>0</v>
      </c>
      <c r="N220" s="396">
        <f t="shared" si="35"/>
        <v>0</v>
      </c>
      <c r="O220" s="396">
        <f t="shared" si="36"/>
        <v>0</v>
      </c>
      <c r="P220" s="396">
        <f t="shared" si="39"/>
        <v>0</v>
      </c>
      <c r="Q220" s="397">
        <f t="shared" si="37"/>
        <v>0</v>
      </c>
      <c r="R220" s="609" t="s">
        <v>743</v>
      </c>
      <c r="S220" s="394"/>
      <c r="T220" s="394"/>
      <c r="V220" s="16">
        <f t="shared" si="38"/>
        <v>0</v>
      </c>
    </row>
    <row r="221" spans="1:22" ht="14.1" customHeight="1">
      <c r="A221" s="377">
        <v>222</v>
      </c>
      <c r="B221" s="620" t="s">
        <v>504</v>
      </c>
      <c r="C221" s="618" t="s">
        <v>468</v>
      </c>
      <c r="D221" s="619">
        <v>104</v>
      </c>
      <c r="E221" s="622" t="s">
        <v>416</v>
      </c>
      <c r="F221" s="621" t="str">
        <f t="shared" si="30"/>
        <v>Niet van toepassing</v>
      </c>
      <c r="G221" s="622" t="s">
        <v>392</v>
      </c>
      <c r="H221" s="623">
        <v>4</v>
      </c>
      <c r="I221" s="635" t="s">
        <v>229</v>
      </c>
      <c r="J221" s="395">
        <f t="shared" si="31"/>
        <v>0</v>
      </c>
      <c r="K221" s="396">
        <f t="shared" si="32"/>
        <v>0</v>
      </c>
      <c r="L221" s="396">
        <f t="shared" si="33"/>
        <v>0</v>
      </c>
      <c r="M221" s="396">
        <f t="shared" si="34"/>
        <v>0</v>
      </c>
      <c r="N221" s="396">
        <f t="shared" si="35"/>
        <v>0</v>
      </c>
      <c r="O221" s="396">
        <f t="shared" si="36"/>
        <v>0</v>
      </c>
      <c r="P221" s="396">
        <f t="shared" si="39"/>
        <v>0</v>
      </c>
      <c r="Q221" s="397">
        <f t="shared" si="37"/>
        <v>0</v>
      </c>
      <c r="R221" s="609" t="s">
        <v>743</v>
      </c>
      <c r="S221" s="394"/>
      <c r="T221" s="394"/>
      <c r="V221" s="16">
        <f t="shared" si="38"/>
        <v>0</v>
      </c>
    </row>
    <row r="222" spans="1:22" ht="14.1" customHeight="1">
      <c r="A222" s="377">
        <v>223</v>
      </c>
      <c r="B222" s="620" t="s">
        <v>504</v>
      </c>
      <c r="C222" s="618" t="s">
        <v>468</v>
      </c>
      <c r="D222" s="619">
        <v>105</v>
      </c>
      <c r="E222" s="622" t="s">
        <v>590</v>
      </c>
      <c r="F222" s="621" t="str">
        <f t="shared" si="30"/>
        <v>Gangen en hallen</v>
      </c>
      <c r="G222" s="622" t="s">
        <v>377</v>
      </c>
      <c r="H222" s="623">
        <v>68</v>
      </c>
      <c r="I222" s="635">
        <v>3200</v>
      </c>
      <c r="J222" s="395">
        <f t="shared" si="31"/>
        <v>200</v>
      </c>
      <c r="K222" s="396">
        <f t="shared" si="32"/>
        <v>0</v>
      </c>
      <c r="L222" s="396">
        <f t="shared" si="33"/>
        <v>0</v>
      </c>
      <c r="M222" s="396">
        <f t="shared" si="34"/>
        <v>0</v>
      </c>
      <c r="N222" s="396">
        <f t="shared" si="35"/>
        <v>0</v>
      </c>
      <c r="O222" s="396">
        <f t="shared" si="36"/>
        <v>0</v>
      </c>
      <c r="P222" s="396">
        <f t="shared" si="39"/>
        <v>0</v>
      </c>
      <c r="Q222" s="397" t="str">
        <f t="shared" si="37"/>
        <v>V</v>
      </c>
      <c r="R222" s="609" t="s">
        <v>743</v>
      </c>
      <c r="S222" s="394"/>
      <c r="T222" s="394"/>
      <c r="V222" s="16">
        <f t="shared" si="38"/>
        <v>13600</v>
      </c>
    </row>
    <row r="223" spans="1:22" ht="14.1" customHeight="1">
      <c r="A223" s="377">
        <v>224</v>
      </c>
      <c r="B223" s="620" t="s">
        <v>504</v>
      </c>
      <c r="C223" s="618" t="s">
        <v>468</v>
      </c>
      <c r="D223" s="619">
        <v>106</v>
      </c>
      <c r="E223" s="622" t="s">
        <v>591</v>
      </c>
      <c r="F223" s="621" t="str">
        <f t="shared" si="30"/>
        <v>Leslokalen</v>
      </c>
      <c r="G223" s="622" t="s">
        <v>392</v>
      </c>
      <c r="H223" s="623">
        <v>64</v>
      </c>
      <c r="I223" s="635">
        <v>13120</v>
      </c>
      <c r="J223" s="395">
        <f t="shared" si="31"/>
        <v>120</v>
      </c>
      <c r="K223" s="396">
        <f t="shared" si="32"/>
        <v>0</v>
      </c>
      <c r="L223" s="396">
        <f t="shared" si="33"/>
        <v>0</v>
      </c>
      <c r="M223" s="396">
        <f t="shared" si="34"/>
        <v>0</v>
      </c>
      <c r="N223" s="396">
        <f t="shared" si="35"/>
        <v>0</v>
      </c>
      <c r="O223" s="396">
        <f t="shared" si="36"/>
        <v>0</v>
      </c>
      <c r="P223" s="396">
        <f t="shared" si="39"/>
        <v>0</v>
      </c>
      <c r="Q223" s="397" t="str">
        <f t="shared" si="37"/>
        <v>L</v>
      </c>
      <c r="R223" s="609" t="s">
        <v>743</v>
      </c>
      <c r="S223" s="394"/>
      <c r="T223" s="394"/>
      <c r="V223" s="16">
        <f t="shared" si="38"/>
        <v>7680</v>
      </c>
    </row>
    <row r="224" spans="1:22" ht="14.1" customHeight="1">
      <c r="A224" s="377">
        <v>225</v>
      </c>
      <c r="B224" s="620" t="s">
        <v>504</v>
      </c>
      <c r="C224" s="618" t="s">
        <v>468</v>
      </c>
      <c r="D224" s="619">
        <v>107</v>
      </c>
      <c r="E224" s="622" t="s">
        <v>592</v>
      </c>
      <c r="F224" s="621" t="str">
        <f t="shared" si="30"/>
        <v>Leslokalen</v>
      </c>
      <c r="G224" s="622" t="s">
        <v>392</v>
      </c>
      <c r="H224" s="623">
        <v>58</v>
      </c>
      <c r="I224" s="635">
        <v>13120</v>
      </c>
      <c r="J224" s="395">
        <f t="shared" si="31"/>
        <v>120</v>
      </c>
      <c r="K224" s="396">
        <f t="shared" si="32"/>
        <v>0</v>
      </c>
      <c r="L224" s="396">
        <f t="shared" si="33"/>
        <v>0</v>
      </c>
      <c r="M224" s="396">
        <f t="shared" si="34"/>
        <v>0</v>
      </c>
      <c r="N224" s="396">
        <f t="shared" si="35"/>
        <v>0</v>
      </c>
      <c r="O224" s="396">
        <f t="shared" si="36"/>
        <v>0</v>
      </c>
      <c r="P224" s="396">
        <f t="shared" si="39"/>
        <v>0</v>
      </c>
      <c r="Q224" s="397" t="str">
        <f t="shared" si="37"/>
        <v>L</v>
      </c>
      <c r="R224" s="609" t="s">
        <v>743</v>
      </c>
      <c r="S224" s="394"/>
      <c r="T224" s="394"/>
      <c r="V224" s="16">
        <f t="shared" si="38"/>
        <v>6960</v>
      </c>
    </row>
    <row r="225" spans="1:22" ht="14.1" customHeight="1">
      <c r="A225" s="377">
        <v>226</v>
      </c>
      <c r="B225" s="620" t="s">
        <v>504</v>
      </c>
      <c r="C225" s="618" t="s">
        <v>468</v>
      </c>
      <c r="D225" s="619">
        <v>108</v>
      </c>
      <c r="E225" s="622" t="s">
        <v>593</v>
      </c>
      <c r="F225" s="621" t="str">
        <f t="shared" si="30"/>
        <v>Leslokalen</v>
      </c>
      <c r="G225" s="622" t="s">
        <v>392</v>
      </c>
      <c r="H225" s="623">
        <v>67</v>
      </c>
      <c r="I225" s="635">
        <v>13120</v>
      </c>
      <c r="J225" s="395">
        <f t="shared" si="31"/>
        <v>120</v>
      </c>
      <c r="K225" s="396">
        <f t="shared" si="32"/>
        <v>0</v>
      </c>
      <c r="L225" s="396">
        <f t="shared" si="33"/>
        <v>0</v>
      </c>
      <c r="M225" s="396">
        <f t="shared" si="34"/>
        <v>0</v>
      </c>
      <c r="N225" s="396">
        <f t="shared" si="35"/>
        <v>0</v>
      </c>
      <c r="O225" s="396">
        <f t="shared" si="36"/>
        <v>0</v>
      </c>
      <c r="P225" s="396">
        <f t="shared" si="39"/>
        <v>0</v>
      </c>
      <c r="Q225" s="397" t="str">
        <f t="shared" si="37"/>
        <v>L</v>
      </c>
      <c r="R225" s="609" t="s">
        <v>743</v>
      </c>
      <c r="S225" s="394"/>
      <c r="T225" s="394"/>
      <c r="V225" s="16">
        <f t="shared" si="38"/>
        <v>8040</v>
      </c>
    </row>
    <row r="226" spans="1:22" ht="14.1" customHeight="1">
      <c r="A226" s="377">
        <v>227</v>
      </c>
      <c r="B226" s="620" t="s">
        <v>504</v>
      </c>
      <c r="C226" s="618" t="s">
        <v>468</v>
      </c>
      <c r="D226" s="619">
        <v>109</v>
      </c>
      <c r="E226" s="622" t="s">
        <v>594</v>
      </c>
      <c r="F226" s="621" t="str">
        <f t="shared" si="30"/>
        <v>Leslokalen</v>
      </c>
      <c r="G226" s="622" t="s">
        <v>392</v>
      </c>
      <c r="H226" s="623">
        <v>64</v>
      </c>
      <c r="I226" s="635">
        <v>13120</v>
      </c>
      <c r="J226" s="395">
        <f t="shared" si="31"/>
        <v>120</v>
      </c>
      <c r="K226" s="396">
        <f t="shared" si="32"/>
        <v>0</v>
      </c>
      <c r="L226" s="396">
        <f t="shared" si="33"/>
        <v>0</v>
      </c>
      <c r="M226" s="396">
        <f t="shared" si="34"/>
        <v>0</v>
      </c>
      <c r="N226" s="396">
        <f t="shared" si="35"/>
        <v>0</v>
      </c>
      <c r="O226" s="396">
        <f t="shared" si="36"/>
        <v>0</v>
      </c>
      <c r="P226" s="396">
        <f t="shared" si="39"/>
        <v>0</v>
      </c>
      <c r="Q226" s="397" t="str">
        <f t="shared" si="37"/>
        <v>L</v>
      </c>
      <c r="R226" s="609" t="s">
        <v>743</v>
      </c>
      <c r="S226" s="394"/>
      <c r="T226" s="394"/>
      <c r="V226" s="16">
        <f t="shared" si="38"/>
        <v>7680</v>
      </c>
    </row>
    <row r="227" spans="1:22" ht="14.1" customHeight="1">
      <c r="A227" s="377">
        <v>228</v>
      </c>
      <c r="B227" s="620" t="s">
        <v>595</v>
      </c>
      <c r="C227" s="618" t="s">
        <v>371</v>
      </c>
      <c r="D227" s="619" t="s">
        <v>596</v>
      </c>
      <c r="E227" s="622" t="s">
        <v>462</v>
      </c>
      <c r="F227" s="621" t="str">
        <f t="shared" si="30"/>
        <v>Gangen en hallen</v>
      </c>
      <c r="G227" s="622" t="s">
        <v>505</v>
      </c>
      <c r="H227" s="623">
        <v>13.34</v>
      </c>
      <c r="I227" s="635">
        <v>3200</v>
      </c>
      <c r="J227" s="395">
        <f t="shared" si="31"/>
        <v>200</v>
      </c>
      <c r="K227" s="396">
        <f t="shared" si="32"/>
        <v>0</v>
      </c>
      <c r="L227" s="396">
        <f t="shared" si="33"/>
        <v>0</v>
      </c>
      <c r="M227" s="396">
        <f t="shared" si="34"/>
        <v>0</v>
      </c>
      <c r="N227" s="396">
        <f t="shared" si="35"/>
        <v>0</v>
      </c>
      <c r="O227" s="396">
        <f t="shared" si="36"/>
        <v>0</v>
      </c>
      <c r="P227" s="396">
        <f t="shared" si="39"/>
        <v>0</v>
      </c>
      <c r="Q227" s="397" t="str">
        <f t="shared" si="37"/>
        <v>V</v>
      </c>
      <c r="R227" s="394"/>
      <c r="S227" s="394"/>
      <c r="T227" s="394"/>
      <c r="V227" s="16">
        <f t="shared" si="38"/>
        <v>2668</v>
      </c>
    </row>
    <row r="228" spans="1:22" ht="14.1" customHeight="1">
      <c r="A228" s="377">
        <v>229</v>
      </c>
      <c r="B228" s="620" t="s">
        <v>595</v>
      </c>
      <c r="C228" s="618" t="s">
        <v>371</v>
      </c>
      <c r="D228" s="619" t="s">
        <v>596</v>
      </c>
      <c r="E228" s="622" t="s">
        <v>597</v>
      </c>
      <c r="F228" s="621" t="str">
        <f t="shared" si="30"/>
        <v>Gangen en hallen</v>
      </c>
      <c r="G228" s="622" t="s">
        <v>598</v>
      </c>
      <c r="H228" s="623">
        <v>437.56</v>
      </c>
      <c r="I228" s="635">
        <v>3200</v>
      </c>
      <c r="J228" s="395">
        <f t="shared" si="31"/>
        <v>200</v>
      </c>
      <c r="K228" s="396">
        <f t="shared" si="32"/>
        <v>0</v>
      </c>
      <c r="L228" s="396">
        <f t="shared" si="33"/>
        <v>0</v>
      </c>
      <c r="M228" s="396">
        <f t="shared" si="34"/>
        <v>0</v>
      </c>
      <c r="N228" s="396">
        <f t="shared" si="35"/>
        <v>0</v>
      </c>
      <c r="O228" s="396">
        <f t="shared" si="36"/>
        <v>0</v>
      </c>
      <c r="P228" s="396">
        <f t="shared" si="39"/>
        <v>0</v>
      </c>
      <c r="Q228" s="397" t="str">
        <f t="shared" si="37"/>
        <v>V</v>
      </c>
      <c r="R228" s="394"/>
      <c r="S228" s="394"/>
      <c r="T228" s="394"/>
      <c r="V228" s="16">
        <f t="shared" si="38"/>
        <v>87512</v>
      </c>
    </row>
    <row r="229" spans="1:22" ht="14.1" customHeight="1">
      <c r="A229" s="377">
        <v>230</v>
      </c>
      <c r="B229" s="620" t="s">
        <v>595</v>
      </c>
      <c r="C229" s="618" t="s">
        <v>371</v>
      </c>
      <c r="D229" s="619" t="s">
        <v>596</v>
      </c>
      <c r="E229" s="622" t="s">
        <v>432</v>
      </c>
      <c r="F229" s="621" t="str">
        <f t="shared" si="30"/>
        <v>Kantine</v>
      </c>
      <c r="G229" s="622" t="s">
        <v>599</v>
      </c>
      <c r="H229" s="623">
        <v>927.75</v>
      </c>
      <c r="I229" s="635">
        <v>7200</v>
      </c>
      <c r="J229" s="395">
        <f t="shared" si="31"/>
        <v>200</v>
      </c>
      <c r="K229" s="396">
        <f t="shared" si="32"/>
        <v>0</v>
      </c>
      <c r="L229" s="396">
        <f t="shared" si="33"/>
        <v>0</v>
      </c>
      <c r="M229" s="396">
        <f t="shared" si="34"/>
        <v>0</v>
      </c>
      <c r="N229" s="396">
        <f t="shared" si="35"/>
        <v>0</v>
      </c>
      <c r="O229" s="396">
        <f t="shared" si="36"/>
        <v>0</v>
      </c>
      <c r="P229" s="396">
        <f t="shared" si="39"/>
        <v>0</v>
      </c>
      <c r="Q229" s="397" t="str">
        <f t="shared" si="37"/>
        <v>V</v>
      </c>
      <c r="R229" s="394"/>
      <c r="S229" s="394"/>
      <c r="T229" s="394"/>
      <c r="V229" s="16">
        <f t="shared" si="38"/>
        <v>185550</v>
      </c>
    </row>
    <row r="230" spans="1:22" ht="14.1" customHeight="1">
      <c r="A230" s="377">
        <v>231</v>
      </c>
      <c r="B230" s="620" t="s">
        <v>595</v>
      </c>
      <c r="C230" s="618" t="s">
        <v>371</v>
      </c>
      <c r="D230" s="619" t="s">
        <v>596</v>
      </c>
      <c r="E230" s="622" t="s">
        <v>737</v>
      </c>
      <c r="F230" s="621" t="str">
        <f t="shared" si="30"/>
        <v>Administratieve ruimten</v>
      </c>
      <c r="G230" s="622" t="s">
        <v>465</v>
      </c>
      <c r="H230" s="623">
        <v>16</v>
      </c>
      <c r="I230" s="635">
        <v>1126</v>
      </c>
      <c r="J230" s="395">
        <f t="shared" si="31"/>
        <v>126</v>
      </c>
      <c r="K230" s="396">
        <f t="shared" si="32"/>
        <v>0</v>
      </c>
      <c r="L230" s="396">
        <f t="shared" si="33"/>
        <v>0</v>
      </c>
      <c r="M230" s="396">
        <f t="shared" si="34"/>
        <v>0</v>
      </c>
      <c r="N230" s="396">
        <f t="shared" si="35"/>
        <v>0</v>
      </c>
      <c r="O230" s="396">
        <f t="shared" si="36"/>
        <v>0</v>
      </c>
      <c r="P230" s="396">
        <f t="shared" si="39"/>
        <v>0</v>
      </c>
      <c r="Q230" s="397" t="str">
        <f t="shared" si="37"/>
        <v>B</v>
      </c>
      <c r="R230" s="394"/>
      <c r="S230" s="394"/>
      <c r="T230" s="394"/>
      <c r="V230" s="16">
        <f t="shared" si="38"/>
        <v>2016</v>
      </c>
    </row>
    <row r="231" spans="1:22" ht="14.1" customHeight="1">
      <c r="A231" s="377">
        <v>232</v>
      </c>
      <c r="B231" s="620" t="s">
        <v>595</v>
      </c>
      <c r="C231" s="618" t="s">
        <v>371</v>
      </c>
      <c r="D231" s="619" t="s">
        <v>596</v>
      </c>
      <c r="E231" s="622" t="s">
        <v>398</v>
      </c>
      <c r="F231" s="621" t="str">
        <f t="shared" si="30"/>
        <v>Gangen en hallen</v>
      </c>
      <c r="G231" s="622" t="s">
        <v>599</v>
      </c>
      <c r="H231" s="623">
        <v>72</v>
      </c>
      <c r="I231" s="635">
        <v>3200</v>
      </c>
      <c r="J231" s="395">
        <f t="shared" si="31"/>
        <v>200</v>
      </c>
      <c r="K231" s="396">
        <f t="shared" si="32"/>
        <v>0</v>
      </c>
      <c r="L231" s="396">
        <f t="shared" si="33"/>
        <v>0</v>
      </c>
      <c r="M231" s="396">
        <f t="shared" si="34"/>
        <v>0</v>
      </c>
      <c r="N231" s="396">
        <f t="shared" si="35"/>
        <v>0</v>
      </c>
      <c r="O231" s="396">
        <f t="shared" si="36"/>
        <v>0</v>
      </c>
      <c r="P231" s="396">
        <f t="shared" si="39"/>
        <v>0</v>
      </c>
      <c r="Q231" s="397" t="str">
        <f t="shared" si="37"/>
        <v>V</v>
      </c>
      <c r="R231" s="394"/>
      <c r="S231" s="394"/>
      <c r="T231" s="394"/>
      <c r="V231" s="16">
        <f t="shared" si="38"/>
        <v>14400</v>
      </c>
    </row>
    <row r="232" spans="1:22" ht="14.1" customHeight="1">
      <c r="A232" s="377">
        <v>233</v>
      </c>
      <c r="B232" s="620" t="s">
        <v>595</v>
      </c>
      <c r="C232" s="618" t="s">
        <v>371</v>
      </c>
      <c r="D232" s="619" t="s">
        <v>596</v>
      </c>
      <c r="E232" s="622" t="s">
        <v>389</v>
      </c>
      <c r="F232" s="621" t="str">
        <f t="shared" si="30"/>
        <v>Niet van toepassing</v>
      </c>
      <c r="G232" s="622" t="s">
        <v>599</v>
      </c>
      <c r="H232" s="623">
        <v>9</v>
      </c>
      <c r="I232" s="635" t="s">
        <v>229</v>
      </c>
      <c r="J232" s="395">
        <f t="shared" si="31"/>
        <v>0</v>
      </c>
      <c r="K232" s="396">
        <f t="shared" si="32"/>
        <v>0</v>
      </c>
      <c r="L232" s="396">
        <f t="shared" si="33"/>
        <v>0</v>
      </c>
      <c r="M232" s="396">
        <f t="shared" si="34"/>
        <v>0</v>
      </c>
      <c r="N232" s="396">
        <f t="shared" si="35"/>
        <v>0</v>
      </c>
      <c r="O232" s="396">
        <f t="shared" si="36"/>
        <v>0</v>
      </c>
      <c r="P232" s="396">
        <f t="shared" si="39"/>
        <v>0</v>
      </c>
      <c r="Q232" s="397">
        <f t="shared" si="37"/>
        <v>0</v>
      </c>
      <c r="R232" s="394"/>
      <c r="S232" s="394"/>
      <c r="T232" s="394"/>
      <c r="V232" s="16">
        <f t="shared" si="38"/>
        <v>0</v>
      </c>
    </row>
    <row r="233" spans="1:22" ht="14.1" customHeight="1">
      <c r="A233" s="377">
        <v>234</v>
      </c>
      <c r="B233" s="620" t="s">
        <v>595</v>
      </c>
      <c r="C233" s="618" t="s">
        <v>371</v>
      </c>
      <c r="D233" s="619" t="s">
        <v>596</v>
      </c>
      <c r="E233" s="622" t="s">
        <v>398</v>
      </c>
      <c r="F233" s="621" t="str">
        <f t="shared" si="30"/>
        <v>Gangen en hallen</v>
      </c>
      <c r="G233" s="622" t="s">
        <v>599</v>
      </c>
      <c r="H233" s="623">
        <v>93</v>
      </c>
      <c r="I233" s="635">
        <v>3200</v>
      </c>
      <c r="J233" s="395">
        <f t="shared" si="31"/>
        <v>200</v>
      </c>
      <c r="K233" s="396">
        <f t="shared" si="32"/>
        <v>0</v>
      </c>
      <c r="L233" s="396">
        <f t="shared" si="33"/>
        <v>0</v>
      </c>
      <c r="M233" s="396">
        <f t="shared" si="34"/>
        <v>0</v>
      </c>
      <c r="N233" s="396">
        <f t="shared" si="35"/>
        <v>0</v>
      </c>
      <c r="O233" s="396">
        <f t="shared" si="36"/>
        <v>0</v>
      </c>
      <c r="P233" s="396">
        <f t="shared" si="39"/>
        <v>0</v>
      </c>
      <c r="Q233" s="397" t="str">
        <f t="shared" si="37"/>
        <v>V</v>
      </c>
      <c r="R233" s="394"/>
      <c r="S233" s="394"/>
      <c r="T233" s="394"/>
      <c r="V233" s="16">
        <f t="shared" si="38"/>
        <v>18600</v>
      </c>
    </row>
    <row r="234" spans="1:22" s="70" customFormat="1" ht="14.1" customHeight="1">
      <c r="A234" s="377">
        <v>235</v>
      </c>
      <c r="B234" s="620" t="s">
        <v>595</v>
      </c>
      <c r="C234" s="618" t="s">
        <v>371</v>
      </c>
      <c r="D234" s="619" t="s">
        <v>600</v>
      </c>
      <c r="E234" s="622" t="s">
        <v>526</v>
      </c>
      <c r="F234" s="621" t="str">
        <f t="shared" si="30"/>
        <v>Leslokalen</v>
      </c>
      <c r="G234" s="622" t="s">
        <v>599</v>
      </c>
      <c r="H234" s="623">
        <v>49</v>
      </c>
      <c r="I234" s="635">
        <v>13120</v>
      </c>
      <c r="J234" s="395">
        <f t="shared" si="31"/>
        <v>120</v>
      </c>
      <c r="K234" s="396">
        <f t="shared" si="32"/>
        <v>0</v>
      </c>
      <c r="L234" s="396">
        <f t="shared" si="33"/>
        <v>0</v>
      </c>
      <c r="M234" s="396">
        <f t="shared" si="34"/>
        <v>0</v>
      </c>
      <c r="N234" s="396">
        <f t="shared" si="35"/>
        <v>0</v>
      </c>
      <c r="O234" s="396">
        <f t="shared" si="36"/>
        <v>0</v>
      </c>
      <c r="P234" s="396">
        <f t="shared" si="39"/>
        <v>0</v>
      </c>
      <c r="Q234" s="397" t="str">
        <f t="shared" si="37"/>
        <v>L</v>
      </c>
      <c r="R234" s="394"/>
      <c r="S234" s="394"/>
      <c r="T234" s="394"/>
      <c r="V234" s="16">
        <f t="shared" si="38"/>
        <v>5880</v>
      </c>
    </row>
    <row r="235" spans="1:22" ht="14.1" customHeight="1">
      <c r="A235" s="377">
        <v>236</v>
      </c>
      <c r="B235" s="622" t="s">
        <v>595</v>
      </c>
      <c r="C235" s="618" t="s">
        <v>371</v>
      </c>
      <c r="D235" s="619" t="s">
        <v>601</v>
      </c>
      <c r="E235" s="622" t="s">
        <v>526</v>
      </c>
      <c r="F235" s="621" t="str">
        <f t="shared" si="30"/>
        <v>Leslokalen</v>
      </c>
      <c r="G235" s="622" t="s">
        <v>599</v>
      </c>
      <c r="H235" s="623">
        <v>49</v>
      </c>
      <c r="I235" s="635">
        <v>13120</v>
      </c>
      <c r="J235" s="395">
        <f t="shared" si="31"/>
        <v>120</v>
      </c>
      <c r="K235" s="396">
        <f t="shared" si="32"/>
        <v>0</v>
      </c>
      <c r="L235" s="396">
        <f t="shared" si="33"/>
        <v>0</v>
      </c>
      <c r="M235" s="396">
        <f t="shared" si="34"/>
        <v>0</v>
      </c>
      <c r="N235" s="396">
        <f t="shared" si="35"/>
        <v>0</v>
      </c>
      <c r="O235" s="396">
        <f t="shared" si="36"/>
        <v>0</v>
      </c>
      <c r="P235" s="396">
        <f t="shared" si="39"/>
        <v>0</v>
      </c>
      <c r="Q235" s="397" t="str">
        <f t="shared" si="37"/>
        <v>L</v>
      </c>
      <c r="R235" s="394"/>
      <c r="S235" s="394"/>
      <c r="T235" s="394"/>
      <c r="V235" s="16">
        <f t="shared" si="38"/>
        <v>5880</v>
      </c>
    </row>
    <row r="236" spans="1:22" ht="14.1" customHeight="1">
      <c r="A236" s="377">
        <v>237</v>
      </c>
      <c r="B236" s="622" t="s">
        <v>595</v>
      </c>
      <c r="C236" s="618" t="s">
        <v>371</v>
      </c>
      <c r="D236" s="619" t="s">
        <v>602</v>
      </c>
      <c r="E236" s="622" t="s">
        <v>526</v>
      </c>
      <c r="F236" s="621" t="str">
        <f t="shared" si="30"/>
        <v>Leslokalen</v>
      </c>
      <c r="G236" s="622" t="s">
        <v>599</v>
      </c>
      <c r="H236" s="623">
        <v>49</v>
      </c>
      <c r="I236" s="635">
        <v>13120</v>
      </c>
      <c r="J236" s="395">
        <f t="shared" si="31"/>
        <v>120</v>
      </c>
      <c r="K236" s="396">
        <f t="shared" si="32"/>
        <v>0</v>
      </c>
      <c r="L236" s="396">
        <f t="shared" si="33"/>
        <v>0</v>
      </c>
      <c r="M236" s="396">
        <f t="shared" si="34"/>
        <v>0</v>
      </c>
      <c r="N236" s="396">
        <f t="shared" si="35"/>
        <v>0</v>
      </c>
      <c r="O236" s="396">
        <f t="shared" si="36"/>
        <v>0</v>
      </c>
      <c r="P236" s="396">
        <f t="shared" si="39"/>
        <v>0</v>
      </c>
      <c r="Q236" s="397" t="str">
        <f t="shared" si="37"/>
        <v>L</v>
      </c>
      <c r="R236" s="394"/>
      <c r="S236" s="394"/>
      <c r="T236" s="394"/>
      <c r="V236" s="16">
        <f t="shared" si="38"/>
        <v>5880</v>
      </c>
    </row>
    <row r="237" spans="1:22" ht="14.1" customHeight="1">
      <c r="A237" s="377">
        <v>238</v>
      </c>
      <c r="B237" s="622" t="s">
        <v>595</v>
      </c>
      <c r="C237" s="618" t="s">
        <v>371</v>
      </c>
      <c r="D237" s="619" t="s">
        <v>603</v>
      </c>
      <c r="E237" s="622" t="s">
        <v>526</v>
      </c>
      <c r="F237" s="621" t="str">
        <f t="shared" si="30"/>
        <v>Leslokalen</v>
      </c>
      <c r="G237" s="622" t="s">
        <v>599</v>
      </c>
      <c r="H237" s="623">
        <v>49</v>
      </c>
      <c r="I237" s="635">
        <v>13120</v>
      </c>
      <c r="J237" s="395">
        <f t="shared" si="31"/>
        <v>120</v>
      </c>
      <c r="K237" s="396">
        <f t="shared" si="32"/>
        <v>0</v>
      </c>
      <c r="L237" s="396">
        <f t="shared" si="33"/>
        <v>0</v>
      </c>
      <c r="M237" s="396">
        <f t="shared" si="34"/>
        <v>0</v>
      </c>
      <c r="N237" s="396">
        <f t="shared" si="35"/>
        <v>0</v>
      </c>
      <c r="O237" s="396">
        <f t="shared" si="36"/>
        <v>0</v>
      </c>
      <c r="P237" s="396">
        <f t="shared" si="39"/>
        <v>0</v>
      </c>
      <c r="Q237" s="397" t="str">
        <f t="shared" si="37"/>
        <v>L</v>
      </c>
      <c r="R237" s="394"/>
      <c r="S237" s="394"/>
      <c r="T237" s="394"/>
      <c r="V237" s="16">
        <f t="shared" si="38"/>
        <v>5880</v>
      </c>
    </row>
    <row r="238" spans="1:22" ht="14.1" customHeight="1">
      <c r="A238" s="377">
        <v>239</v>
      </c>
      <c r="B238" s="622" t="s">
        <v>595</v>
      </c>
      <c r="C238" s="618" t="s">
        <v>371</v>
      </c>
      <c r="D238" s="619" t="s">
        <v>596</v>
      </c>
      <c r="E238" s="622" t="s">
        <v>423</v>
      </c>
      <c r="F238" s="621" t="str">
        <f t="shared" si="30"/>
        <v>Sanitaire ruimten</v>
      </c>
      <c r="G238" s="622" t="s">
        <v>377</v>
      </c>
      <c r="H238" s="623">
        <v>16.25</v>
      </c>
      <c r="I238" s="635">
        <v>2400</v>
      </c>
      <c r="J238" s="395">
        <f t="shared" si="31"/>
        <v>400</v>
      </c>
      <c r="K238" s="396">
        <f t="shared" si="32"/>
        <v>0</v>
      </c>
      <c r="L238" s="396">
        <f t="shared" si="33"/>
        <v>0</v>
      </c>
      <c r="M238" s="396">
        <f t="shared" si="34"/>
        <v>0</v>
      </c>
      <c r="N238" s="396">
        <f t="shared" si="35"/>
        <v>0</v>
      </c>
      <c r="O238" s="396">
        <f t="shared" si="36"/>
        <v>0</v>
      </c>
      <c r="P238" s="396">
        <f t="shared" si="39"/>
        <v>0</v>
      </c>
      <c r="Q238" s="397" t="str">
        <f t="shared" si="37"/>
        <v>S</v>
      </c>
      <c r="R238" s="610"/>
      <c r="S238" s="394"/>
      <c r="T238" s="394"/>
      <c r="V238" s="16">
        <f t="shared" si="38"/>
        <v>6500</v>
      </c>
    </row>
    <row r="239" spans="1:22" ht="14.1" customHeight="1">
      <c r="A239" s="377">
        <v>240</v>
      </c>
      <c r="B239" s="622" t="s">
        <v>595</v>
      </c>
      <c r="C239" s="618" t="s">
        <v>371</v>
      </c>
      <c r="D239" s="619" t="s">
        <v>596</v>
      </c>
      <c r="E239" s="622" t="s">
        <v>423</v>
      </c>
      <c r="F239" s="621" t="str">
        <f t="shared" si="30"/>
        <v>Sanitaire ruimten</v>
      </c>
      <c r="G239" s="622" t="s">
        <v>377</v>
      </c>
      <c r="H239" s="623">
        <v>16.25</v>
      </c>
      <c r="I239" s="635">
        <v>2400</v>
      </c>
      <c r="J239" s="395">
        <f t="shared" si="31"/>
        <v>400</v>
      </c>
      <c r="K239" s="396">
        <f t="shared" si="32"/>
        <v>0</v>
      </c>
      <c r="L239" s="396">
        <f t="shared" si="33"/>
        <v>0</v>
      </c>
      <c r="M239" s="396">
        <f t="shared" si="34"/>
        <v>0</v>
      </c>
      <c r="N239" s="396">
        <f t="shared" si="35"/>
        <v>0</v>
      </c>
      <c r="O239" s="396">
        <f t="shared" si="36"/>
        <v>0</v>
      </c>
      <c r="P239" s="396">
        <f t="shared" si="39"/>
        <v>0</v>
      </c>
      <c r="Q239" s="397" t="str">
        <f t="shared" si="37"/>
        <v>S</v>
      </c>
      <c r="R239" s="610"/>
      <c r="S239" s="394"/>
      <c r="T239" s="394"/>
      <c r="V239" s="16">
        <f t="shared" si="38"/>
        <v>6500</v>
      </c>
    </row>
    <row r="240" spans="1:22" ht="14.1" customHeight="1">
      <c r="A240" s="377">
        <v>241</v>
      </c>
      <c r="B240" s="622" t="s">
        <v>595</v>
      </c>
      <c r="C240" s="618" t="s">
        <v>371</v>
      </c>
      <c r="D240" s="619" t="s">
        <v>596</v>
      </c>
      <c r="E240" s="622" t="s">
        <v>604</v>
      </c>
      <c r="F240" s="621" t="str">
        <f t="shared" si="30"/>
        <v>Sanitaire ruimten</v>
      </c>
      <c r="G240" s="622" t="s">
        <v>377</v>
      </c>
      <c r="H240" s="623">
        <v>3</v>
      </c>
      <c r="I240" s="635">
        <v>2210</v>
      </c>
      <c r="J240" s="395">
        <f t="shared" si="31"/>
        <v>210</v>
      </c>
      <c r="K240" s="396">
        <f t="shared" si="32"/>
        <v>0</v>
      </c>
      <c r="L240" s="396">
        <f t="shared" si="33"/>
        <v>0</v>
      </c>
      <c r="M240" s="396">
        <f t="shared" si="34"/>
        <v>0</v>
      </c>
      <c r="N240" s="396">
        <f t="shared" si="35"/>
        <v>0</v>
      </c>
      <c r="O240" s="396">
        <f t="shared" si="36"/>
        <v>0</v>
      </c>
      <c r="P240" s="396">
        <f t="shared" si="39"/>
        <v>0</v>
      </c>
      <c r="Q240" s="397" t="str">
        <f t="shared" si="37"/>
        <v>S</v>
      </c>
      <c r="R240" s="394"/>
      <c r="S240" s="394"/>
      <c r="T240" s="394"/>
      <c r="V240" s="16">
        <f t="shared" si="38"/>
        <v>630</v>
      </c>
    </row>
    <row r="241" spans="1:22" ht="14.1" customHeight="1">
      <c r="A241" s="377">
        <v>242</v>
      </c>
      <c r="B241" s="622" t="s">
        <v>595</v>
      </c>
      <c r="C241" s="618" t="s">
        <v>371</v>
      </c>
      <c r="D241" s="619" t="s">
        <v>596</v>
      </c>
      <c r="E241" s="622" t="s">
        <v>398</v>
      </c>
      <c r="F241" s="621" t="str">
        <f t="shared" si="30"/>
        <v>Gangen en hallen</v>
      </c>
      <c r="G241" s="622" t="s">
        <v>599</v>
      </c>
      <c r="H241" s="623">
        <v>28.5</v>
      </c>
      <c r="I241" s="635">
        <v>3200</v>
      </c>
      <c r="J241" s="395">
        <f t="shared" si="31"/>
        <v>200</v>
      </c>
      <c r="K241" s="396">
        <f t="shared" si="32"/>
        <v>0</v>
      </c>
      <c r="L241" s="396">
        <f t="shared" si="33"/>
        <v>0</v>
      </c>
      <c r="M241" s="396">
        <f t="shared" si="34"/>
        <v>0</v>
      </c>
      <c r="N241" s="396">
        <f t="shared" si="35"/>
        <v>0</v>
      </c>
      <c r="O241" s="396">
        <f t="shared" si="36"/>
        <v>0</v>
      </c>
      <c r="P241" s="396">
        <f t="shared" si="39"/>
        <v>0</v>
      </c>
      <c r="Q241" s="397" t="str">
        <f t="shared" si="37"/>
        <v>V</v>
      </c>
      <c r="R241" s="394"/>
      <c r="S241" s="394"/>
      <c r="T241" s="394"/>
      <c r="V241" s="16">
        <f t="shared" si="38"/>
        <v>5700</v>
      </c>
    </row>
    <row r="242" spans="1:22" ht="14.1" customHeight="1">
      <c r="A242" s="377">
        <v>243</v>
      </c>
      <c r="B242" s="622" t="s">
        <v>595</v>
      </c>
      <c r="C242" s="618" t="s">
        <v>371</v>
      </c>
      <c r="D242" s="619" t="s">
        <v>596</v>
      </c>
      <c r="E242" s="622" t="s">
        <v>489</v>
      </c>
      <c r="F242" s="621" t="str">
        <f t="shared" si="30"/>
        <v>Trappenhuizen</v>
      </c>
      <c r="G242" s="622" t="s">
        <v>599</v>
      </c>
      <c r="H242" s="623">
        <v>10.5</v>
      </c>
      <c r="I242" s="635">
        <v>5200</v>
      </c>
      <c r="J242" s="395">
        <f t="shared" si="31"/>
        <v>200</v>
      </c>
      <c r="K242" s="396">
        <f t="shared" si="32"/>
        <v>0</v>
      </c>
      <c r="L242" s="396">
        <f t="shared" si="33"/>
        <v>0</v>
      </c>
      <c r="M242" s="396">
        <f t="shared" si="34"/>
        <v>0</v>
      </c>
      <c r="N242" s="396">
        <f t="shared" si="35"/>
        <v>0</v>
      </c>
      <c r="O242" s="396">
        <f t="shared" si="36"/>
        <v>0</v>
      </c>
      <c r="P242" s="396">
        <f t="shared" si="39"/>
        <v>0</v>
      </c>
      <c r="Q242" s="397" t="str">
        <f t="shared" si="37"/>
        <v>V</v>
      </c>
      <c r="R242" s="394"/>
      <c r="S242" s="394"/>
      <c r="T242" s="394"/>
      <c r="V242" s="16">
        <f t="shared" si="38"/>
        <v>2100</v>
      </c>
    </row>
    <row r="243" spans="1:22" ht="14.1" customHeight="1">
      <c r="A243" s="377">
        <v>244</v>
      </c>
      <c r="B243" s="622" t="s">
        <v>595</v>
      </c>
      <c r="C243" s="618" t="s">
        <v>371</v>
      </c>
      <c r="D243" s="619" t="s">
        <v>605</v>
      </c>
      <c r="E243" s="622" t="s">
        <v>526</v>
      </c>
      <c r="F243" s="621" t="str">
        <f t="shared" si="30"/>
        <v>Leslokalen</v>
      </c>
      <c r="G243" s="622" t="s">
        <v>599</v>
      </c>
      <c r="H243" s="623">
        <v>49</v>
      </c>
      <c r="I243" s="635">
        <v>13120</v>
      </c>
      <c r="J243" s="395">
        <f t="shared" si="31"/>
        <v>120</v>
      </c>
      <c r="K243" s="396">
        <f t="shared" si="32"/>
        <v>0</v>
      </c>
      <c r="L243" s="396">
        <f t="shared" si="33"/>
        <v>0</v>
      </c>
      <c r="M243" s="396">
        <f t="shared" si="34"/>
        <v>0</v>
      </c>
      <c r="N243" s="396">
        <f t="shared" si="35"/>
        <v>0</v>
      </c>
      <c r="O243" s="396">
        <f t="shared" si="36"/>
        <v>0</v>
      </c>
      <c r="P243" s="396">
        <f t="shared" si="39"/>
        <v>0</v>
      </c>
      <c r="Q243" s="397" t="str">
        <f t="shared" si="37"/>
        <v>L</v>
      </c>
      <c r="R243" s="394"/>
      <c r="S243" s="394"/>
      <c r="T243" s="394"/>
      <c r="V243" s="16">
        <f t="shared" si="38"/>
        <v>5880</v>
      </c>
    </row>
    <row r="244" spans="1:22" ht="14.1" customHeight="1">
      <c r="A244" s="377">
        <v>245</v>
      </c>
      <c r="B244" s="622" t="s">
        <v>595</v>
      </c>
      <c r="C244" s="618" t="s">
        <v>371</v>
      </c>
      <c r="D244" s="619" t="s">
        <v>596</v>
      </c>
      <c r="E244" s="622" t="s">
        <v>423</v>
      </c>
      <c r="F244" s="621" t="str">
        <f t="shared" si="30"/>
        <v>Sanitaire ruimten</v>
      </c>
      <c r="G244" s="622" t="s">
        <v>377</v>
      </c>
      <c r="H244" s="623">
        <v>13.3</v>
      </c>
      <c r="I244" s="635">
        <v>2200</v>
      </c>
      <c r="J244" s="395">
        <f t="shared" si="31"/>
        <v>200</v>
      </c>
      <c r="K244" s="396">
        <f t="shared" si="32"/>
        <v>0</v>
      </c>
      <c r="L244" s="396">
        <f t="shared" si="33"/>
        <v>0</v>
      </c>
      <c r="M244" s="396">
        <f t="shared" si="34"/>
        <v>0</v>
      </c>
      <c r="N244" s="396">
        <f t="shared" si="35"/>
        <v>0</v>
      </c>
      <c r="O244" s="396">
        <f t="shared" si="36"/>
        <v>0</v>
      </c>
      <c r="P244" s="396">
        <f t="shared" si="39"/>
        <v>0</v>
      </c>
      <c r="Q244" s="397" t="str">
        <f t="shared" si="37"/>
        <v>S</v>
      </c>
      <c r="R244" s="394"/>
      <c r="S244" s="394"/>
      <c r="T244" s="394"/>
      <c r="V244" s="16">
        <f t="shared" si="38"/>
        <v>2660</v>
      </c>
    </row>
    <row r="245" spans="1:22" ht="14.1" customHeight="1">
      <c r="A245" s="377">
        <v>246</v>
      </c>
      <c r="B245" s="622" t="s">
        <v>595</v>
      </c>
      <c r="C245" s="618" t="s">
        <v>371</v>
      </c>
      <c r="D245" s="619" t="s">
        <v>596</v>
      </c>
      <c r="E245" s="622" t="s">
        <v>398</v>
      </c>
      <c r="F245" s="621" t="str">
        <f t="shared" si="30"/>
        <v>Gangen en hallen</v>
      </c>
      <c r="G245" s="622" t="s">
        <v>599</v>
      </c>
      <c r="H245" s="623">
        <v>40.14</v>
      </c>
      <c r="I245" s="635">
        <v>3200</v>
      </c>
      <c r="J245" s="395">
        <f t="shared" si="31"/>
        <v>200</v>
      </c>
      <c r="K245" s="396">
        <f t="shared" si="32"/>
        <v>0</v>
      </c>
      <c r="L245" s="396">
        <f t="shared" si="33"/>
        <v>0</v>
      </c>
      <c r="M245" s="396">
        <f t="shared" si="34"/>
        <v>0</v>
      </c>
      <c r="N245" s="396">
        <f t="shared" si="35"/>
        <v>0</v>
      </c>
      <c r="O245" s="396">
        <f t="shared" si="36"/>
        <v>0</v>
      </c>
      <c r="P245" s="396">
        <f t="shared" si="39"/>
        <v>0</v>
      </c>
      <c r="Q245" s="397" t="str">
        <f t="shared" si="37"/>
        <v>V</v>
      </c>
      <c r="R245" s="394"/>
      <c r="S245" s="394"/>
      <c r="T245" s="394"/>
      <c r="V245" s="16">
        <f t="shared" si="38"/>
        <v>8028</v>
      </c>
    </row>
    <row r="246" spans="1:22" ht="14.1" customHeight="1">
      <c r="A246" s="377">
        <v>247</v>
      </c>
      <c r="B246" s="622" t="s">
        <v>595</v>
      </c>
      <c r="C246" s="618" t="s">
        <v>371</v>
      </c>
      <c r="D246" s="619" t="s">
        <v>596</v>
      </c>
      <c r="E246" s="622" t="s">
        <v>423</v>
      </c>
      <c r="F246" s="621" t="str">
        <f t="shared" si="30"/>
        <v>Sanitaire ruimten</v>
      </c>
      <c r="G246" s="622" t="s">
        <v>377</v>
      </c>
      <c r="H246" s="623">
        <v>4.4800000000000004</v>
      </c>
      <c r="I246" s="635">
        <v>2200</v>
      </c>
      <c r="J246" s="395">
        <f t="shared" si="31"/>
        <v>200</v>
      </c>
      <c r="K246" s="396">
        <f t="shared" si="32"/>
        <v>0</v>
      </c>
      <c r="L246" s="396">
        <f t="shared" si="33"/>
        <v>0</v>
      </c>
      <c r="M246" s="396">
        <f t="shared" si="34"/>
        <v>0</v>
      </c>
      <c r="N246" s="396">
        <f t="shared" si="35"/>
        <v>0</v>
      </c>
      <c r="O246" s="396">
        <f t="shared" si="36"/>
        <v>0</v>
      </c>
      <c r="P246" s="396">
        <f t="shared" si="39"/>
        <v>0</v>
      </c>
      <c r="Q246" s="397" t="str">
        <f t="shared" si="37"/>
        <v>S</v>
      </c>
      <c r="R246" s="394"/>
      <c r="S246" s="394"/>
      <c r="T246" s="394"/>
      <c r="V246" s="16">
        <f t="shared" si="38"/>
        <v>896.00000000000011</v>
      </c>
    </row>
    <row r="247" spans="1:22" ht="14.1" customHeight="1">
      <c r="A247" s="377">
        <v>248</v>
      </c>
      <c r="B247" s="622" t="s">
        <v>595</v>
      </c>
      <c r="C247" s="618" t="s">
        <v>371</v>
      </c>
      <c r="D247" s="619" t="s">
        <v>596</v>
      </c>
      <c r="E247" s="622" t="s">
        <v>398</v>
      </c>
      <c r="F247" s="621" t="str">
        <f t="shared" si="30"/>
        <v>Gangen en hallen</v>
      </c>
      <c r="G247" s="622" t="s">
        <v>599</v>
      </c>
      <c r="H247" s="623">
        <v>5.0999999999999996</v>
      </c>
      <c r="I247" s="635">
        <v>3200</v>
      </c>
      <c r="J247" s="395">
        <f t="shared" si="31"/>
        <v>200</v>
      </c>
      <c r="K247" s="396">
        <f t="shared" si="32"/>
        <v>0</v>
      </c>
      <c r="L247" s="396">
        <f t="shared" si="33"/>
        <v>0</v>
      </c>
      <c r="M247" s="396">
        <f t="shared" si="34"/>
        <v>0</v>
      </c>
      <c r="N247" s="396">
        <f t="shared" si="35"/>
        <v>0</v>
      </c>
      <c r="O247" s="396">
        <f t="shared" si="36"/>
        <v>0</v>
      </c>
      <c r="P247" s="396">
        <f t="shared" si="39"/>
        <v>0</v>
      </c>
      <c r="Q247" s="397" t="str">
        <f t="shared" si="37"/>
        <v>V</v>
      </c>
      <c r="R247" s="394"/>
      <c r="S247" s="394"/>
      <c r="T247" s="394"/>
      <c r="V247" s="16">
        <f t="shared" si="38"/>
        <v>1019.9999999999999</v>
      </c>
    </row>
    <row r="248" spans="1:22" ht="14.1" customHeight="1">
      <c r="A248" s="377">
        <v>249</v>
      </c>
      <c r="B248" s="622" t="s">
        <v>595</v>
      </c>
      <c r="C248" s="618" t="s">
        <v>371</v>
      </c>
      <c r="D248" s="619" t="s">
        <v>596</v>
      </c>
      <c r="E248" s="622" t="s">
        <v>462</v>
      </c>
      <c r="F248" s="621" t="str">
        <f t="shared" si="30"/>
        <v>Gangen en hallen</v>
      </c>
      <c r="G248" s="622" t="s">
        <v>505</v>
      </c>
      <c r="H248" s="623">
        <v>5.61</v>
      </c>
      <c r="I248" s="635">
        <v>3200</v>
      </c>
      <c r="J248" s="395">
        <f t="shared" si="31"/>
        <v>200</v>
      </c>
      <c r="K248" s="396">
        <f t="shared" si="32"/>
        <v>0</v>
      </c>
      <c r="L248" s="396">
        <f t="shared" si="33"/>
        <v>0</v>
      </c>
      <c r="M248" s="396">
        <f t="shared" si="34"/>
        <v>0</v>
      </c>
      <c r="N248" s="396">
        <f t="shared" si="35"/>
        <v>0</v>
      </c>
      <c r="O248" s="396">
        <f t="shared" si="36"/>
        <v>0</v>
      </c>
      <c r="P248" s="396">
        <f t="shared" si="39"/>
        <v>0</v>
      </c>
      <c r="Q248" s="397" t="str">
        <f t="shared" si="37"/>
        <v>V</v>
      </c>
      <c r="R248" s="394"/>
      <c r="S248" s="394"/>
      <c r="T248" s="394"/>
      <c r="V248" s="16">
        <f t="shared" si="38"/>
        <v>1122</v>
      </c>
    </row>
    <row r="249" spans="1:22" ht="14.1" customHeight="1">
      <c r="A249" s="377">
        <v>250</v>
      </c>
      <c r="B249" s="622" t="s">
        <v>595</v>
      </c>
      <c r="C249" s="618" t="s">
        <v>371</v>
      </c>
      <c r="D249" s="619" t="s">
        <v>596</v>
      </c>
      <c r="E249" s="622" t="s">
        <v>606</v>
      </c>
      <c r="F249" s="621" t="str">
        <f t="shared" si="30"/>
        <v>Kleedruimten</v>
      </c>
      <c r="G249" s="622" t="s">
        <v>377</v>
      </c>
      <c r="H249" s="623">
        <v>36.6</v>
      </c>
      <c r="I249" s="635">
        <v>11200</v>
      </c>
      <c r="J249" s="395">
        <f t="shared" si="31"/>
        <v>200</v>
      </c>
      <c r="K249" s="396">
        <f t="shared" si="32"/>
        <v>0</v>
      </c>
      <c r="L249" s="396">
        <f t="shared" si="33"/>
        <v>0</v>
      </c>
      <c r="M249" s="396">
        <f t="shared" si="34"/>
        <v>0</v>
      </c>
      <c r="N249" s="396">
        <f t="shared" si="35"/>
        <v>0</v>
      </c>
      <c r="O249" s="396">
        <f t="shared" si="36"/>
        <v>0</v>
      </c>
      <c r="P249" s="396">
        <f t="shared" si="39"/>
        <v>0</v>
      </c>
      <c r="Q249" s="397" t="str">
        <f t="shared" si="37"/>
        <v>V</v>
      </c>
      <c r="R249" s="394"/>
      <c r="S249" s="394"/>
      <c r="T249" s="394"/>
      <c r="V249" s="16">
        <f t="shared" si="38"/>
        <v>7320</v>
      </c>
    </row>
    <row r="250" spans="1:22" ht="14.1" customHeight="1">
      <c r="A250" s="377">
        <v>251</v>
      </c>
      <c r="B250" s="622" t="s">
        <v>595</v>
      </c>
      <c r="C250" s="618" t="s">
        <v>371</v>
      </c>
      <c r="D250" s="619" t="s">
        <v>596</v>
      </c>
      <c r="E250" s="622" t="s">
        <v>527</v>
      </c>
      <c r="F250" s="621" t="str">
        <f t="shared" si="30"/>
        <v>Sanitaire ruimten</v>
      </c>
      <c r="G250" s="622" t="s">
        <v>377</v>
      </c>
      <c r="H250" s="623">
        <v>32</v>
      </c>
      <c r="I250" s="635">
        <v>2200</v>
      </c>
      <c r="J250" s="395">
        <f t="shared" si="31"/>
        <v>200</v>
      </c>
      <c r="K250" s="396">
        <f t="shared" si="32"/>
        <v>0</v>
      </c>
      <c r="L250" s="396">
        <f t="shared" si="33"/>
        <v>0</v>
      </c>
      <c r="M250" s="396">
        <f t="shared" si="34"/>
        <v>0</v>
      </c>
      <c r="N250" s="396">
        <f t="shared" si="35"/>
        <v>0</v>
      </c>
      <c r="O250" s="396">
        <f t="shared" si="36"/>
        <v>0</v>
      </c>
      <c r="P250" s="396">
        <f t="shared" si="39"/>
        <v>0</v>
      </c>
      <c r="Q250" s="397" t="str">
        <f t="shared" si="37"/>
        <v>S</v>
      </c>
      <c r="R250" s="394"/>
      <c r="S250" s="394"/>
      <c r="T250" s="394"/>
      <c r="V250" s="16">
        <f t="shared" si="38"/>
        <v>6400</v>
      </c>
    </row>
    <row r="251" spans="1:22" ht="14.1" customHeight="1">
      <c r="A251" s="377">
        <v>252</v>
      </c>
      <c r="B251" s="622" t="s">
        <v>595</v>
      </c>
      <c r="C251" s="618" t="s">
        <v>371</v>
      </c>
      <c r="D251" s="619" t="s">
        <v>596</v>
      </c>
      <c r="E251" s="622" t="s">
        <v>607</v>
      </c>
      <c r="F251" s="621" t="str">
        <f t="shared" si="30"/>
        <v>Administratieve ruimten</v>
      </c>
      <c r="G251" s="622" t="s">
        <v>599</v>
      </c>
      <c r="H251" s="623">
        <v>7.2</v>
      </c>
      <c r="I251" s="635">
        <v>1200</v>
      </c>
      <c r="J251" s="395">
        <f t="shared" si="31"/>
        <v>200</v>
      </c>
      <c r="K251" s="396">
        <f t="shared" si="32"/>
        <v>0</v>
      </c>
      <c r="L251" s="396">
        <f t="shared" si="33"/>
        <v>0</v>
      </c>
      <c r="M251" s="396">
        <f t="shared" si="34"/>
        <v>0</v>
      </c>
      <c r="N251" s="396">
        <f t="shared" si="35"/>
        <v>0</v>
      </c>
      <c r="O251" s="396">
        <f t="shared" si="36"/>
        <v>0</v>
      </c>
      <c r="P251" s="396">
        <f t="shared" si="39"/>
        <v>0</v>
      </c>
      <c r="Q251" s="397" t="str">
        <f t="shared" si="37"/>
        <v>B</v>
      </c>
      <c r="R251" s="394"/>
      <c r="S251" s="394"/>
      <c r="T251" s="394"/>
      <c r="V251" s="16">
        <f t="shared" si="38"/>
        <v>1440</v>
      </c>
    </row>
    <row r="252" spans="1:22" ht="14.1" customHeight="1">
      <c r="A252" s="377">
        <v>253</v>
      </c>
      <c r="B252" s="622" t="s">
        <v>595</v>
      </c>
      <c r="C252" s="618" t="s">
        <v>371</v>
      </c>
      <c r="D252" s="619" t="s">
        <v>596</v>
      </c>
      <c r="E252" s="622" t="s">
        <v>608</v>
      </c>
      <c r="F252" s="621" t="str">
        <f t="shared" si="30"/>
        <v>Sportzaal/gymzaal</v>
      </c>
      <c r="G252" s="622" t="s">
        <v>609</v>
      </c>
      <c r="H252" s="623">
        <v>252</v>
      </c>
      <c r="I252" s="635">
        <v>8200</v>
      </c>
      <c r="J252" s="395">
        <f t="shared" si="31"/>
        <v>200</v>
      </c>
      <c r="K252" s="396">
        <f t="shared" si="32"/>
        <v>0</v>
      </c>
      <c r="L252" s="396">
        <f t="shared" si="33"/>
        <v>0</v>
      </c>
      <c r="M252" s="396">
        <f t="shared" si="34"/>
        <v>0</v>
      </c>
      <c r="N252" s="396">
        <f t="shared" si="35"/>
        <v>0</v>
      </c>
      <c r="O252" s="396">
        <f t="shared" si="36"/>
        <v>0</v>
      </c>
      <c r="P252" s="396">
        <f t="shared" si="39"/>
        <v>0</v>
      </c>
      <c r="Q252" s="397" t="str">
        <f t="shared" si="37"/>
        <v>V</v>
      </c>
      <c r="R252" s="394"/>
      <c r="S252" s="394"/>
      <c r="T252" s="394"/>
      <c r="V252" s="16">
        <f t="shared" si="38"/>
        <v>50400</v>
      </c>
    </row>
    <row r="253" spans="1:22" ht="14.1" customHeight="1">
      <c r="A253" s="377">
        <v>254</v>
      </c>
      <c r="B253" s="622" t="s">
        <v>595</v>
      </c>
      <c r="C253" s="618" t="s">
        <v>371</v>
      </c>
      <c r="D253" s="619" t="s">
        <v>596</v>
      </c>
      <c r="E253" s="622" t="s">
        <v>503</v>
      </c>
      <c r="F253" s="621" t="str">
        <f t="shared" si="30"/>
        <v>Opslagruimten</v>
      </c>
      <c r="G253" s="622" t="s">
        <v>609</v>
      </c>
      <c r="H253" s="623">
        <v>31.85</v>
      </c>
      <c r="I253" s="635">
        <v>14012</v>
      </c>
      <c r="J253" s="395">
        <f t="shared" si="31"/>
        <v>12</v>
      </c>
      <c r="K253" s="396">
        <f t="shared" si="32"/>
        <v>0</v>
      </c>
      <c r="L253" s="396">
        <f t="shared" si="33"/>
        <v>0</v>
      </c>
      <c r="M253" s="396">
        <f t="shared" si="34"/>
        <v>0</v>
      </c>
      <c r="N253" s="396">
        <f t="shared" si="35"/>
        <v>0</v>
      </c>
      <c r="O253" s="396">
        <f t="shared" si="36"/>
        <v>0</v>
      </c>
      <c r="P253" s="396">
        <f t="shared" si="39"/>
        <v>0</v>
      </c>
      <c r="Q253" s="397" t="str">
        <f t="shared" si="37"/>
        <v>V</v>
      </c>
      <c r="R253" s="394"/>
      <c r="S253" s="394"/>
      <c r="T253" s="394"/>
      <c r="V253" s="16">
        <f t="shared" si="38"/>
        <v>382.20000000000005</v>
      </c>
    </row>
    <row r="254" spans="1:22" ht="14.1" customHeight="1">
      <c r="A254" s="377">
        <v>255</v>
      </c>
      <c r="B254" s="622" t="s">
        <v>595</v>
      </c>
      <c r="C254" s="618" t="s">
        <v>371</v>
      </c>
      <c r="D254" s="619" t="s">
        <v>186</v>
      </c>
      <c r="E254" s="622" t="s">
        <v>398</v>
      </c>
      <c r="F254" s="621" t="str">
        <f t="shared" si="30"/>
        <v>Gangen en hallen</v>
      </c>
      <c r="G254" s="622" t="s">
        <v>599</v>
      </c>
      <c r="H254" s="623">
        <v>15</v>
      </c>
      <c r="I254" s="635">
        <v>3200</v>
      </c>
      <c r="J254" s="395">
        <f t="shared" si="31"/>
        <v>200</v>
      </c>
      <c r="K254" s="396">
        <f t="shared" si="32"/>
        <v>0</v>
      </c>
      <c r="L254" s="396">
        <f t="shared" si="33"/>
        <v>0</v>
      </c>
      <c r="M254" s="396">
        <f t="shared" si="34"/>
        <v>0</v>
      </c>
      <c r="N254" s="396">
        <f t="shared" si="35"/>
        <v>0</v>
      </c>
      <c r="O254" s="396">
        <f t="shared" si="36"/>
        <v>0</v>
      </c>
      <c r="P254" s="396">
        <f t="shared" si="39"/>
        <v>0</v>
      </c>
      <c r="Q254" s="397" t="str">
        <f t="shared" si="37"/>
        <v>V</v>
      </c>
      <c r="R254" s="394"/>
      <c r="S254" s="394"/>
      <c r="T254" s="394"/>
      <c r="V254" s="16">
        <f t="shared" si="38"/>
        <v>3000</v>
      </c>
    </row>
    <row r="255" spans="1:22" ht="14.1" customHeight="1">
      <c r="A255" s="377">
        <v>256</v>
      </c>
      <c r="B255" s="622" t="s">
        <v>595</v>
      </c>
      <c r="C255" s="618" t="s">
        <v>371</v>
      </c>
      <c r="D255" s="619" t="s">
        <v>596</v>
      </c>
      <c r="E255" s="622" t="s">
        <v>489</v>
      </c>
      <c r="F255" s="621" t="str">
        <f t="shared" si="30"/>
        <v>Trappenhuizen</v>
      </c>
      <c r="G255" s="622" t="s">
        <v>550</v>
      </c>
      <c r="H255" s="623">
        <v>10.5</v>
      </c>
      <c r="I255" s="635">
        <v>5200</v>
      </c>
      <c r="J255" s="395">
        <f t="shared" si="31"/>
        <v>200</v>
      </c>
      <c r="K255" s="396">
        <f t="shared" si="32"/>
        <v>0</v>
      </c>
      <c r="L255" s="396">
        <f t="shared" si="33"/>
        <v>0</v>
      </c>
      <c r="M255" s="396">
        <f t="shared" si="34"/>
        <v>0</v>
      </c>
      <c r="N255" s="396">
        <f t="shared" si="35"/>
        <v>0</v>
      </c>
      <c r="O255" s="396">
        <f t="shared" si="36"/>
        <v>0</v>
      </c>
      <c r="P255" s="396">
        <f t="shared" si="39"/>
        <v>0</v>
      </c>
      <c r="Q255" s="397" t="str">
        <f t="shared" si="37"/>
        <v>V</v>
      </c>
      <c r="R255" s="394"/>
      <c r="S255" s="394"/>
      <c r="T255" s="394"/>
      <c r="V255" s="16">
        <f t="shared" si="38"/>
        <v>2100</v>
      </c>
    </row>
    <row r="256" spans="1:22" ht="14.1" customHeight="1">
      <c r="A256" s="377">
        <v>257</v>
      </c>
      <c r="B256" s="622" t="s">
        <v>595</v>
      </c>
      <c r="C256" s="618" t="s">
        <v>371</v>
      </c>
      <c r="D256" s="619" t="s">
        <v>596</v>
      </c>
      <c r="E256" s="622" t="s">
        <v>398</v>
      </c>
      <c r="F256" s="621" t="str">
        <f t="shared" si="30"/>
        <v>Gangen en hallen</v>
      </c>
      <c r="G256" s="622" t="s">
        <v>377</v>
      </c>
      <c r="H256" s="623">
        <v>18.87</v>
      </c>
      <c r="I256" s="635">
        <v>3200</v>
      </c>
      <c r="J256" s="395">
        <f t="shared" si="31"/>
        <v>200</v>
      </c>
      <c r="K256" s="396">
        <f t="shared" si="32"/>
        <v>0</v>
      </c>
      <c r="L256" s="396">
        <f t="shared" si="33"/>
        <v>0</v>
      </c>
      <c r="M256" s="396">
        <f t="shared" si="34"/>
        <v>0</v>
      </c>
      <c r="N256" s="396">
        <f t="shared" si="35"/>
        <v>0</v>
      </c>
      <c r="O256" s="396">
        <f t="shared" si="36"/>
        <v>0</v>
      </c>
      <c r="P256" s="396">
        <f t="shared" si="39"/>
        <v>0</v>
      </c>
      <c r="Q256" s="397" t="str">
        <f t="shared" si="37"/>
        <v>V</v>
      </c>
      <c r="R256" s="394"/>
      <c r="S256" s="394"/>
      <c r="T256" s="394"/>
      <c r="V256" s="16">
        <f t="shared" si="38"/>
        <v>3774</v>
      </c>
    </row>
    <row r="257" spans="1:22" ht="14.1" customHeight="1">
      <c r="A257" s="377">
        <v>258</v>
      </c>
      <c r="B257" s="622" t="s">
        <v>595</v>
      </c>
      <c r="C257" s="618" t="s">
        <v>371</v>
      </c>
      <c r="D257" s="619" t="s">
        <v>596</v>
      </c>
      <c r="E257" s="622" t="s">
        <v>398</v>
      </c>
      <c r="F257" s="621" t="str">
        <f t="shared" si="30"/>
        <v>Gangen en hallen</v>
      </c>
      <c r="G257" s="622" t="s">
        <v>599</v>
      </c>
      <c r="H257" s="623">
        <v>48.36</v>
      </c>
      <c r="I257" s="635">
        <v>3200</v>
      </c>
      <c r="J257" s="395">
        <f t="shared" si="31"/>
        <v>200</v>
      </c>
      <c r="K257" s="396">
        <f t="shared" si="32"/>
        <v>0</v>
      </c>
      <c r="L257" s="396">
        <f t="shared" si="33"/>
        <v>0</v>
      </c>
      <c r="M257" s="396">
        <f t="shared" si="34"/>
        <v>0</v>
      </c>
      <c r="N257" s="396">
        <f t="shared" si="35"/>
        <v>0</v>
      </c>
      <c r="O257" s="396">
        <f t="shared" si="36"/>
        <v>0</v>
      </c>
      <c r="P257" s="396">
        <f t="shared" si="39"/>
        <v>0</v>
      </c>
      <c r="Q257" s="397" t="str">
        <f t="shared" si="37"/>
        <v>V</v>
      </c>
      <c r="R257" s="394"/>
      <c r="S257" s="394"/>
      <c r="T257" s="394"/>
      <c r="V257" s="16">
        <f t="shared" si="38"/>
        <v>9672</v>
      </c>
    </row>
    <row r="258" spans="1:22" ht="14.1" customHeight="1">
      <c r="A258" s="377">
        <v>259</v>
      </c>
      <c r="B258" s="622" t="s">
        <v>595</v>
      </c>
      <c r="C258" s="618" t="s">
        <v>371</v>
      </c>
      <c r="D258" s="619" t="s">
        <v>610</v>
      </c>
      <c r="E258" s="622" t="s">
        <v>611</v>
      </c>
      <c r="F258" s="621" t="str">
        <f t="shared" si="30"/>
        <v>Leslokalen praktijk</v>
      </c>
      <c r="G258" s="622" t="s">
        <v>402</v>
      </c>
      <c r="H258" s="623">
        <v>97.09</v>
      </c>
      <c r="I258" s="635">
        <v>16200</v>
      </c>
      <c r="J258" s="395">
        <f t="shared" si="31"/>
        <v>200</v>
      </c>
      <c r="K258" s="396">
        <f t="shared" si="32"/>
        <v>0</v>
      </c>
      <c r="L258" s="396">
        <f t="shared" si="33"/>
        <v>0</v>
      </c>
      <c r="M258" s="396">
        <f t="shared" si="34"/>
        <v>0</v>
      </c>
      <c r="N258" s="396">
        <f t="shared" si="35"/>
        <v>0</v>
      </c>
      <c r="O258" s="396">
        <f t="shared" si="36"/>
        <v>0</v>
      </c>
      <c r="P258" s="396">
        <f t="shared" si="39"/>
        <v>0</v>
      </c>
      <c r="Q258" s="397" t="str">
        <f t="shared" si="37"/>
        <v>L</v>
      </c>
      <c r="R258" s="394"/>
      <c r="S258" s="394"/>
      <c r="T258" s="394"/>
      <c r="V258" s="16">
        <f t="shared" si="38"/>
        <v>19418</v>
      </c>
    </row>
    <row r="259" spans="1:22" ht="14.1" customHeight="1">
      <c r="A259" s="377">
        <v>260</v>
      </c>
      <c r="B259" s="622" t="s">
        <v>595</v>
      </c>
      <c r="C259" s="618" t="s">
        <v>371</v>
      </c>
      <c r="D259" s="619" t="s">
        <v>596</v>
      </c>
      <c r="E259" s="622" t="s">
        <v>612</v>
      </c>
      <c r="F259" s="621" t="str">
        <f t="shared" si="30"/>
        <v>Opslagruimten</v>
      </c>
      <c r="G259" s="622" t="s">
        <v>402</v>
      </c>
      <c r="H259" s="623">
        <v>20</v>
      </c>
      <c r="I259" s="635">
        <v>14012</v>
      </c>
      <c r="J259" s="395">
        <f t="shared" si="31"/>
        <v>12</v>
      </c>
      <c r="K259" s="396">
        <f t="shared" si="32"/>
        <v>0</v>
      </c>
      <c r="L259" s="396">
        <f t="shared" si="33"/>
        <v>0</v>
      </c>
      <c r="M259" s="396">
        <f t="shared" si="34"/>
        <v>0</v>
      </c>
      <c r="N259" s="396">
        <f t="shared" si="35"/>
        <v>0</v>
      </c>
      <c r="O259" s="396">
        <f t="shared" si="36"/>
        <v>0</v>
      </c>
      <c r="P259" s="396">
        <f t="shared" si="39"/>
        <v>0</v>
      </c>
      <c r="Q259" s="397" t="str">
        <f t="shared" si="37"/>
        <v>V</v>
      </c>
      <c r="R259" s="394"/>
      <c r="S259" s="394"/>
      <c r="T259" s="394"/>
      <c r="V259" s="16">
        <f t="shared" si="38"/>
        <v>240</v>
      </c>
    </row>
    <row r="260" spans="1:22" ht="14.1" customHeight="1">
      <c r="A260" s="377">
        <v>261</v>
      </c>
      <c r="B260" s="622" t="s">
        <v>595</v>
      </c>
      <c r="C260" s="618" t="s">
        <v>371</v>
      </c>
      <c r="D260" s="619" t="s">
        <v>596</v>
      </c>
      <c r="E260" s="622" t="s">
        <v>613</v>
      </c>
      <c r="F260" s="621" t="str">
        <f t="shared" si="30"/>
        <v>Sanitaire ruimten</v>
      </c>
      <c r="G260" s="622" t="s">
        <v>377</v>
      </c>
      <c r="H260" s="623">
        <v>5.2</v>
      </c>
      <c r="I260" s="635">
        <v>2400</v>
      </c>
      <c r="J260" s="395">
        <f t="shared" si="31"/>
        <v>400</v>
      </c>
      <c r="K260" s="396">
        <f t="shared" si="32"/>
        <v>0</v>
      </c>
      <c r="L260" s="396">
        <f t="shared" si="33"/>
        <v>0</v>
      </c>
      <c r="M260" s="396">
        <f t="shared" si="34"/>
        <v>0</v>
      </c>
      <c r="N260" s="396">
        <f t="shared" si="35"/>
        <v>0</v>
      </c>
      <c r="O260" s="396">
        <f t="shared" si="36"/>
        <v>0</v>
      </c>
      <c r="P260" s="396">
        <f t="shared" si="39"/>
        <v>0</v>
      </c>
      <c r="Q260" s="397" t="str">
        <f t="shared" si="37"/>
        <v>S</v>
      </c>
      <c r="R260" s="610"/>
      <c r="S260" s="394"/>
      <c r="T260" s="394"/>
      <c r="V260" s="16">
        <f t="shared" si="38"/>
        <v>2080</v>
      </c>
    </row>
    <row r="261" spans="1:22" ht="14.1" customHeight="1">
      <c r="A261" s="377">
        <v>262</v>
      </c>
      <c r="B261" s="622" t="s">
        <v>595</v>
      </c>
      <c r="C261" s="618" t="s">
        <v>371</v>
      </c>
      <c r="D261" s="619" t="s">
        <v>614</v>
      </c>
      <c r="E261" s="622" t="s">
        <v>615</v>
      </c>
      <c r="F261" s="621" t="str">
        <f t="shared" si="30"/>
        <v>Niet van toepassing</v>
      </c>
      <c r="G261" s="622" t="s">
        <v>392</v>
      </c>
      <c r="H261" s="623">
        <v>52.56</v>
      </c>
      <c r="I261" s="635" t="s">
        <v>229</v>
      </c>
      <c r="J261" s="395">
        <f t="shared" si="31"/>
        <v>0</v>
      </c>
      <c r="K261" s="396">
        <f t="shared" si="32"/>
        <v>0</v>
      </c>
      <c r="L261" s="396">
        <f t="shared" si="33"/>
        <v>0</v>
      </c>
      <c r="M261" s="396">
        <f t="shared" si="34"/>
        <v>0</v>
      </c>
      <c r="N261" s="396">
        <f t="shared" si="35"/>
        <v>0</v>
      </c>
      <c r="O261" s="396">
        <f t="shared" si="36"/>
        <v>0</v>
      </c>
      <c r="P261" s="396">
        <f t="shared" si="39"/>
        <v>0</v>
      </c>
      <c r="Q261" s="397">
        <f t="shared" si="37"/>
        <v>0</v>
      </c>
      <c r="R261" s="394"/>
      <c r="S261" s="394"/>
      <c r="T261" s="394"/>
      <c r="V261" s="16">
        <f t="shared" si="38"/>
        <v>0</v>
      </c>
    </row>
    <row r="262" spans="1:22" ht="14.1" customHeight="1">
      <c r="A262" s="377">
        <v>263</v>
      </c>
      <c r="B262" s="622" t="s">
        <v>595</v>
      </c>
      <c r="C262" s="618" t="s">
        <v>371</v>
      </c>
      <c r="D262" s="619" t="s">
        <v>596</v>
      </c>
      <c r="E262" s="622" t="s">
        <v>615</v>
      </c>
      <c r="F262" s="621" t="str">
        <f t="shared" si="30"/>
        <v>Niet van toepassing</v>
      </c>
      <c r="G262" s="622" t="s">
        <v>402</v>
      </c>
      <c r="H262" s="623">
        <v>97.09</v>
      </c>
      <c r="I262" s="635" t="s">
        <v>229</v>
      </c>
      <c r="J262" s="395">
        <f t="shared" si="31"/>
        <v>0</v>
      </c>
      <c r="K262" s="396">
        <f t="shared" si="32"/>
        <v>0</v>
      </c>
      <c r="L262" s="396">
        <f t="shared" si="33"/>
        <v>0</v>
      </c>
      <c r="M262" s="396">
        <f t="shared" si="34"/>
        <v>0</v>
      </c>
      <c r="N262" s="396">
        <f t="shared" si="35"/>
        <v>0</v>
      </c>
      <c r="O262" s="396">
        <f t="shared" si="36"/>
        <v>0</v>
      </c>
      <c r="P262" s="396">
        <f t="shared" si="39"/>
        <v>0</v>
      </c>
      <c r="Q262" s="397">
        <f t="shared" si="37"/>
        <v>0</v>
      </c>
      <c r="R262" s="394"/>
      <c r="S262" s="394"/>
      <c r="T262" s="394"/>
      <c r="V262" s="16">
        <f t="shared" si="38"/>
        <v>0</v>
      </c>
    </row>
    <row r="263" spans="1:22" ht="14.1" customHeight="1">
      <c r="A263" s="377">
        <v>264</v>
      </c>
      <c r="B263" s="622" t="s">
        <v>595</v>
      </c>
      <c r="C263" s="618" t="s">
        <v>371</v>
      </c>
      <c r="D263" s="619" t="s">
        <v>616</v>
      </c>
      <c r="E263" s="622" t="s">
        <v>617</v>
      </c>
      <c r="F263" s="621" t="str">
        <f t="shared" si="30"/>
        <v>Administratieve ruimten</v>
      </c>
      <c r="G263" s="622" t="s">
        <v>465</v>
      </c>
      <c r="H263" s="623">
        <v>25.55</v>
      </c>
      <c r="I263" s="635">
        <v>1126</v>
      </c>
      <c r="J263" s="395">
        <f t="shared" si="31"/>
        <v>126</v>
      </c>
      <c r="K263" s="396">
        <f t="shared" si="32"/>
        <v>0</v>
      </c>
      <c r="L263" s="396">
        <f t="shared" si="33"/>
        <v>0</v>
      </c>
      <c r="M263" s="396">
        <f t="shared" si="34"/>
        <v>0</v>
      </c>
      <c r="N263" s="396">
        <f t="shared" si="35"/>
        <v>0</v>
      </c>
      <c r="O263" s="396">
        <f t="shared" si="36"/>
        <v>0</v>
      </c>
      <c r="P263" s="396">
        <f t="shared" si="39"/>
        <v>0</v>
      </c>
      <c r="Q263" s="397" t="str">
        <f t="shared" si="37"/>
        <v>B</v>
      </c>
      <c r="R263" s="394"/>
      <c r="S263" s="394"/>
      <c r="T263" s="394"/>
      <c r="V263" s="16">
        <f t="shared" si="38"/>
        <v>3219.3</v>
      </c>
    </row>
    <row r="264" spans="1:22" ht="14.1" customHeight="1">
      <c r="A264" s="377">
        <v>265</v>
      </c>
      <c r="B264" s="622" t="s">
        <v>595</v>
      </c>
      <c r="C264" s="618" t="s">
        <v>371</v>
      </c>
      <c r="D264" s="619" t="s">
        <v>618</v>
      </c>
      <c r="E264" s="622" t="s">
        <v>200</v>
      </c>
      <c r="F264" s="621" t="str">
        <f t="shared" si="30"/>
        <v>Administratieve ruimten</v>
      </c>
      <c r="G264" s="622" t="s">
        <v>465</v>
      </c>
      <c r="H264" s="623">
        <v>25.55</v>
      </c>
      <c r="I264" s="635">
        <v>1126</v>
      </c>
      <c r="J264" s="395">
        <f t="shared" si="31"/>
        <v>126</v>
      </c>
      <c r="K264" s="396">
        <f t="shared" si="32"/>
        <v>0</v>
      </c>
      <c r="L264" s="396">
        <f t="shared" si="33"/>
        <v>0</v>
      </c>
      <c r="M264" s="396">
        <f t="shared" si="34"/>
        <v>0</v>
      </c>
      <c r="N264" s="396">
        <f t="shared" si="35"/>
        <v>0</v>
      </c>
      <c r="O264" s="396">
        <f t="shared" si="36"/>
        <v>0</v>
      </c>
      <c r="P264" s="396">
        <f t="shared" si="39"/>
        <v>0</v>
      </c>
      <c r="Q264" s="397" t="str">
        <f t="shared" si="37"/>
        <v>B</v>
      </c>
      <c r="R264" s="394"/>
      <c r="S264" s="394"/>
      <c r="T264" s="394"/>
      <c r="V264" s="16">
        <f t="shared" si="38"/>
        <v>3219.3</v>
      </c>
    </row>
    <row r="265" spans="1:22" ht="14.1" customHeight="1">
      <c r="A265" s="377">
        <v>266</v>
      </c>
      <c r="B265" s="622" t="s">
        <v>595</v>
      </c>
      <c r="C265" s="618" t="s">
        <v>371</v>
      </c>
      <c r="D265" s="619" t="s">
        <v>596</v>
      </c>
      <c r="E265" s="622" t="s">
        <v>398</v>
      </c>
      <c r="F265" s="621" t="str">
        <f t="shared" ref="F265:F328" si="40">IF($I265="",0,VLOOKUP($I265,Kengetal,3,FALSE))</f>
        <v>Gangen en hallen</v>
      </c>
      <c r="G265" s="622" t="s">
        <v>599</v>
      </c>
      <c r="H265" s="623">
        <v>70.06</v>
      </c>
      <c r="I265" s="635">
        <v>3200</v>
      </c>
      <c r="J265" s="395">
        <f t="shared" ref="J265:J328" si="41">SUM(IF(I265="",0,VLOOKUP(I265,Kengetal,2)))</f>
        <v>200</v>
      </c>
      <c r="K265" s="396">
        <f t="shared" ref="K265:K328" si="42">N265*H265</f>
        <v>0</v>
      </c>
      <c r="L265" s="396">
        <f t="shared" ref="L265:L328" si="43">O265*H265</f>
        <v>0</v>
      </c>
      <c r="M265" s="396">
        <f t="shared" ref="M265:M328" si="44">P265*H265</f>
        <v>0</v>
      </c>
      <c r="N265" s="396">
        <f t="shared" ref="N265:N328" si="45">IF($I265="",0,VLOOKUP($I265,Kengetal,5,FALSE))</f>
        <v>0</v>
      </c>
      <c r="O265" s="396">
        <f t="shared" ref="O265:O328" si="46">IF($I265="",0,VLOOKUP($I265,Kengetal,6,FALSE))</f>
        <v>0</v>
      </c>
      <c r="P265" s="396">
        <f t="shared" si="39"/>
        <v>0</v>
      </c>
      <c r="Q265" s="397" t="str">
        <f t="shared" ref="Q265:Q328" si="47">IF(I265="","",VLOOKUP(I265,Kengetal,12,FALSE))</f>
        <v>V</v>
      </c>
      <c r="R265" s="394"/>
      <c r="S265" s="394"/>
      <c r="T265" s="394"/>
      <c r="V265" s="16">
        <f t="shared" ref="V265:V328" si="48">H265*J265</f>
        <v>14012</v>
      </c>
    </row>
    <row r="266" spans="1:22" ht="14.1" customHeight="1">
      <c r="A266" s="377">
        <v>267</v>
      </c>
      <c r="B266" s="622" t="s">
        <v>595</v>
      </c>
      <c r="C266" s="618" t="s">
        <v>371</v>
      </c>
      <c r="D266" s="619" t="s">
        <v>596</v>
      </c>
      <c r="E266" s="622" t="s">
        <v>200</v>
      </c>
      <c r="F266" s="621" t="str">
        <f t="shared" si="40"/>
        <v>Administratieve ruimten</v>
      </c>
      <c r="G266" s="622" t="s">
        <v>465</v>
      </c>
      <c r="H266" s="623">
        <v>25.55</v>
      </c>
      <c r="I266" s="635">
        <v>1126</v>
      </c>
      <c r="J266" s="395">
        <f t="shared" si="41"/>
        <v>126</v>
      </c>
      <c r="K266" s="396">
        <f t="shared" si="42"/>
        <v>0</v>
      </c>
      <c r="L266" s="396">
        <f t="shared" si="43"/>
        <v>0</v>
      </c>
      <c r="M266" s="396">
        <f t="shared" si="44"/>
        <v>0</v>
      </c>
      <c r="N266" s="396">
        <f t="shared" si="45"/>
        <v>0</v>
      </c>
      <c r="O266" s="396">
        <f t="shared" si="46"/>
        <v>0</v>
      </c>
      <c r="P266" s="396">
        <f t="shared" ref="P266:P329" si="49">IF($I266="",0,VLOOKUP($I266,Kengetal,7,FALSE))</f>
        <v>0</v>
      </c>
      <c r="Q266" s="397" t="str">
        <f t="shared" si="47"/>
        <v>B</v>
      </c>
      <c r="R266" s="394"/>
      <c r="S266" s="394"/>
      <c r="T266" s="394"/>
      <c r="V266" s="16">
        <f t="shared" si="48"/>
        <v>3219.3</v>
      </c>
    </row>
    <row r="267" spans="1:22" ht="14.1" customHeight="1">
      <c r="A267" s="377">
        <v>268</v>
      </c>
      <c r="B267" s="622" t="s">
        <v>595</v>
      </c>
      <c r="C267" s="618" t="s">
        <v>371</v>
      </c>
      <c r="D267" s="619" t="s">
        <v>596</v>
      </c>
      <c r="E267" s="622" t="s">
        <v>416</v>
      </c>
      <c r="F267" s="621" t="str">
        <f t="shared" si="40"/>
        <v>Opslagruimten</v>
      </c>
      <c r="G267" s="622" t="s">
        <v>402</v>
      </c>
      <c r="H267" s="623">
        <v>12.24</v>
      </c>
      <c r="I267" s="635">
        <v>14012</v>
      </c>
      <c r="J267" s="395">
        <f t="shared" si="41"/>
        <v>12</v>
      </c>
      <c r="K267" s="396">
        <f t="shared" si="42"/>
        <v>0</v>
      </c>
      <c r="L267" s="396">
        <f t="shared" si="43"/>
        <v>0</v>
      </c>
      <c r="M267" s="396">
        <f t="shared" si="44"/>
        <v>0</v>
      </c>
      <c r="N267" s="396">
        <f t="shared" si="45"/>
        <v>0</v>
      </c>
      <c r="O267" s="396">
        <f t="shared" si="46"/>
        <v>0</v>
      </c>
      <c r="P267" s="396">
        <f t="shared" si="49"/>
        <v>0</v>
      </c>
      <c r="Q267" s="397" t="str">
        <f t="shared" si="47"/>
        <v>V</v>
      </c>
      <c r="R267" s="394"/>
      <c r="S267" s="394"/>
      <c r="T267" s="394"/>
      <c r="V267" s="16">
        <f t="shared" si="48"/>
        <v>146.88</v>
      </c>
    </row>
    <row r="268" spans="1:22" ht="14.1" customHeight="1">
      <c r="A268" s="377">
        <v>269</v>
      </c>
      <c r="B268" s="622" t="s">
        <v>595</v>
      </c>
      <c r="C268" s="618" t="s">
        <v>371</v>
      </c>
      <c r="D268" s="619" t="s">
        <v>619</v>
      </c>
      <c r="E268" s="622" t="s">
        <v>526</v>
      </c>
      <c r="F268" s="621" t="str">
        <f t="shared" si="40"/>
        <v>Leslokalen</v>
      </c>
      <c r="G268" s="622" t="s">
        <v>599</v>
      </c>
      <c r="H268" s="623">
        <v>54.02</v>
      </c>
      <c r="I268" s="635">
        <v>13120</v>
      </c>
      <c r="J268" s="395">
        <f t="shared" si="41"/>
        <v>120</v>
      </c>
      <c r="K268" s="396">
        <f t="shared" si="42"/>
        <v>0</v>
      </c>
      <c r="L268" s="396">
        <f t="shared" si="43"/>
        <v>0</v>
      </c>
      <c r="M268" s="396">
        <f t="shared" si="44"/>
        <v>0</v>
      </c>
      <c r="N268" s="396">
        <f t="shared" si="45"/>
        <v>0</v>
      </c>
      <c r="O268" s="396">
        <f t="shared" si="46"/>
        <v>0</v>
      </c>
      <c r="P268" s="396">
        <f t="shared" si="49"/>
        <v>0</v>
      </c>
      <c r="Q268" s="397" t="str">
        <f t="shared" si="47"/>
        <v>L</v>
      </c>
      <c r="R268" s="394"/>
      <c r="S268" s="394"/>
      <c r="T268" s="394"/>
      <c r="V268" s="16">
        <f t="shared" si="48"/>
        <v>6482.4000000000005</v>
      </c>
    </row>
    <row r="269" spans="1:22" ht="14.1" customHeight="1">
      <c r="A269" s="377">
        <v>270</v>
      </c>
      <c r="B269" s="622" t="s">
        <v>595</v>
      </c>
      <c r="C269" s="618" t="s">
        <v>371</v>
      </c>
      <c r="D269" s="619" t="s">
        <v>620</v>
      </c>
      <c r="E269" s="622" t="s">
        <v>526</v>
      </c>
      <c r="F269" s="621" t="str">
        <f t="shared" si="40"/>
        <v>Leslokalen</v>
      </c>
      <c r="G269" s="622" t="s">
        <v>599</v>
      </c>
      <c r="H269" s="623">
        <v>67.16</v>
      </c>
      <c r="I269" s="635">
        <v>13120</v>
      </c>
      <c r="J269" s="395">
        <f t="shared" si="41"/>
        <v>120</v>
      </c>
      <c r="K269" s="396">
        <f t="shared" si="42"/>
        <v>0</v>
      </c>
      <c r="L269" s="396">
        <f t="shared" si="43"/>
        <v>0</v>
      </c>
      <c r="M269" s="396">
        <f t="shared" si="44"/>
        <v>0</v>
      </c>
      <c r="N269" s="396">
        <f t="shared" si="45"/>
        <v>0</v>
      </c>
      <c r="O269" s="396">
        <f t="shared" si="46"/>
        <v>0</v>
      </c>
      <c r="P269" s="396">
        <f t="shared" si="49"/>
        <v>0</v>
      </c>
      <c r="Q269" s="397" t="str">
        <f t="shared" si="47"/>
        <v>L</v>
      </c>
      <c r="R269" s="394"/>
      <c r="S269" s="394"/>
      <c r="T269" s="394"/>
      <c r="V269" s="16">
        <f t="shared" si="48"/>
        <v>8059.2</v>
      </c>
    </row>
    <row r="270" spans="1:22" ht="14.1" customHeight="1">
      <c r="A270" s="377">
        <v>271</v>
      </c>
      <c r="B270" s="622" t="s">
        <v>595</v>
      </c>
      <c r="C270" s="618" t="s">
        <v>371</v>
      </c>
      <c r="D270" s="619" t="s">
        <v>596</v>
      </c>
      <c r="E270" s="622" t="s">
        <v>200</v>
      </c>
      <c r="F270" s="621" t="str">
        <f t="shared" si="40"/>
        <v>Administratieve ruimten</v>
      </c>
      <c r="G270" s="622" t="s">
        <v>599</v>
      </c>
      <c r="H270" s="623">
        <v>42.34</v>
      </c>
      <c r="I270" s="635">
        <v>1126</v>
      </c>
      <c r="J270" s="395">
        <f t="shared" si="41"/>
        <v>126</v>
      </c>
      <c r="K270" s="396">
        <f t="shared" si="42"/>
        <v>0</v>
      </c>
      <c r="L270" s="396">
        <f t="shared" si="43"/>
        <v>0</v>
      </c>
      <c r="M270" s="396">
        <f t="shared" si="44"/>
        <v>0</v>
      </c>
      <c r="N270" s="396">
        <f t="shared" si="45"/>
        <v>0</v>
      </c>
      <c r="O270" s="396">
        <f t="shared" si="46"/>
        <v>0</v>
      </c>
      <c r="P270" s="396">
        <f t="shared" si="49"/>
        <v>0</v>
      </c>
      <c r="Q270" s="397" t="str">
        <f t="shared" si="47"/>
        <v>B</v>
      </c>
      <c r="R270" s="394"/>
      <c r="S270" s="394"/>
      <c r="T270" s="394"/>
      <c r="V270" s="16">
        <f t="shared" si="48"/>
        <v>5334.84</v>
      </c>
    </row>
    <row r="271" spans="1:22" ht="14.1" customHeight="1">
      <c r="A271" s="377">
        <v>272</v>
      </c>
      <c r="B271" s="622" t="s">
        <v>595</v>
      </c>
      <c r="C271" s="618" t="s">
        <v>371</v>
      </c>
      <c r="D271" s="619" t="s">
        <v>621</v>
      </c>
      <c r="E271" s="622" t="s">
        <v>200</v>
      </c>
      <c r="F271" s="621" t="str">
        <f t="shared" si="40"/>
        <v>Administratieve ruimten</v>
      </c>
      <c r="G271" s="622" t="s">
        <v>599</v>
      </c>
      <c r="H271" s="623">
        <v>40.15</v>
      </c>
      <c r="I271" s="635">
        <v>1126</v>
      </c>
      <c r="J271" s="395">
        <f t="shared" si="41"/>
        <v>126</v>
      </c>
      <c r="K271" s="396">
        <f t="shared" si="42"/>
        <v>0</v>
      </c>
      <c r="L271" s="396">
        <f t="shared" si="43"/>
        <v>0</v>
      </c>
      <c r="M271" s="396">
        <f t="shared" si="44"/>
        <v>0</v>
      </c>
      <c r="N271" s="396">
        <f t="shared" si="45"/>
        <v>0</v>
      </c>
      <c r="O271" s="396">
        <f t="shared" si="46"/>
        <v>0</v>
      </c>
      <c r="P271" s="396">
        <f t="shared" si="49"/>
        <v>0</v>
      </c>
      <c r="Q271" s="397" t="str">
        <f t="shared" si="47"/>
        <v>B</v>
      </c>
      <c r="R271" s="394"/>
      <c r="S271" s="394"/>
      <c r="T271" s="394"/>
      <c r="V271" s="16">
        <f t="shared" si="48"/>
        <v>5058.8999999999996</v>
      </c>
    </row>
    <row r="272" spans="1:22" ht="14.1" customHeight="1">
      <c r="A272" s="377">
        <v>273</v>
      </c>
      <c r="B272" s="622" t="s">
        <v>595</v>
      </c>
      <c r="C272" s="618" t="s">
        <v>371</v>
      </c>
      <c r="D272" s="619" t="s">
        <v>596</v>
      </c>
      <c r="E272" s="622" t="s">
        <v>597</v>
      </c>
      <c r="F272" s="621" t="str">
        <f t="shared" si="40"/>
        <v>Gangen en hallen</v>
      </c>
      <c r="G272" s="622" t="s">
        <v>377</v>
      </c>
      <c r="H272" s="623">
        <v>28.86</v>
      </c>
      <c r="I272" s="635">
        <v>3200</v>
      </c>
      <c r="J272" s="395">
        <f t="shared" si="41"/>
        <v>200</v>
      </c>
      <c r="K272" s="396">
        <f t="shared" si="42"/>
        <v>0</v>
      </c>
      <c r="L272" s="396">
        <f t="shared" si="43"/>
        <v>0</v>
      </c>
      <c r="M272" s="396">
        <f t="shared" si="44"/>
        <v>0</v>
      </c>
      <c r="N272" s="396">
        <f t="shared" si="45"/>
        <v>0</v>
      </c>
      <c r="O272" s="396">
        <f t="shared" si="46"/>
        <v>0</v>
      </c>
      <c r="P272" s="396">
        <f t="shared" si="49"/>
        <v>0</v>
      </c>
      <c r="Q272" s="397" t="str">
        <f t="shared" si="47"/>
        <v>V</v>
      </c>
      <c r="R272" s="394"/>
      <c r="S272" s="394"/>
      <c r="T272" s="394"/>
      <c r="V272" s="16">
        <f t="shared" si="48"/>
        <v>5772</v>
      </c>
    </row>
    <row r="273" spans="1:22" ht="14.1" customHeight="1">
      <c r="A273" s="377">
        <v>274</v>
      </c>
      <c r="B273" s="622" t="s">
        <v>595</v>
      </c>
      <c r="C273" s="618" t="s">
        <v>371</v>
      </c>
      <c r="D273" s="619" t="s">
        <v>596</v>
      </c>
      <c r="E273" s="622" t="s">
        <v>423</v>
      </c>
      <c r="F273" s="621" t="str">
        <f t="shared" si="40"/>
        <v>Sanitaire ruimten</v>
      </c>
      <c r="G273" s="622" t="s">
        <v>377</v>
      </c>
      <c r="H273" s="623">
        <v>2.94</v>
      </c>
      <c r="I273" s="635">
        <v>2200</v>
      </c>
      <c r="J273" s="395">
        <f t="shared" si="41"/>
        <v>200</v>
      </c>
      <c r="K273" s="396">
        <f t="shared" si="42"/>
        <v>0</v>
      </c>
      <c r="L273" s="396">
        <f t="shared" si="43"/>
        <v>0</v>
      </c>
      <c r="M273" s="396">
        <f t="shared" si="44"/>
        <v>0</v>
      </c>
      <c r="N273" s="396">
        <f t="shared" si="45"/>
        <v>0</v>
      </c>
      <c r="O273" s="396">
        <f t="shared" si="46"/>
        <v>0</v>
      </c>
      <c r="P273" s="396">
        <f t="shared" si="49"/>
        <v>0</v>
      </c>
      <c r="Q273" s="397" t="str">
        <f t="shared" si="47"/>
        <v>S</v>
      </c>
      <c r="R273" s="394"/>
      <c r="S273" s="394"/>
      <c r="T273" s="394"/>
      <c r="V273" s="16">
        <f t="shared" si="48"/>
        <v>588</v>
      </c>
    </row>
    <row r="274" spans="1:22" ht="14.1" customHeight="1">
      <c r="A274" s="377">
        <v>275</v>
      </c>
      <c r="B274" s="622" t="s">
        <v>595</v>
      </c>
      <c r="C274" s="618" t="s">
        <v>371</v>
      </c>
      <c r="D274" s="619" t="s">
        <v>596</v>
      </c>
      <c r="E274" s="622" t="s">
        <v>423</v>
      </c>
      <c r="F274" s="621" t="str">
        <f t="shared" si="40"/>
        <v>Sanitaire ruimten</v>
      </c>
      <c r="G274" s="622" t="s">
        <v>377</v>
      </c>
      <c r="H274" s="623">
        <v>2.94</v>
      </c>
      <c r="I274" s="635">
        <v>2200</v>
      </c>
      <c r="J274" s="395">
        <f t="shared" si="41"/>
        <v>200</v>
      </c>
      <c r="K274" s="396">
        <f t="shared" si="42"/>
        <v>0</v>
      </c>
      <c r="L274" s="396">
        <f t="shared" si="43"/>
        <v>0</v>
      </c>
      <c r="M274" s="396">
        <f t="shared" si="44"/>
        <v>0</v>
      </c>
      <c r="N274" s="396">
        <f t="shared" si="45"/>
        <v>0</v>
      </c>
      <c r="O274" s="396">
        <f t="shared" si="46"/>
        <v>0</v>
      </c>
      <c r="P274" s="396">
        <f t="shared" si="49"/>
        <v>0</v>
      </c>
      <c r="Q274" s="397" t="str">
        <f t="shared" si="47"/>
        <v>S</v>
      </c>
      <c r="R274" s="394"/>
      <c r="S274" s="394"/>
      <c r="T274" s="394"/>
      <c r="V274" s="16">
        <f t="shared" si="48"/>
        <v>588</v>
      </c>
    </row>
    <row r="275" spans="1:22" ht="14.1" customHeight="1">
      <c r="A275" s="377">
        <v>276</v>
      </c>
      <c r="B275" s="622" t="s">
        <v>595</v>
      </c>
      <c r="C275" s="618" t="s">
        <v>371</v>
      </c>
      <c r="D275" s="619" t="s">
        <v>596</v>
      </c>
      <c r="E275" s="622" t="s">
        <v>617</v>
      </c>
      <c r="F275" s="621" t="str">
        <f t="shared" si="40"/>
        <v>Administratieve ruimten</v>
      </c>
      <c r="G275" s="622" t="s">
        <v>465</v>
      </c>
      <c r="H275" s="623">
        <v>30.24</v>
      </c>
      <c r="I275" s="635">
        <v>1126</v>
      </c>
      <c r="J275" s="395">
        <f t="shared" si="41"/>
        <v>126</v>
      </c>
      <c r="K275" s="396">
        <f t="shared" si="42"/>
        <v>0</v>
      </c>
      <c r="L275" s="396">
        <f t="shared" si="43"/>
        <v>0</v>
      </c>
      <c r="M275" s="396">
        <f t="shared" si="44"/>
        <v>0</v>
      </c>
      <c r="N275" s="396">
        <f t="shared" si="45"/>
        <v>0</v>
      </c>
      <c r="O275" s="396">
        <f t="shared" si="46"/>
        <v>0</v>
      </c>
      <c r="P275" s="396">
        <f t="shared" si="49"/>
        <v>0</v>
      </c>
      <c r="Q275" s="397" t="str">
        <f t="shared" si="47"/>
        <v>B</v>
      </c>
      <c r="R275" s="394"/>
      <c r="S275" s="394"/>
      <c r="T275" s="394"/>
      <c r="V275" s="16">
        <f t="shared" si="48"/>
        <v>3810.24</v>
      </c>
    </row>
    <row r="276" spans="1:22" ht="14.1" customHeight="1">
      <c r="A276" s="377">
        <v>277</v>
      </c>
      <c r="B276" s="622" t="s">
        <v>595</v>
      </c>
      <c r="C276" s="618" t="s">
        <v>371</v>
      </c>
      <c r="D276" s="619" t="s">
        <v>622</v>
      </c>
      <c r="E276" s="622" t="s">
        <v>526</v>
      </c>
      <c r="F276" s="621" t="str">
        <f t="shared" si="40"/>
        <v>Leslokalen</v>
      </c>
      <c r="G276" s="622" t="s">
        <v>465</v>
      </c>
      <c r="H276" s="623">
        <v>50.47</v>
      </c>
      <c r="I276" s="635">
        <v>13120</v>
      </c>
      <c r="J276" s="395">
        <f t="shared" si="41"/>
        <v>120</v>
      </c>
      <c r="K276" s="396">
        <f t="shared" si="42"/>
        <v>0</v>
      </c>
      <c r="L276" s="396">
        <f t="shared" si="43"/>
        <v>0</v>
      </c>
      <c r="M276" s="396">
        <f t="shared" si="44"/>
        <v>0</v>
      </c>
      <c r="N276" s="396">
        <f t="shared" si="45"/>
        <v>0</v>
      </c>
      <c r="O276" s="396">
        <f t="shared" si="46"/>
        <v>0</v>
      </c>
      <c r="P276" s="396">
        <f t="shared" si="49"/>
        <v>0</v>
      </c>
      <c r="Q276" s="397" t="str">
        <f t="shared" si="47"/>
        <v>L</v>
      </c>
      <c r="R276" s="394"/>
      <c r="S276" s="394"/>
      <c r="T276" s="394"/>
      <c r="V276" s="16">
        <f t="shared" si="48"/>
        <v>6056.4</v>
      </c>
    </row>
    <row r="277" spans="1:22" ht="14.1" customHeight="1">
      <c r="A277" s="377">
        <v>278</v>
      </c>
      <c r="B277" s="622" t="s">
        <v>595</v>
      </c>
      <c r="C277" s="618" t="s">
        <v>371</v>
      </c>
      <c r="D277" s="619" t="s">
        <v>596</v>
      </c>
      <c r="E277" s="622" t="s">
        <v>526</v>
      </c>
      <c r="F277" s="621" t="str">
        <f t="shared" si="40"/>
        <v>Leslokalen</v>
      </c>
      <c r="G277" s="622" t="s">
        <v>465</v>
      </c>
      <c r="H277" s="623">
        <v>4</v>
      </c>
      <c r="I277" s="635">
        <v>13120</v>
      </c>
      <c r="J277" s="395">
        <f t="shared" si="41"/>
        <v>120</v>
      </c>
      <c r="K277" s="396">
        <f t="shared" si="42"/>
        <v>0</v>
      </c>
      <c r="L277" s="396">
        <f t="shared" si="43"/>
        <v>0</v>
      </c>
      <c r="M277" s="396">
        <f t="shared" si="44"/>
        <v>0</v>
      </c>
      <c r="N277" s="396">
        <f t="shared" si="45"/>
        <v>0</v>
      </c>
      <c r="O277" s="396">
        <f t="shared" si="46"/>
        <v>0</v>
      </c>
      <c r="P277" s="396">
        <f t="shared" si="49"/>
        <v>0</v>
      </c>
      <c r="Q277" s="397" t="str">
        <f t="shared" si="47"/>
        <v>L</v>
      </c>
      <c r="R277" s="394"/>
      <c r="S277" s="394"/>
      <c r="T277" s="394"/>
      <c r="V277" s="16">
        <f t="shared" si="48"/>
        <v>480</v>
      </c>
    </row>
    <row r="278" spans="1:22" ht="14.1" customHeight="1">
      <c r="A278" s="377">
        <v>279</v>
      </c>
      <c r="B278" s="622" t="s">
        <v>595</v>
      </c>
      <c r="C278" s="618" t="s">
        <v>371</v>
      </c>
      <c r="D278" s="619" t="s">
        <v>596</v>
      </c>
      <c r="E278" s="622" t="s">
        <v>526</v>
      </c>
      <c r="F278" s="621" t="str">
        <f t="shared" si="40"/>
        <v>Leslokalen</v>
      </c>
      <c r="G278" s="622" t="s">
        <v>465</v>
      </c>
      <c r="H278" s="623">
        <v>24.2</v>
      </c>
      <c r="I278" s="635">
        <v>13120</v>
      </c>
      <c r="J278" s="395">
        <f t="shared" si="41"/>
        <v>120</v>
      </c>
      <c r="K278" s="396">
        <f t="shared" si="42"/>
        <v>0</v>
      </c>
      <c r="L278" s="396">
        <f t="shared" si="43"/>
        <v>0</v>
      </c>
      <c r="M278" s="396">
        <f t="shared" si="44"/>
        <v>0</v>
      </c>
      <c r="N278" s="396">
        <f t="shared" si="45"/>
        <v>0</v>
      </c>
      <c r="O278" s="396">
        <f t="shared" si="46"/>
        <v>0</v>
      </c>
      <c r="P278" s="396">
        <f t="shared" si="49"/>
        <v>0</v>
      </c>
      <c r="Q278" s="397" t="str">
        <f t="shared" si="47"/>
        <v>L</v>
      </c>
      <c r="R278" s="394"/>
      <c r="S278" s="394"/>
      <c r="T278" s="394"/>
      <c r="V278" s="16">
        <f t="shared" si="48"/>
        <v>2904</v>
      </c>
    </row>
    <row r="279" spans="1:22" ht="14.1" customHeight="1">
      <c r="A279" s="377">
        <v>280</v>
      </c>
      <c r="B279" s="622" t="s">
        <v>595</v>
      </c>
      <c r="C279" s="618" t="s">
        <v>371</v>
      </c>
      <c r="D279" s="619" t="s">
        <v>596</v>
      </c>
      <c r="E279" s="622" t="s">
        <v>526</v>
      </c>
      <c r="F279" s="621" t="str">
        <f t="shared" si="40"/>
        <v>Leslokalen</v>
      </c>
      <c r="G279" s="622" t="s">
        <v>465</v>
      </c>
      <c r="H279" s="623">
        <v>24.2</v>
      </c>
      <c r="I279" s="635">
        <v>13120</v>
      </c>
      <c r="J279" s="395">
        <f t="shared" si="41"/>
        <v>120</v>
      </c>
      <c r="K279" s="396">
        <f t="shared" si="42"/>
        <v>0</v>
      </c>
      <c r="L279" s="396">
        <f t="shared" si="43"/>
        <v>0</v>
      </c>
      <c r="M279" s="396">
        <f t="shared" si="44"/>
        <v>0</v>
      </c>
      <c r="N279" s="396">
        <f t="shared" si="45"/>
        <v>0</v>
      </c>
      <c r="O279" s="396">
        <f t="shared" si="46"/>
        <v>0</v>
      </c>
      <c r="P279" s="396">
        <f t="shared" si="49"/>
        <v>0</v>
      </c>
      <c r="Q279" s="397" t="str">
        <f t="shared" si="47"/>
        <v>L</v>
      </c>
      <c r="R279" s="394"/>
      <c r="S279" s="394"/>
      <c r="T279" s="394"/>
      <c r="V279" s="16">
        <f t="shared" si="48"/>
        <v>2904</v>
      </c>
    </row>
    <row r="280" spans="1:22" ht="14.1" customHeight="1">
      <c r="A280" s="377">
        <v>281</v>
      </c>
      <c r="B280" s="622" t="s">
        <v>595</v>
      </c>
      <c r="C280" s="618" t="s">
        <v>371</v>
      </c>
      <c r="D280" s="619" t="s">
        <v>596</v>
      </c>
      <c r="E280" s="622" t="s">
        <v>526</v>
      </c>
      <c r="F280" s="621" t="str">
        <f t="shared" si="40"/>
        <v>Leslokalen</v>
      </c>
      <c r="G280" s="622" t="s">
        <v>465</v>
      </c>
      <c r="H280" s="623">
        <v>23.65</v>
      </c>
      <c r="I280" s="635">
        <v>13120</v>
      </c>
      <c r="J280" s="395">
        <f t="shared" si="41"/>
        <v>120</v>
      </c>
      <c r="K280" s="396">
        <f t="shared" si="42"/>
        <v>0</v>
      </c>
      <c r="L280" s="396">
        <f t="shared" si="43"/>
        <v>0</v>
      </c>
      <c r="M280" s="396">
        <f t="shared" si="44"/>
        <v>0</v>
      </c>
      <c r="N280" s="396">
        <f t="shared" si="45"/>
        <v>0</v>
      </c>
      <c r="O280" s="396">
        <f t="shared" si="46"/>
        <v>0</v>
      </c>
      <c r="P280" s="396">
        <f t="shared" si="49"/>
        <v>0</v>
      </c>
      <c r="Q280" s="397" t="str">
        <f t="shared" si="47"/>
        <v>L</v>
      </c>
      <c r="R280" s="394"/>
      <c r="S280" s="394"/>
      <c r="T280" s="394"/>
      <c r="V280" s="16">
        <f t="shared" si="48"/>
        <v>2838</v>
      </c>
    </row>
    <row r="281" spans="1:22" ht="14.1" customHeight="1">
      <c r="A281" s="377">
        <v>282</v>
      </c>
      <c r="B281" s="622" t="s">
        <v>595</v>
      </c>
      <c r="C281" s="618" t="s">
        <v>371</v>
      </c>
      <c r="D281" s="619" t="s">
        <v>596</v>
      </c>
      <c r="E281" s="622" t="s">
        <v>398</v>
      </c>
      <c r="F281" s="621" t="str">
        <f t="shared" si="40"/>
        <v>Gangen en hallen</v>
      </c>
      <c r="G281" s="622" t="s">
        <v>599</v>
      </c>
      <c r="H281" s="623">
        <v>20</v>
      </c>
      <c r="I281" s="635">
        <v>3200</v>
      </c>
      <c r="J281" s="395">
        <f t="shared" si="41"/>
        <v>200</v>
      </c>
      <c r="K281" s="396">
        <f t="shared" si="42"/>
        <v>0</v>
      </c>
      <c r="L281" s="396">
        <f t="shared" si="43"/>
        <v>0</v>
      </c>
      <c r="M281" s="396">
        <f t="shared" si="44"/>
        <v>0</v>
      </c>
      <c r="N281" s="396">
        <f t="shared" si="45"/>
        <v>0</v>
      </c>
      <c r="O281" s="396">
        <f t="shared" si="46"/>
        <v>0</v>
      </c>
      <c r="P281" s="396">
        <f t="shared" si="49"/>
        <v>0</v>
      </c>
      <c r="Q281" s="397" t="str">
        <f t="shared" si="47"/>
        <v>V</v>
      </c>
      <c r="R281" s="394"/>
      <c r="S281" s="394"/>
      <c r="T281" s="394"/>
      <c r="V281" s="16">
        <f t="shared" si="48"/>
        <v>4000</v>
      </c>
    </row>
    <row r="282" spans="1:22" ht="14.1" customHeight="1">
      <c r="A282" s="377">
        <v>283</v>
      </c>
      <c r="B282" s="622" t="s">
        <v>595</v>
      </c>
      <c r="C282" s="618" t="s">
        <v>371</v>
      </c>
      <c r="D282" s="619" t="s">
        <v>596</v>
      </c>
      <c r="E282" s="622" t="s">
        <v>489</v>
      </c>
      <c r="F282" s="621" t="str">
        <f t="shared" si="40"/>
        <v>Trappenhuizen</v>
      </c>
      <c r="G282" s="622" t="s">
        <v>550</v>
      </c>
      <c r="H282" s="623">
        <v>25</v>
      </c>
      <c r="I282" s="635">
        <v>5200</v>
      </c>
      <c r="J282" s="395">
        <f t="shared" si="41"/>
        <v>200</v>
      </c>
      <c r="K282" s="396">
        <f t="shared" si="42"/>
        <v>0</v>
      </c>
      <c r="L282" s="396">
        <f t="shared" si="43"/>
        <v>0</v>
      </c>
      <c r="M282" s="396">
        <f t="shared" si="44"/>
        <v>0</v>
      </c>
      <c r="N282" s="396">
        <f t="shared" si="45"/>
        <v>0</v>
      </c>
      <c r="O282" s="396">
        <f t="shared" si="46"/>
        <v>0</v>
      </c>
      <c r="P282" s="396">
        <f t="shared" si="49"/>
        <v>0</v>
      </c>
      <c r="Q282" s="397" t="str">
        <f t="shared" si="47"/>
        <v>V</v>
      </c>
      <c r="R282" s="394"/>
      <c r="S282" s="394"/>
      <c r="T282" s="394"/>
      <c r="V282" s="16">
        <f t="shared" si="48"/>
        <v>5000</v>
      </c>
    </row>
    <row r="283" spans="1:22" ht="14.1" customHeight="1">
      <c r="A283" s="377">
        <v>284</v>
      </c>
      <c r="B283" s="622" t="s">
        <v>595</v>
      </c>
      <c r="C283" s="618" t="s">
        <v>371</v>
      </c>
      <c r="D283" s="619" t="s">
        <v>596</v>
      </c>
      <c r="E283" s="622" t="s">
        <v>398</v>
      </c>
      <c r="F283" s="621" t="str">
        <f t="shared" si="40"/>
        <v>Gangen en hallen</v>
      </c>
      <c r="G283" s="622" t="s">
        <v>599</v>
      </c>
      <c r="H283" s="623">
        <v>51.6</v>
      </c>
      <c r="I283" s="635">
        <v>3200</v>
      </c>
      <c r="J283" s="395">
        <f t="shared" si="41"/>
        <v>200</v>
      </c>
      <c r="K283" s="396">
        <f t="shared" si="42"/>
        <v>0</v>
      </c>
      <c r="L283" s="396">
        <f t="shared" si="43"/>
        <v>0</v>
      </c>
      <c r="M283" s="396">
        <f t="shared" si="44"/>
        <v>0</v>
      </c>
      <c r="N283" s="396">
        <f t="shared" si="45"/>
        <v>0</v>
      </c>
      <c r="O283" s="396">
        <f t="shared" si="46"/>
        <v>0</v>
      </c>
      <c r="P283" s="396">
        <f t="shared" si="49"/>
        <v>0</v>
      </c>
      <c r="Q283" s="397" t="str">
        <f t="shared" si="47"/>
        <v>V</v>
      </c>
      <c r="R283" s="394"/>
      <c r="S283" s="394"/>
      <c r="T283" s="394"/>
      <c r="V283" s="16">
        <f t="shared" si="48"/>
        <v>10320</v>
      </c>
    </row>
    <row r="284" spans="1:22" ht="14.1" customHeight="1">
      <c r="A284" s="377">
        <v>285</v>
      </c>
      <c r="B284" s="622" t="s">
        <v>595</v>
      </c>
      <c r="C284" s="618" t="s">
        <v>371</v>
      </c>
      <c r="D284" s="619" t="s">
        <v>596</v>
      </c>
      <c r="E284" s="622" t="s">
        <v>462</v>
      </c>
      <c r="F284" s="621" t="str">
        <f t="shared" si="40"/>
        <v>Gangen en hallen</v>
      </c>
      <c r="G284" s="622" t="s">
        <v>505</v>
      </c>
      <c r="H284" s="623">
        <v>14.82</v>
      </c>
      <c r="I284" s="635">
        <v>3200</v>
      </c>
      <c r="J284" s="395">
        <f t="shared" si="41"/>
        <v>200</v>
      </c>
      <c r="K284" s="396">
        <f t="shared" si="42"/>
        <v>0</v>
      </c>
      <c r="L284" s="396">
        <f t="shared" si="43"/>
        <v>0</v>
      </c>
      <c r="M284" s="396">
        <f t="shared" si="44"/>
        <v>0</v>
      </c>
      <c r="N284" s="396">
        <f t="shared" si="45"/>
        <v>0</v>
      </c>
      <c r="O284" s="396">
        <f t="shared" si="46"/>
        <v>0</v>
      </c>
      <c r="P284" s="396">
        <f t="shared" si="49"/>
        <v>0</v>
      </c>
      <c r="Q284" s="397" t="str">
        <f t="shared" si="47"/>
        <v>V</v>
      </c>
      <c r="R284" s="394"/>
      <c r="S284" s="394"/>
      <c r="T284" s="394"/>
      <c r="V284" s="16">
        <f t="shared" si="48"/>
        <v>2964</v>
      </c>
    </row>
    <row r="285" spans="1:22" ht="14.1" customHeight="1">
      <c r="A285" s="377">
        <v>286</v>
      </c>
      <c r="B285" s="622" t="s">
        <v>595</v>
      </c>
      <c r="C285" s="618" t="s">
        <v>371</v>
      </c>
      <c r="D285" s="619" t="s">
        <v>596</v>
      </c>
      <c r="E285" s="622" t="s">
        <v>200</v>
      </c>
      <c r="F285" s="621" t="str">
        <f t="shared" si="40"/>
        <v>Administratieve ruimten</v>
      </c>
      <c r="G285" s="622" t="s">
        <v>599</v>
      </c>
      <c r="H285" s="623">
        <v>34.72</v>
      </c>
      <c r="I285" s="635">
        <v>1126</v>
      </c>
      <c r="J285" s="395">
        <f t="shared" si="41"/>
        <v>126</v>
      </c>
      <c r="K285" s="396">
        <f t="shared" si="42"/>
        <v>0</v>
      </c>
      <c r="L285" s="396">
        <f t="shared" si="43"/>
        <v>0</v>
      </c>
      <c r="M285" s="396">
        <f t="shared" si="44"/>
        <v>0</v>
      </c>
      <c r="N285" s="396">
        <f t="shared" si="45"/>
        <v>0</v>
      </c>
      <c r="O285" s="396">
        <f t="shared" si="46"/>
        <v>0</v>
      </c>
      <c r="P285" s="396">
        <f t="shared" si="49"/>
        <v>0</v>
      </c>
      <c r="Q285" s="397" t="str">
        <f t="shared" si="47"/>
        <v>B</v>
      </c>
      <c r="R285" s="394"/>
      <c r="S285" s="394"/>
      <c r="T285" s="394"/>
      <c r="V285" s="16">
        <f t="shared" si="48"/>
        <v>4374.72</v>
      </c>
    </row>
    <row r="286" spans="1:22" ht="14.1" customHeight="1">
      <c r="A286" s="377">
        <v>287</v>
      </c>
      <c r="B286" s="622" t="s">
        <v>595</v>
      </c>
      <c r="C286" s="618" t="s">
        <v>371</v>
      </c>
      <c r="D286" s="619" t="s">
        <v>623</v>
      </c>
      <c r="E286" s="622" t="s">
        <v>526</v>
      </c>
      <c r="F286" s="621" t="str">
        <f t="shared" si="40"/>
        <v>Leslokalen</v>
      </c>
      <c r="G286" s="622" t="s">
        <v>599</v>
      </c>
      <c r="H286" s="623">
        <v>47.57</v>
      </c>
      <c r="I286" s="635">
        <v>13120</v>
      </c>
      <c r="J286" s="395">
        <f t="shared" si="41"/>
        <v>120</v>
      </c>
      <c r="K286" s="396">
        <f t="shared" si="42"/>
        <v>0</v>
      </c>
      <c r="L286" s="396">
        <f t="shared" si="43"/>
        <v>0</v>
      </c>
      <c r="M286" s="396">
        <f t="shared" si="44"/>
        <v>0</v>
      </c>
      <c r="N286" s="396">
        <f t="shared" si="45"/>
        <v>0</v>
      </c>
      <c r="O286" s="396">
        <f t="shared" si="46"/>
        <v>0</v>
      </c>
      <c r="P286" s="396">
        <f t="shared" si="49"/>
        <v>0</v>
      </c>
      <c r="Q286" s="397" t="str">
        <f t="shared" si="47"/>
        <v>L</v>
      </c>
      <c r="R286" s="394"/>
      <c r="S286" s="394"/>
      <c r="T286" s="394"/>
      <c r="V286" s="16">
        <f t="shared" si="48"/>
        <v>5708.4</v>
      </c>
    </row>
    <row r="287" spans="1:22" ht="14.1" customHeight="1">
      <c r="A287" s="377">
        <v>288</v>
      </c>
      <c r="B287" s="622" t="s">
        <v>595</v>
      </c>
      <c r="C287" s="618" t="s">
        <v>371</v>
      </c>
      <c r="D287" s="619" t="s">
        <v>624</v>
      </c>
      <c r="E287" s="622" t="s">
        <v>526</v>
      </c>
      <c r="F287" s="621" t="str">
        <f t="shared" si="40"/>
        <v>Leslokalen</v>
      </c>
      <c r="G287" s="622" t="s">
        <v>599</v>
      </c>
      <c r="H287" s="623">
        <v>47.57</v>
      </c>
      <c r="I287" s="635">
        <v>13120</v>
      </c>
      <c r="J287" s="395">
        <f t="shared" si="41"/>
        <v>120</v>
      </c>
      <c r="K287" s="396">
        <f t="shared" si="42"/>
        <v>0</v>
      </c>
      <c r="L287" s="396">
        <f t="shared" si="43"/>
        <v>0</v>
      </c>
      <c r="M287" s="396">
        <f t="shared" si="44"/>
        <v>0</v>
      </c>
      <c r="N287" s="396">
        <f t="shared" si="45"/>
        <v>0</v>
      </c>
      <c r="O287" s="396">
        <f t="shared" si="46"/>
        <v>0</v>
      </c>
      <c r="P287" s="396">
        <f t="shared" si="49"/>
        <v>0</v>
      </c>
      <c r="Q287" s="397" t="str">
        <f t="shared" si="47"/>
        <v>L</v>
      </c>
      <c r="R287" s="394"/>
      <c r="S287" s="394"/>
      <c r="T287" s="394"/>
      <c r="V287" s="16">
        <f t="shared" si="48"/>
        <v>5708.4</v>
      </c>
    </row>
    <row r="288" spans="1:22" ht="14.1" customHeight="1">
      <c r="A288" s="377">
        <v>289</v>
      </c>
      <c r="B288" s="622" t="s">
        <v>595</v>
      </c>
      <c r="C288" s="618" t="s">
        <v>371</v>
      </c>
      <c r="D288" s="619" t="s">
        <v>596</v>
      </c>
      <c r="E288" s="622" t="s">
        <v>423</v>
      </c>
      <c r="F288" s="621" t="str">
        <f t="shared" si="40"/>
        <v>Sanitaire ruimten</v>
      </c>
      <c r="G288" s="622" t="s">
        <v>377</v>
      </c>
      <c r="H288" s="623">
        <v>15.25</v>
      </c>
      <c r="I288" s="635">
        <v>2400</v>
      </c>
      <c r="J288" s="395">
        <f t="shared" si="41"/>
        <v>400</v>
      </c>
      <c r="K288" s="396">
        <f t="shared" si="42"/>
        <v>0</v>
      </c>
      <c r="L288" s="396">
        <f t="shared" si="43"/>
        <v>0</v>
      </c>
      <c r="M288" s="396">
        <f t="shared" si="44"/>
        <v>0</v>
      </c>
      <c r="N288" s="396">
        <f t="shared" si="45"/>
        <v>0</v>
      </c>
      <c r="O288" s="396">
        <f t="shared" si="46"/>
        <v>0</v>
      </c>
      <c r="P288" s="396">
        <f t="shared" si="49"/>
        <v>0</v>
      </c>
      <c r="Q288" s="397" t="str">
        <f t="shared" si="47"/>
        <v>S</v>
      </c>
      <c r="R288" s="610"/>
      <c r="S288" s="394"/>
      <c r="T288" s="394"/>
      <c r="V288" s="16">
        <f t="shared" si="48"/>
        <v>6100</v>
      </c>
    </row>
    <row r="289" spans="1:22" ht="14.1" customHeight="1">
      <c r="A289" s="377">
        <v>290</v>
      </c>
      <c r="B289" s="622" t="s">
        <v>595</v>
      </c>
      <c r="C289" s="618" t="s">
        <v>371</v>
      </c>
      <c r="D289" s="619" t="s">
        <v>596</v>
      </c>
      <c r="E289" s="622" t="s">
        <v>398</v>
      </c>
      <c r="F289" s="621" t="str">
        <f t="shared" si="40"/>
        <v>Gangen en hallen</v>
      </c>
      <c r="G289" s="622" t="s">
        <v>599</v>
      </c>
      <c r="H289" s="623">
        <v>71.099999999999994</v>
      </c>
      <c r="I289" s="635">
        <v>3200</v>
      </c>
      <c r="J289" s="395">
        <f t="shared" si="41"/>
        <v>200</v>
      </c>
      <c r="K289" s="396">
        <f t="shared" si="42"/>
        <v>0</v>
      </c>
      <c r="L289" s="396">
        <f t="shared" si="43"/>
        <v>0</v>
      </c>
      <c r="M289" s="396">
        <f t="shared" si="44"/>
        <v>0</v>
      </c>
      <c r="N289" s="396">
        <f t="shared" si="45"/>
        <v>0</v>
      </c>
      <c r="O289" s="396">
        <f t="shared" si="46"/>
        <v>0</v>
      </c>
      <c r="P289" s="396">
        <f t="shared" si="49"/>
        <v>0</v>
      </c>
      <c r="Q289" s="397" t="str">
        <f t="shared" si="47"/>
        <v>V</v>
      </c>
      <c r="R289" s="394"/>
      <c r="S289" s="394"/>
      <c r="T289" s="394"/>
      <c r="V289" s="16">
        <f t="shared" si="48"/>
        <v>14219.999999999998</v>
      </c>
    </row>
    <row r="290" spans="1:22" ht="14.1" customHeight="1">
      <c r="A290" s="377">
        <v>291</v>
      </c>
      <c r="B290" s="622" t="s">
        <v>595</v>
      </c>
      <c r="C290" s="618" t="s">
        <v>371</v>
      </c>
      <c r="D290" s="619" t="s">
        <v>625</v>
      </c>
      <c r="E290" s="622" t="s">
        <v>526</v>
      </c>
      <c r="F290" s="621" t="str">
        <f t="shared" si="40"/>
        <v>Leslokalen</v>
      </c>
      <c r="G290" s="622" t="s">
        <v>599</v>
      </c>
      <c r="H290" s="623">
        <v>48.28</v>
      </c>
      <c r="I290" s="635">
        <v>13120</v>
      </c>
      <c r="J290" s="395">
        <f t="shared" si="41"/>
        <v>120</v>
      </c>
      <c r="K290" s="396">
        <f t="shared" si="42"/>
        <v>0</v>
      </c>
      <c r="L290" s="396">
        <f t="shared" si="43"/>
        <v>0</v>
      </c>
      <c r="M290" s="396">
        <f t="shared" si="44"/>
        <v>0</v>
      </c>
      <c r="N290" s="396">
        <f t="shared" si="45"/>
        <v>0</v>
      </c>
      <c r="O290" s="396">
        <f t="shared" si="46"/>
        <v>0</v>
      </c>
      <c r="P290" s="396">
        <f t="shared" si="49"/>
        <v>0</v>
      </c>
      <c r="Q290" s="397" t="str">
        <f t="shared" si="47"/>
        <v>L</v>
      </c>
      <c r="R290" s="394"/>
      <c r="S290" s="394"/>
      <c r="T290" s="394"/>
      <c r="V290" s="16">
        <f t="shared" si="48"/>
        <v>5793.6</v>
      </c>
    </row>
    <row r="291" spans="1:22" ht="14.1" customHeight="1">
      <c r="A291" s="377">
        <v>292</v>
      </c>
      <c r="B291" s="622" t="s">
        <v>595</v>
      </c>
      <c r="C291" s="618" t="s">
        <v>371</v>
      </c>
      <c r="D291" s="619" t="s">
        <v>626</v>
      </c>
      <c r="E291" s="622" t="s">
        <v>526</v>
      </c>
      <c r="F291" s="621" t="str">
        <f t="shared" si="40"/>
        <v>Leslokalen</v>
      </c>
      <c r="G291" s="622" t="s">
        <v>599</v>
      </c>
      <c r="H291" s="623">
        <v>48.28</v>
      </c>
      <c r="I291" s="635">
        <v>13120</v>
      </c>
      <c r="J291" s="395">
        <f t="shared" si="41"/>
        <v>120</v>
      </c>
      <c r="K291" s="396">
        <f t="shared" si="42"/>
        <v>0</v>
      </c>
      <c r="L291" s="396">
        <f t="shared" si="43"/>
        <v>0</v>
      </c>
      <c r="M291" s="396">
        <f t="shared" si="44"/>
        <v>0</v>
      </c>
      <c r="N291" s="396">
        <f t="shared" si="45"/>
        <v>0</v>
      </c>
      <c r="O291" s="396">
        <f t="shared" si="46"/>
        <v>0</v>
      </c>
      <c r="P291" s="396">
        <f t="shared" si="49"/>
        <v>0</v>
      </c>
      <c r="Q291" s="397" t="str">
        <f t="shared" si="47"/>
        <v>L</v>
      </c>
      <c r="R291" s="394"/>
      <c r="S291" s="394"/>
      <c r="T291" s="394"/>
      <c r="V291" s="16">
        <f t="shared" si="48"/>
        <v>5793.6</v>
      </c>
    </row>
    <row r="292" spans="1:22" ht="14.1" customHeight="1">
      <c r="A292" s="377">
        <v>293</v>
      </c>
      <c r="B292" s="622" t="s">
        <v>595</v>
      </c>
      <c r="C292" s="618" t="s">
        <v>371</v>
      </c>
      <c r="D292" s="619" t="s">
        <v>596</v>
      </c>
      <c r="E292" s="622" t="s">
        <v>423</v>
      </c>
      <c r="F292" s="621" t="str">
        <f t="shared" si="40"/>
        <v>Sanitaire ruimten</v>
      </c>
      <c r="G292" s="622" t="s">
        <v>377</v>
      </c>
      <c r="H292" s="623">
        <v>15.25</v>
      </c>
      <c r="I292" s="635">
        <v>2400</v>
      </c>
      <c r="J292" s="395">
        <f t="shared" si="41"/>
        <v>400</v>
      </c>
      <c r="K292" s="396">
        <f t="shared" si="42"/>
        <v>0</v>
      </c>
      <c r="L292" s="396">
        <f t="shared" si="43"/>
        <v>0</v>
      </c>
      <c r="M292" s="396">
        <f t="shared" si="44"/>
        <v>0</v>
      </c>
      <c r="N292" s="396">
        <f t="shared" si="45"/>
        <v>0</v>
      </c>
      <c r="O292" s="396">
        <f t="shared" si="46"/>
        <v>0</v>
      </c>
      <c r="P292" s="396">
        <f t="shared" si="49"/>
        <v>0</v>
      </c>
      <c r="Q292" s="397" t="str">
        <f t="shared" si="47"/>
        <v>S</v>
      </c>
      <c r="R292" s="610"/>
      <c r="S292" s="394"/>
      <c r="T292" s="394"/>
      <c r="V292" s="16">
        <f t="shared" si="48"/>
        <v>6100</v>
      </c>
    </row>
    <row r="293" spans="1:22" ht="14.1" customHeight="1">
      <c r="A293" s="377">
        <v>294</v>
      </c>
      <c r="B293" s="622" t="s">
        <v>595</v>
      </c>
      <c r="C293" s="618" t="s">
        <v>371</v>
      </c>
      <c r="D293" s="619" t="s">
        <v>627</v>
      </c>
      <c r="E293" s="622" t="s">
        <v>526</v>
      </c>
      <c r="F293" s="621" t="str">
        <f t="shared" si="40"/>
        <v>Leslokalen</v>
      </c>
      <c r="G293" s="622" t="s">
        <v>599</v>
      </c>
      <c r="H293" s="623">
        <v>48.28</v>
      </c>
      <c r="I293" s="635">
        <v>13120</v>
      </c>
      <c r="J293" s="395">
        <f t="shared" si="41"/>
        <v>120</v>
      </c>
      <c r="K293" s="396">
        <f t="shared" si="42"/>
        <v>0</v>
      </c>
      <c r="L293" s="396">
        <f t="shared" si="43"/>
        <v>0</v>
      </c>
      <c r="M293" s="396">
        <f t="shared" si="44"/>
        <v>0</v>
      </c>
      <c r="N293" s="396">
        <f t="shared" si="45"/>
        <v>0</v>
      </c>
      <c r="O293" s="396">
        <f t="shared" si="46"/>
        <v>0</v>
      </c>
      <c r="P293" s="396">
        <f t="shared" si="49"/>
        <v>0</v>
      </c>
      <c r="Q293" s="397" t="str">
        <f t="shared" si="47"/>
        <v>L</v>
      </c>
      <c r="R293" s="394"/>
      <c r="S293" s="394"/>
      <c r="T293" s="394"/>
      <c r="V293" s="16">
        <f t="shared" si="48"/>
        <v>5793.6</v>
      </c>
    </row>
    <row r="294" spans="1:22" ht="14.1" customHeight="1">
      <c r="A294" s="377">
        <v>295</v>
      </c>
      <c r="B294" s="622" t="s">
        <v>595</v>
      </c>
      <c r="C294" s="618" t="s">
        <v>371</v>
      </c>
      <c r="D294" s="619" t="s">
        <v>628</v>
      </c>
      <c r="E294" s="622" t="s">
        <v>526</v>
      </c>
      <c r="F294" s="621" t="str">
        <f t="shared" si="40"/>
        <v>Leslokalen</v>
      </c>
      <c r="G294" s="622" t="s">
        <v>599</v>
      </c>
      <c r="H294" s="623">
        <v>47.57</v>
      </c>
      <c r="I294" s="635">
        <v>13120</v>
      </c>
      <c r="J294" s="395">
        <f t="shared" si="41"/>
        <v>120</v>
      </c>
      <c r="K294" s="396">
        <f t="shared" si="42"/>
        <v>0</v>
      </c>
      <c r="L294" s="396">
        <f t="shared" si="43"/>
        <v>0</v>
      </c>
      <c r="M294" s="396">
        <f t="shared" si="44"/>
        <v>0</v>
      </c>
      <c r="N294" s="396">
        <f t="shared" si="45"/>
        <v>0</v>
      </c>
      <c r="O294" s="396">
        <f t="shared" si="46"/>
        <v>0</v>
      </c>
      <c r="P294" s="396">
        <f t="shared" si="49"/>
        <v>0</v>
      </c>
      <c r="Q294" s="397" t="str">
        <f t="shared" si="47"/>
        <v>L</v>
      </c>
      <c r="R294" s="394"/>
      <c r="S294" s="394"/>
      <c r="T294" s="394"/>
      <c r="V294" s="16">
        <f t="shared" si="48"/>
        <v>5708.4</v>
      </c>
    </row>
    <row r="295" spans="1:22" ht="14.1" customHeight="1">
      <c r="A295" s="377">
        <v>296</v>
      </c>
      <c r="B295" s="622" t="s">
        <v>595</v>
      </c>
      <c r="C295" s="618" t="s">
        <v>371</v>
      </c>
      <c r="D295" s="619" t="s">
        <v>596</v>
      </c>
      <c r="E295" s="622" t="s">
        <v>398</v>
      </c>
      <c r="F295" s="621" t="str">
        <f t="shared" si="40"/>
        <v>Gangen en hallen</v>
      </c>
      <c r="G295" s="622" t="s">
        <v>599</v>
      </c>
      <c r="H295" s="623">
        <v>28.29</v>
      </c>
      <c r="I295" s="635">
        <v>3200</v>
      </c>
      <c r="J295" s="395">
        <f t="shared" si="41"/>
        <v>200</v>
      </c>
      <c r="K295" s="396">
        <f t="shared" si="42"/>
        <v>0</v>
      </c>
      <c r="L295" s="396">
        <f t="shared" si="43"/>
        <v>0</v>
      </c>
      <c r="M295" s="396">
        <f t="shared" si="44"/>
        <v>0</v>
      </c>
      <c r="N295" s="396">
        <f t="shared" si="45"/>
        <v>0</v>
      </c>
      <c r="O295" s="396">
        <f t="shared" si="46"/>
        <v>0</v>
      </c>
      <c r="P295" s="396">
        <f t="shared" si="49"/>
        <v>0</v>
      </c>
      <c r="Q295" s="397" t="str">
        <f t="shared" si="47"/>
        <v>V</v>
      </c>
      <c r="R295" s="394"/>
      <c r="S295" s="394"/>
      <c r="T295" s="394"/>
      <c r="V295" s="16">
        <f t="shared" si="48"/>
        <v>5658</v>
      </c>
    </row>
    <row r="296" spans="1:22" ht="14.1" customHeight="1">
      <c r="A296" s="377">
        <v>297</v>
      </c>
      <c r="B296" s="622" t="s">
        <v>595</v>
      </c>
      <c r="C296" s="618" t="s">
        <v>371</v>
      </c>
      <c r="D296" s="619" t="s">
        <v>596</v>
      </c>
      <c r="E296" s="622" t="s">
        <v>523</v>
      </c>
      <c r="F296" s="621" t="str">
        <f t="shared" si="40"/>
        <v>Administratieve ruimten</v>
      </c>
      <c r="G296" s="622" t="s">
        <v>201</v>
      </c>
      <c r="H296" s="623">
        <v>32.119999999999997</v>
      </c>
      <c r="I296" s="635">
        <v>1200</v>
      </c>
      <c r="J296" s="395">
        <f t="shared" si="41"/>
        <v>200</v>
      </c>
      <c r="K296" s="396">
        <f t="shared" si="42"/>
        <v>0</v>
      </c>
      <c r="L296" s="396">
        <f t="shared" si="43"/>
        <v>0</v>
      </c>
      <c r="M296" s="396">
        <f t="shared" si="44"/>
        <v>0</v>
      </c>
      <c r="N296" s="396">
        <f t="shared" si="45"/>
        <v>0</v>
      </c>
      <c r="O296" s="396">
        <f t="shared" si="46"/>
        <v>0</v>
      </c>
      <c r="P296" s="396">
        <f t="shared" si="49"/>
        <v>0</v>
      </c>
      <c r="Q296" s="397" t="str">
        <f t="shared" si="47"/>
        <v>B</v>
      </c>
      <c r="R296" s="394"/>
      <c r="S296" s="394"/>
      <c r="T296" s="394"/>
      <c r="V296" s="16">
        <f t="shared" si="48"/>
        <v>6423.9999999999991</v>
      </c>
    </row>
    <row r="297" spans="1:22" ht="14.1" customHeight="1">
      <c r="A297" s="377">
        <v>298</v>
      </c>
      <c r="B297" s="622" t="s">
        <v>595</v>
      </c>
      <c r="C297" s="618" t="s">
        <v>371</v>
      </c>
      <c r="D297" s="619" t="s">
        <v>596</v>
      </c>
      <c r="E297" s="622" t="s">
        <v>462</v>
      </c>
      <c r="F297" s="621" t="str">
        <f t="shared" si="40"/>
        <v>Gangen en hallen</v>
      </c>
      <c r="G297" s="622" t="s">
        <v>505</v>
      </c>
      <c r="H297" s="623">
        <v>30.26</v>
      </c>
      <c r="I297" s="635">
        <v>3200</v>
      </c>
      <c r="J297" s="395">
        <f t="shared" si="41"/>
        <v>200</v>
      </c>
      <c r="K297" s="396">
        <f t="shared" si="42"/>
        <v>0</v>
      </c>
      <c r="L297" s="396">
        <f t="shared" si="43"/>
        <v>0</v>
      </c>
      <c r="M297" s="396">
        <f t="shared" si="44"/>
        <v>0</v>
      </c>
      <c r="N297" s="396">
        <f t="shared" si="45"/>
        <v>0</v>
      </c>
      <c r="O297" s="396">
        <f t="shared" si="46"/>
        <v>0</v>
      </c>
      <c r="P297" s="396">
        <f t="shared" si="49"/>
        <v>0</v>
      </c>
      <c r="Q297" s="397" t="str">
        <f t="shared" si="47"/>
        <v>V</v>
      </c>
      <c r="R297" s="394"/>
      <c r="S297" s="394"/>
      <c r="T297" s="394"/>
      <c r="V297" s="16">
        <f t="shared" si="48"/>
        <v>6052</v>
      </c>
    </row>
    <row r="298" spans="1:22" ht="14.1" customHeight="1">
      <c r="A298" s="377">
        <v>299</v>
      </c>
      <c r="B298" s="622" t="s">
        <v>595</v>
      </c>
      <c r="C298" s="618" t="s">
        <v>629</v>
      </c>
      <c r="D298" s="619" t="s">
        <v>596</v>
      </c>
      <c r="E298" s="622" t="s">
        <v>398</v>
      </c>
      <c r="F298" s="621" t="str">
        <f t="shared" si="40"/>
        <v>Gangen en hallen</v>
      </c>
      <c r="G298" s="622" t="s">
        <v>599</v>
      </c>
      <c r="H298" s="623">
        <v>111</v>
      </c>
      <c r="I298" s="635">
        <v>3200</v>
      </c>
      <c r="J298" s="395">
        <f t="shared" si="41"/>
        <v>200</v>
      </c>
      <c r="K298" s="396">
        <f t="shared" si="42"/>
        <v>0</v>
      </c>
      <c r="L298" s="396">
        <f t="shared" si="43"/>
        <v>0</v>
      </c>
      <c r="M298" s="396">
        <f t="shared" si="44"/>
        <v>0</v>
      </c>
      <c r="N298" s="396">
        <f t="shared" si="45"/>
        <v>0</v>
      </c>
      <c r="O298" s="396">
        <f t="shared" si="46"/>
        <v>0</v>
      </c>
      <c r="P298" s="396">
        <f t="shared" si="49"/>
        <v>0</v>
      </c>
      <c r="Q298" s="397" t="str">
        <f t="shared" si="47"/>
        <v>V</v>
      </c>
      <c r="R298" s="394"/>
      <c r="S298" s="394"/>
      <c r="T298" s="394"/>
      <c r="V298" s="16">
        <f t="shared" si="48"/>
        <v>22200</v>
      </c>
    </row>
    <row r="299" spans="1:22" ht="14.1" customHeight="1">
      <c r="A299" s="377">
        <v>300</v>
      </c>
      <c r="B299" s="622" t="s">
        <v>595</v>
      </c>
      <c r="C299" s="618" t="s">
        <v>629</v>
      </c>
      <c r="D299" s="619" t="s">
        <v>596</v>
      </c>
      <c r="E299" s="622" t="s">
        <v>423</v>
      </c>
      <c r="F299" s="621" t="str">
        <f t="shared" si="40"/>
        <v>Sanitaire ruimten</v>
      </c>
      <c r="G299" s="622" t="s">
        <v>377</v>
      </c>
      <c r="H299" s="623">
        <v>15</v>
      </c>
      <c r="I299" s="635">
        <v>2200</v>
      </c>
      <c r="J299" s="395">
        <f t="shared" si="41"/>
        <v>200</v>
      </c>
      <c r="K299" s="396">
        <f t="shared" si="42"/>
        <v>0</v>
      </c>
      <c r="L299" s="396">
        <f t="shared" si="43"/>
        <v>0</v>
      </c>
      <c r="M299" s="396">
        <f t="shared" si="44"/>
        <v>0</v>
      </c>
      <c r="N299" s="396">
        <f t="shared" si="45"/>
        <v>0</v>
      </c>
      <c r="O299" s="396">
        <f t="shared" si="46"/>
        <v>0</v>
      </c>
      <c r="P299" s="396">
        <f t="shared" si="49"/>
        <v>0</v>
      </c>
      <c r="Q299" s="397" t="str">
        <f t="shared" si="47"/>
        <v>S</v>
      </c>
      <c r="R299" s="394"/>
      <c r="S299" s="394"/>
      <c r="T299" s="394"/>
      <c r="V299" s="16">
        <f t="shared" si="48"/>
        <v>3000</v>
      </c>
    </row>
    <row r="300" spans="1:22" ht="14.1" customHeight="1">
      <c r="A300" s="377">
        <v>301</v>
      </c>
      <c r="B300" s="622" t="s">
        <v>595</v>
      </c>
      <c r="C300" s="618" t="s">
        <v>629</v>
      </c>
      <c r="D300" s="619" t="s">
        <v>596</v>
      </c>
      <c r="E300" s="622" t="s">
        <v>604</v>
      </c>
      <c r="F300" s="621" t="str">
        <f t="shared" si="40"/>
        <v>Sanitaire ruimten</v>
      </c>
      <c r="G300" s="622" t="s">
        <v>377</v>
      </c>
      <c r="H300" s="623">
        <v>3</v>
      </c>
      <c r="I300" s="635">
        <v>2200</v>
      </c>
      <c r="J300" s="395">
        <f t="shared" si="41"/>
        <v>200</v>
      </c>
      <c r="K300" s="396">
        <f t="shared" si="42"/>
        <v>0</v>
      </c>
      <c r="L300" s="396">
        <f t="shared" si="43"/>
        <v>0</v>
      </c>
      <c r="M300" s="396">
        <f t="shared" si="44"/>
        <v>0</v>
      </c>
      <c r="N300" s="396">
        <f t="shared" si="45"/>
        <v>0</v>
      </c>
      <c r="O300" s="396">
        <f t="shared" si="46"/>
        <v>0</v>
      </c>
      <c r="P300" s="396">
        <f t="shared" si="49"/>
        <v>0</v>
      </c>
      <c r="Q300" s="397" t="str">
        <f t="shared" si="47"/>
        <v>S</v>
      </c>
      <c r="R300" s="394"/>
      <c r="S300" s="394"/>
      <c r="T300" s="394"/>
      <c r="V300" s="16">
        <f t="shared" si="48"/>
        <v>600</v>
      </c>
    </row>
    <row r="301" spans="1:22" ht="14.1" customHeight="1">
      <c r="A301" s="377">
        <v>302</v>
      </c>
      <c r="B301" s="622" t="s">
        <v>595</v>
      </c>
      <c r="C301" s="618" t="s">
        <v>629</v>
      </c>
      <c r="D301" s="619" t="s">
        <v>630</v>
      </c>
      <c r="E301" s="622" t="s">
        <v>526</v>
      </c>
      <c r="F301" s="621" t="str">
        <f t="shared" si="40"/>
        <v>Leslokalen</v>
      </c>
      <c r="G301" s="622" t="s">
        <v>599</v>
      </c>
      <c r="H301" s="623">
        <v>49</v>
      </c>
      <c r="I301" s="635">
        <v>13120</v>
      </c>
      <c r="J301" s="395">
        <f t="shared" si="41"/>
        <v>120</v>
      </c>
      <c r="K301" s="396">
        <f t="shared" si="42"/>
        <v>0</v>
      </c>
      <c r="L301" s="396">
        <f t="shared" si="43"/>
        <v>0</v>
      </c>
      <c r="M301" s="396">
        <f t="shared" si="44"/>
        <v>0</v>
      </c>
      <c r="N301" s="396">
        <f t="shared" si="45"/>
        <v>0</v>
      </c>
      <c r="O301" s="396">
        <f t="shared" si="46"/>
        <v>0</v>
      </c>
      <c r="P301" s="396">
        <f t="shared" si="49"/>
        <v>0</v>
      </c>
      <c r="Q301" s="397" t="str">
        <f t="shared" si="47"/>
        <v>L</v>
      </c>
      <c r="R301" s="394"/>
      <c r="S301" s="394"/>
      <c r="T301" s="394"/>
      <c r="V301" s="16">
        <f t="shared" si="48"/>
        <v>5880</v>
      </c>
    </row>
    <row r="302" spans="1:22" ht="14.1" customHeight="1">
      <c r="A302" s="377">
        <v>303</v>
      </c>
      <c r="B302" s="622" t="s">
        <v>595</v>
      </c>
      <c r="C302" s="618" t="s">
        <v>629</v>
      </c>
      <c r="D302" s="619" t="s">
        <v>631</v>
      </c>
      <c r="E302" s="622" t="s">
        <v>526</v>
      </c>
      <c r="F302" s="621" t="str">
        <f t="shared" si="40"/>
        <v>Leslokalen</v>
      </c>
      <c r="G302" s="622" t="s">
        <v>599</v>
      </c>
      <c r="H302" s="623">
        <v>49</v>
      </c>
      <c r="I302" s="635">
        <v>13120</v>
      </c>
      <c r="J302" s="395">
        <f t="shared" si="41"/>
        <v>120</v>
      </c>
      <c r="K302" s="396">
        <f t="shared" si="42"/>
        <v>0</v>
      </c>
      <c r="L302" s="396">
        <f t="shared" si="43"/>
        <v>0</v>
      </c>
      <c r="M302" s="396">
        <f t="shared" si="44"/>
        <v>0</v>
      </c>
      <c r="N302" s="396">
        <f t="shared" si="45"/>
        <v>0</v>
      </c>
      <c r="O302" s="396">
        <f t="shared" si="46"/>
        <v>0</v>
      </c>
      <c r="P302" s="396">
        <f t="shared" si="49"/>
        <v>0</v>
      </c>
      <c r="Q302" s="397" t="str">
        <f t="shared" si="47"/>
        <v>L</v>
      </c>
      <c r="R302" s="394"/>
      <c r="S302" s="394"/>
      <c r="T302" s="394"/>
      <c r="V302" s="16">
        <f t="shared" si="48"/>
        <v>5880</v>
      </c>
    </row>
    <row r="303" spans="1:22" ht="14.1" customHeight="1">
      <c r="A303" s="377">
        <v>304</v>
      </c>
      <c r="B303" s="622" t="s">
        <v>595</v>
      </c>
      <c r="C303" s="618" t="s">
        <v>629</v>
      </c>
      <c r="D303" s="619" t="s">
        <v>632</v>
      </c>
      <c r="E303" s="622" t="s">
        <v>526</v>
      </c>
      <c r="F303" s="621" t="str">
        <f t="shared" si="40"/>
        <v>Leslokalen</v>
      </c>
      <c r="G303" s="622" t="s">
        <v>599</v>
      </c>
      <c r="H303" s="623">
        <v>49</v>
      </c>
      <c r="I303" s="635">
        <v>13120</v>
      </c>
      <c r="J303" s="395">
        <f t="shared" si="41"/>
        <v>120</v>
      </c>
      <c r="K303" s="396">
        <f t="shared" si="42"/>
        <v>0</v>
      </c>
      <c r="L303" s="396">
        <f t="shared" si="43"/>
        <v>0</v>
      </c>
      <c r="M303" s="396">
        <f t="shared" si="44"/>
        <v>0</v>
      </c>
      <c r="N303" s="396">
        <f t="shared" si="45"/>
        <v>0</v>
      </c>
      <c r="O303" s="396">
        <f t="shared" si="46"/>
        <v>0</v>
      </c>
      <c r="P303" s="396">
        <f t="shared" si="49"/>
        <v>0</v>
      </c>
      <c r="Q303" s="397" t="str">
        <f t="shared" si="47"/>
        <v>L</v>
      </c>
      <c r="R303" s="394"/>
      <c r="S303" s="394"/>
      <c r="T303" s="394"/>
      <c r="V303" s="16">
        <f t="shared" si="48"/>
        <v>5880</v>
      </c>
    </row>
    <row r="304" spans="1:22" ht="14.1" customHeight="1">
      <c r="A304" s="377">
        <v>305</v>
      </c>
      <c r="B304" s="622" t="s">
        <v>595</v>
      </c>
      <c r="C304" s="618" t="s">
        <v>629</v>
      </c>
      <c r="D304" s="619" t="s">
        <v>596</v>
      </c>
      <c r="E304" s="622" t="s">
        <v>423</v>
      </c>
      <c r="F304" s="621" t="str">
        <f t="shared" si="40"/>
        <v>Sanitaire ruimten</v>
      </c>
      <c r="G304" s="622" t="s">
        <v>377</v>
      </c>
      <c r="H304" s="623">
        <v>14.4</v>
      </c>
      <c r="I304" s="635">
        <v>2200</v>
      </c>
      <c r="J304" s="395">
        <f t="shared" si="41"/>
        <v>200</v>
      </c>
      <c r="K304" s="396">
        <f t="shared" si="42"/>
        <v>0</v>
      </c>
      <c r="L304" s="396">
        <f t="shared" si="43"/>
        <v>0</v>
      </c>
      <c r="M304" s="396">
        <f t="shared" si="44"/>
        <v>0</v>
      </c>
      <c r="N304" s="396">
        <f t="shared" si="45"/>
        <v>0</v>
      </c>
      <c r="O304" s="396">
        <f t="shared" si="46"/>
        <v>0</v>
      </c>
      <c r="P304" s="396">
        <f t="shared" si="49"/>
        <v>0</v>
      </c>
      <c r="Q304" s="397" t="str">
        <f t="shared" si="47"/>
        <v>S</v>
      </c>
      <c r="R304" s="394"/>
      <c r="S304" s="394"/>
      <c r="T304" s="394"/>
      <c r="V304" s="16">
        <f t="shared" si="48"/>
        <v>2880</v>
      </c>
    </row>
    <row r="305" spans="1:22" ht="14.1" customHeight="1">
      <c r="A305" s="377">
        <v>306</v>
      </c>
      <c r="B305" s="622" t="s">
        <v>595</v>
      </c>
      <c r="C305" s="618" t="s">
        <v>629</v>
      </c>
      <c r="D305" s="619" t="s">
        <v>633</v>
      </c>
      <c r="E305" s="622" t="s">
        <v>526</v>
      </c>
      <c r="F305" s="621" t="str">
        <f t="shared" si="40"/>
        <v>Leslokalen</v>
      </c>
      <c r="G305" s="622" t="s">
        <v>599</v>
      </c>
      <c r="H305" s="623">
        <v>23.1</v>
      </c>
      <c r="I305" s="635">
        <v>13120</v>
      </c>
      <c r="J305" s="395">
        <f t="shared" si="41"/>
        <v>120</v>
      </c>
      <c r="K305" s="396">
        <f t="shared" si="42"/>
        <v>0</v>
      </c>
      <c r="L305" s="396">
        <f t="shared" si="43"/>
        <v>0</v>
      </c>
      <c r="M305" s="396">
        <f t="shared" si="44"/>
        <v>0</v>
      </c>
      <c r="N305" s="396">
        <f t="shared" si="45"/>
        <v>0</v>
      </c>
      <c r="O305" s="396">
        <f t="shared" si="46"/>
        <v>0</v>
      </c>
      <c r="P305" s="396">
        <f t="shared" si="49"/>
        <v>0</v>
      </c>
      <c r="Q305" s="397" t="str">
        <f t="shared" si="47"/>
        <v>L</v>
      </c>
      <c r="R305" s="394"/>
      <c r="S305" s="394"/>
      <c r="T305" s="394"/>
      <c r="V305" s="16">
        <f t="shared" si="48"/>
        <v>2772</v>
      </c>
    </row>
    <row r="306" spans="1:22" ht="14.1" customHeight="1">
      <c r="A306" s="377">
        <v>307</v>
      </c>
      <c r="B306" s="622" t="s">
        <v>595</v>
      </c>
      <c r="C306" s="618" t="s">
        <v>629</v>
      </c>
      <c r="D306" s="619" t="s">
        <v>634</v>
      </c>
      <c r="E306" s="622" t="s">
        <v>200</v>
      </c>
      <c r="F306" s="621" t="str">
        <f t="shared" si="40"/>
        <v>Administratieve ruimten</v>
      </c>
      <c r="G306" s="622" t="s">
        <v>599</v>
      </c>
      <c r="H306" s="623">
        <v>23.1</v>
      </c>
      <c r="I306" s="635">
        <v>1126</v>
      </c>
      <c r="J306" s="395">
        <f t="shared" si="41"/>
        <v>126</v>
      </c>
      <c r="K306" s="396">
        <f t="shared" si="42"/>
        <v>0</v>
      </c>
      <c r="L306" s="396">
        <f t="shared" si="43"/>
        <v>0</v>
      </c>
      <c r="M306" s="396">
        <f t="shared" si="44"/>
        <v>0</v>
      </c>
      <c r="N306" s="396">
        <f t="shared" si="45"/>
        <v>0</v>
      </c>
      <c r="O306" s="396">
        <f t="shared" si="46"/>
        <v>0</v>
      </c>
      <c r="P306" s="396">
        <f t="shared" si="49"/>
        <v>0</v>
      </c>
      <c r="Q306" s="397" t="str">
        <f t="shared" si="47"/>
        <v>B</v>
      </c>
      <c r="R306" s="394"/>
      <c r="S306" s="394"/>
      <c r="T306" s="394"/>
      <c r="V306" s="16">
        <f t="shared" si="48"/>
        <v>2910.6000000000004</v>
      </c>
    </row>
    <row r="307" spans="1:22" ht="14.1" customHeight="1">
      <c r="A307" s="377">
        <v>308</v>
      </c>
      <c r="B307" s="622" t="s">
        <v>595</v>
      </c>
      <c r="C307" s="618" t="s">
        <v>629</v>
      </c>
      <c r="D307" s="619" t="s">
        <v>635</v>
      </c>
      <c r="E307" s="622" t="s">
        <v>526</v>
      </c>
      <c r="F307" s="621" t="str">
        <f t="shared" si="40"/>
        <v>Leslokalen</v>
      </c>
      <c r="G307" s="622" t="s">
        <v>599</v>
      </c>
      <c r="H307" s="623">
        <v>49</v>
      </c>
      <c r="I307" s="635">
        <v>13120</v>
      </c>
      <c r="J307" s="395">
        <f t="shared" si="41"/>
        <v>120</v>
      </c>
      <c r="K307" s="396">
        <f t="shared" si="42"/>
        <v>0</v>
      </c>
      <c r="L307" s="396">
        <f t="shared" si="43"/>
        <v>0</v>
      </c>
      <c r="M307" s="396">
        <f t="shared" si="44"/>
        <v>0</v>
      </c>
      <c r="N307" s="396">
        <f t="shared" si="45"/>
        <v>0</v>
      </c>
      <c r="O307" s="396">
        <f t="shared" si="46"/>
        <v>0</v>
      </c>
      <c r="P307" s="396">
        <f t="shared" si="49"/>
        <v>0</v>
      </c>
      <c r="Q307" s="397" t="str">
        <f t="shared" si="47"/>
        <v>L</v>
      </c>
      <c r="R307" s="394"/>
      <c r="S307" s="394"/>
      <c r="T307" s="394"/>
      <c r="V307" s="16">
        <f t="shared" si="48"/>
        <v>5880</v>
      </c>
    </row>
    <row r="308" spans="1:22" ht="14.1" customHeight="1">
      <c r="A308" s="377">
        <v>309</v>
      </c>
      <c r="B308" s="622" t="s">
        <v>595</v>
      </c>
      <c r="C308" s="618" t="s">
        <v>629</v>
      </c>
      <c r="D308" s="619" t="s">
        <v>596</v>
      </c>
      <c r="E308" s="622" t="s">
        <v>398</v>
      </c>
      <c r="F308" s="621" t="str">
        <f t="shared" si="40"/>
        <v>Gangen en hallen</v>
      </c>
      <c r="G308" s="622" t="s">
        <v>599</v>
      </c>
      <c r="H308" s="623">
        <v>38.72</v>
      </c>
      <c r="I308" s="635">
        <v>3200</v>
      </c>
      <c r="J308" s="395">
        <f t="shared" si="41"/>
        <v>200</v>
      </c>
      <c r="K308" s="396">
        <f t="shared" si="42"/>
        <v>0</v>
      </c>
      <c r="L308" s="396">
        <f t="shared" si="43"/>
        <v>0</v>
      </c>
      <c r="M308" s="396">
        <f t="shared" si="44"/>
        <v>0</v>
      </c>
      <c r="N308" s="396">
        <f t="shared" si="45"/>
        <v>0</v>
      </c>
      <c r="O308" s="396">
        <f t="shared" si="46"/>
        <v>0</v>
      </c>
      <c r="P308" s="396">
        <f t="shared" si="49"/>
        <v>0</v>
      </c>
      <c r="Q308" s="397" t="str">
        <f t="shared" si="47"/>
        <v>V</v>
      </c>
      <c r="R308" s="394"/>
      <c r="S308" s="394"/>
      <c r="T308" s="394"/>
      <c r="V308" s="16">
        <f t="shared" si="48"/>
        <v>7744</v>
      </c>
    </row>
    <row r="309" spans="1:22" ht="14.1" customHeight="1">
      <c r="A309" s="377">
        <v>310</v>
      </c>
      <c r="B309" s="622" t="s">
        <v>595</v>
      </c>
      <c r="C309" s="618" t="s">
        <v>629</v>
      </c>
      <c r="D309" s="619" t="s">
        <v>596</v>
      </c>
      <c r="E309" s="622" t="s">
        <v>489</v>
      </c>
      <c r="F309" s="621" t="str">
        <f t="shared" si="40"/>
        <v>Trappenhuizen</v>
      </c>
      <c r="G309" s="622" t="s">
        <v>636</v>
      </c>
      <c r="H309" s="623">
        <v>32.56</v>
      </c>
      <c r="I309" s="635">
        <v>5200</v>
      </c>
      <c r="J309" s="395">
        <f t="shared" si="41"/>
        <v>200</v>
      </c>
      <c r="K309" s="396">
        <f t="shared" si="42"/>
        <v>0</v>
      </c>
      <c r="L309" s="396">
        <f t="shared" si="43"/>
        <v>0</v>
      </c>
      <c r="M309" s="396">
        <f t="shared" si="44"/>
        <v>0</v>
      </c>
      <c r="N309" s="396">
        <f t="shared" si="45"/>
        <v>0</v>
      </c>
      <c r="O309" s="396">
        <f t="shared" si="46"/>
        <v>0</v>
      </c>
      <c r="P309" s="396">
        <f t="shared" si="49"/>
        <v>0</v>
      </c>
      <c r="Q309" s="397" t="str">
        <f t="shared" si="47"/>
        <v>V</v>
      </c>
      <c r="R309" s="394"/>
      <c r="S309" s="394"/>
      <c r="T309" s="394"/>
      <c r="V309" s="16">
        <f t="shared" si="48"/>
        <v>6512</v>
      </c>
    </row>
    <row r="310" spans="1:22" ht="14.1" customHeight="1">
      <c r="A310" s="377">
        <v>311</v>
      </c>
      <c r="B310" s="622" t="s">
        <v>595</v>
      </c>
      <c r="C310" s="618" t="s">
        <v>629</v>
      </c>
      <c r="D310" s="619" t="s">
        <v>596</v>
      </c>
      <c r="E310" s="622" t="s">
        <v>398</v>
      </c>
      <c r="F310" s="621" t="str">
        <f t="shared" si="40"/>
        <v>Gangen en hallen</v>
      </c>
      <c r="G310" s="622" t="s">
        <v>599</v>
      </c>
      <c r="H310" s="623">
        <v>19</v>
      </c>
      <c r="I310" s="635">
        <v>3200</v>
      </c>
      <c r="J310" s="395">
        <f t="shared" si="41"/>
        <v>200</v>
      </c>
      <c r="K310" s="396">
        <f t="shared" si="42"/>
        <v>0</v>
      </c>
      <c r="L310" s="396">
        <f t="shared" si="43"/>
        <v>0</v>
      </c>
      <c r="M310" s="396">
        <f t="shared" si="44"/>
        <v>0</v>
      </c>
      <c r="N310" s="396">
        <f t="shared" si="45"/>
        <v>0</v>
      </c>
      <c r="O310" s="396">
        <f t="shared" si="46"/>
        <v>0</v>
      </c>
      <c r="P310" s="396">
        <f t="shared" si="49"/>
        <v>0</v>
      </c>
      <c r="Q310" s="397" t="str">
        <f t="shared" si="47"/>
        <v>V</v>
      </c>
      <c r="R310" s="394"/>
      <c r="S310" s="394"/>
      <c r="T310" s="394"/>
      <c r="V310" s="16">
        <f t="shared" si="48"/>
        <v>3800</v>
      </c>
    </row>
    <row r="311" spans="1:22" ht="14.1" customHeight="1">
      <c r="A311" s="377">
        <v>312</v>
      </c>
      <c r="B311" s="622" t="s">
        <v>595</v>
      </c>
      <c r="C311" s="618" t="s">
        <v>629</v>
      </c>
      <c r="D311" s="619" t="s">
        <v>596</v>
      </c>
      <c r="E311" s="622" t="s">
        <v>637</v>
      </c>
      <c r="F311" s="621" t="str">
        <f t="shared" si="40"/>
        <v>Leslokalen</v>
      </c>
      <c r="G311" s="622" t="s">
        <v>599</v>
      </c>
      <c r="H311" s="623">
        <v>28.16</v>
      </c>
      <c r="I311" s="635">
        <v>13120</v>
      </c>
      <c r="J311" s="395">
        <f t="shared" si="41"/>
        <v>120</v>
      </c>
      <c r="K311" s="396">
        <f t="shared" si="42"/>
        <v>0</v>
      </c>
      <c r="L311" s="396">
        <f t="shared" si="43"/>
        <v>0</v>
      </c>
      <c r="M311" s="396">
        <f t="shared" si="44"/>
        <v>0</v>
      </c>
      <c r="N311" s="396">
        <f t="shared" si="45"/>
        <v>0</v>
      </c>
      <c r="O311" s="396">
        <f t="shared" si="46"/>
        <v>0</v>
      </c>
      <c r="P311" s="396">
        <f t="shared" si="49"/>
        <v>0</v>
      </c>
      <c r="Q311" s="397" t="str">
        <f t="shared" si="47"/>
        <v>L</v>
      </c>
      <c r="R311" s="394"/>
      <c r="S311" s="394"/>
      <c r="T311" s="394"/>
      <c r="V311" s="16">
        <f t="shared" si="48"/>
        <v>3379.2</v>
      </c>
    </row>
    <row r="312" spans="1:22" ht="14.1" customHeight="1">
      <c r="A312" s="377">
        <v>313</v>
      </c>
      <c r="B312" s="622" t="s">
        <v>595</v>
      </c>
      <c r="C312" s="618" t="s">
        <v>629</v>
      </c>
      <c r="D312" s="619" t="s">
        <v>596</v>
      </c>
      <c r="E312" s="622" t="s">
        <v>637</v>
      </c>
      <c r="F312" s="621" t="str">
        <f t="shared" si="40"/>
        <v>Leslokalen</v>
      </c>
      <c r="G312" s="622" t="s">
        <v>599</v>
      </c>
      <c r="H312" s="623">
        <v>14.5</v>
      </c>
      <c r="I312" s="635">
        <v>13120</v>
      </c>
      <c r="J312" s="395">
        <f t="shared" si="41"/>
        <v>120</v>
      </c>
      <c r="K312" s="396">
        <f t="shared" si="42"/>
        <v>0</v>
      </c>
      <c r="L312" s="396">
        <f t="shared" si="43"/>
        <v>0</v>
      </c>
      <c r="M312" s="396">
        <f t="shared" si="44"/>
        <v>0</v>
      </c>
      <c r="N312" s="396">
        <f t="shared" si="45"/>
        <v>0</v>
      </c>
      <c r="O312" s="396">
        <f t="shared" si="46"/>
        <v>0</v>
      </c>
      <c r="P312" s="396">
        <f t="shared" si="49"/>
        <v>0</v>
      </c>
      <c r="Q312" s="397" t="str">
        <f t="shared" si="47"/>
        <v>L</v>
      </c>
      <c r="R312" s="394"/>
      <c r="S312" s="394"/>
      <c r="T312" s="394"/>
      <c r="V312" s="16">
        <f t="shared" si="48"/>
        <v>1740</v>
      </c>
    </row>
    <row r="313" spans="1:22" ht="14.1" customHeight="1">
      <c r="A313" s="377">
        <v>314</v>
      </c>
      <c r="B313" s="622" t="s">
        <v>595</v>
      </c>
      <c r="C313" s="618" t="s">
        <v>629</v>
      </c>
      <c r="D313" s="619" t="s">
        <v>596</v>
      </c>
      <c r="E313" s="622" t="s">
        <v>637</v>
      </c>
      <c r="F313" s="621" t="str">
        <f t="shared" si="40"/>
        <v>Leslokalen</v>
      </c>
      <c r="G313" s="622" t="s">
        <v>599</v>
      </c>
      <c r="H313" s="623">
        <v>96.05</v>
      </c>
      <c r="I313" s="635">
        <v>13120</v>
      </c>
      <c r="J313" s="395">
        <f t="shared" si="41"/>
        <v>120</v>
      </c>
      <c r="K313" s="396">
        <f t="shared" si="42"/>
        <v>0</v>
      </c>
      <c r="L313" s="396">
        <f t="shared" si="43"/>
        <v>0</v>
      </c>
      <c r="M313" s="396">
        <f t="shared" si="44"/>
        <v>0</v>
      </c>
      <c r="N313" s="396">
        <f t="shared" si="45"/>
        <v>0</v>
      </c>
      <c r="O313" s="396">
        <f t="shared" si="46"/>
        <v>0</v>
      </c>
      <c r="P313" s="396">
        <f t="shared" si="49"/>
        <v>0</v>
      </c>
      <c r="Q313" s="397" t="str">
        <f t="shared" si="47"/>
        <v>L</v>
      </c>
      <c r="R313" s="394"/>
      <c r="S313" s="394"/>
      <c r="T313" s="394"/>
      <c r="V313" s="16">
        <f t="shared" si="48"/>
        <v>11526</v>
      </c>
    </row>
    <row r="314" spans="1:22" ht="14.1" customHeight="1">
      <c r="A314" s="377">
        <v>315</v>
      </c>
      <c r="B314" s="622" t="s">
        <v>595</v>
      </c>
      <c r="C314" s="618" t="s">
        <v>629</v>
      </c>
      <c r="D314" s="619" t="s">
        <v>596</v>
      </c>
      <c r="E314" s="622" t="s">
        <v>637</v>
      </c>
      <c r="F314" s="621" t="str">
        <f t="shared" si="40"/>
        <v>Leslokalen</v>
      </c>
      <c r="G314" s="622" t="s">
        <v>599</v>
      </c>
      <c r="H314" s="623">
        <v>7.82</v>
      </c>
      <c r="I314" s="635">
        <v>13120</v>
      </c>
      <c r="J314" s="395">
        <f t="shared" si="41"/>
        <v>120</v>
      </c>
      <c r="K314" s="396">
        <f t="shared" si="42"/>
        <v>0</v>
      </c>
      <c r="L314" s="396">
        <f t="shared" si="43"/>
        <v>0</v>
      </c>
      <c r="M314" s="396">
        <f t="shared" si="44"/>
        <v>0</v>
      </c>
      <c r="N314" s="396">
        <f t="shared" si="45"/>
        <v>0</v>
      </c>
      <c r="O314" s="396">
        <f t="shared" si="46"/>
        <v>0</v>
      </c>
      <c r="P314" s="396">
        <f t="shared" si="49"/>
        <v>0</v>
      </c>
      <c r="Q314" s="397" t="str">
        <f t="shared" si="47"/>
        <v>L</v>
      </c>
      <c r="R314" s="394"/>
      <c r="S314" s="394"/>
      <c r="T314" s="394"/>
      <c r="V314" s="16">
        <f t="shared" si="48"/>
        <v>938.40000000000009</v>
      </c>
    </row>
    <row r="315" spans="1:22" ht="14.1" customHeight="1">
      <c r="A315" s="377">
        <v>316</v>
      </c>
      <c r="B315" s="622" t="s">
        <v>595</v>
      </c>
      <c r="C315" s="618" t="s">
        <v>629</v>
      </c>
      <c r="D315" s="619" t="s">
        <v>596</v>
      </c>
      <c r="E315" s="622" t="s">
        <v>398</v>
      </c>
      <c r="F315" s="621" t="str">
        <f t="shared" si="40"/>
        <v>Gangen en hallen</v>
      </c>
      <c r="G315" s="622" t="s">
        <v>599</v>
      </c>
      <c r="H315" s="623">
        <v>61.38</v>
      </c>
      <c r="I315" s="635">
        <v>3200</v>
      </c>
      <c r="J315" s="395">
        <f t="shared" si="41"/>
        <v>200</v>
      </c>
      <c r="K315" s="396">
        <f t="shared" si="42"/>
        <v>0</v>
      </c>
      <c r="L315" s="396">
        <f t="shared" si="43"/>
        <v>0</v>
      </c>
      <c r="M315" s="396">
        <f t="shared" si="44"/>
        <v>0</v>
      </c>
      <c r="N315" s="396">
        <f t="shared" si="45"/>
        <v>0</v>
      </c>
      <c r="O315" s="396">
        <f t="shared" si="46"/>
        <v>0</v>
      </c>
      <c r="P315" s="396">
        <f t="shared" si="49"/>
        <v>0</v>
      </c>
      <c r="Q315" s="397" t="str">
        <f t="shared" si="47"/>
        <v>V</v>
      </c>
      <c r="R315" s="394"/>
      <c r="S315" s="394"/>
      <c r="T315" s="394"/>
      <c r="V315" s="16">
        <f t="shared" si="48"/>
        <v>12276</v>
      </c>
    </row>
    <row r="316" spans="1:22" ht="14.1" customHeight="1">
      <c r="A316" s="377">
        <v>317</v>
      </c>
      <c r="B316" s="622" t="s">
        <v>595</v>
      </c>
      <c r="C316" s="618" t="s">
        <v>629</v>
      </c>
      <c r="D316" s="619" t="s">
        <v>596</v>
      </c>
      <c r="E316" s="622" t="s">
        <v>398</v>
      </c>
      <c r="F316" s="621" t="str">
        <f t="shared" si="40"/>
        <v>Gangen en hallen</v>
      </c>
      <c r="G316" s="622" t="s">
        <v>599</v>
      </c>
      <c r="H316" s="623">
        <v>121.11</v>
      </c>
      <c r="I316" s="635">
        <v>3200</v>
      </c>
      <c r="J316" s="395">
        <f t="shared" si="41"/>
        <v>200</v>
      </c>
      <c r="K316" s="396">
        <f t="shared" si="42"/>
        <v>0</v>
      </c>
      <c r="L316" s="396">
        <f t="shared" si="43"/>
        <v>0</v>
      </c>
      <c r="M316" s="396">
        <f t="shared" si="44"/>
        <v>0</v>
      </c>
      <c r="N316" s="396">
        <f t="shared" si="45"/>
        <v>0</v>
      </c>
      <c r="O316" s="396">
        <f t="shared" si="46"/>
        <v>0</v>
      </c>
      <c r="P316" s="396">
        <f t="shared" si="49"/>
        <v>0</v>
      </c>
      <c r="Q316" s="397" t="str">
        <f t="shared" si="47"/>
        <v>V</v>
      </c>
      <c r="R316" s="394"/>
      <c r="S316" s="394"/>
      <c r="T316" s="394"/>
      <c r="V316" s="16">
        <f t="shared" si="48"/>
        <v>24222</v>
      </c>
    </row>
    <row r="317" spans="1:22" ht="14.1" customHeight="1">
      <c r="A317" s="377">
        <v>318</v>
      </c>
      <c r="B317" s="622" t="s">
        <v>595</v>
      </c>
      <c r="C317" s="618" t="s">
        <v>629</v>
      </c>
      <c r="D317" s="619" t="s">
        <v>596</v>
      </c>
      <c r="E317" s="622" t="s">
        <v>638</v>
      </c>
      <c r="F317" s="621" t="str">
        <f t="shared" si="40"/>
        <v>Opslagruimten</v>
      </c>
      <c r="G317" s="622" t="s">
        <v>599</v>
      </c>
      <c r="H317" s="623">
        <v>9</v>
      </c>
      <c r="I317" s="635">
        <v>14012</v>
      </c>
      <c r="J317" s="395">
        <f t="shared" si="41"/>
        <v>12</v>
      </c>
      <c r="K317" s="396">
        <f t="shared" si="42"/>
        <v>0</v>
      </c>
      <c r="L317" s="396">
        <f t="shared" si="43"/>
        <v>0</v>
      </c>
      <c r="M317" s="396">
        <f t="shared" si="44"/>
        <v>0</v>
      </c>
      <c r="N317" s="396">
        <f t="shared" si="45"/>
        <v>0</v>
      </c>
      <c r="O317" s="396">
        <f t="shared" si="46"/>
        <v>0</v>
      </c>
      <c r="P317" s="396">
        <f t="shared" si="49"/>
        <v>0</v>
      </c>
      <c r="Q317" s="397" t="str">
        <f t="shared" si="47"/>
        <v>V</v>
      </c>
      <c r="R317" s="394"/>
      <c r="S317" s="394"/>
      <c r="T317" s="394"/>
      <c r="V317" s="16">
        <f t="shared" si="48"/>
        <v>108</v>
      </c>
    </row>
    <row r="318" spans="1:22" ht="14.1" customHeight="1">
      <c r="A318" s="377">
        <v>319</v>
      </c>
      <c r="B318" s="622" t="s">
        <v>595</v>
      </c>
      <c r="C318" s="618" t="s">
        <v>629</v>
      </c>
      <c r="D318" s="619" t="s">
        <v>639</v>
      </c>
      <c r="E318" s="622" t="s">
        <v>611</v>
      </c>
      <c r="F318" s="621" t="str">
        <f t="shared" si="40"/>
        <v>Leslokalen praktijk</v>
      </c>
      <c r="G318" s="622" t="s">
        <v>402</v>
      </c>
      <c r="H318" s="623">
        <v>110.88</v>
      </c>
      <c r="I318" s="635">
        <v>16200</v>
      </c>
      <c r="J318" s="395">
        <f t="shared" si="41"/>
        <v>200</v>
      </c>
      <c r="K318" s="396">
        <f t="shared" si="42"/>
        <v>0</v>
      </c>
      <c r="L318" s="396">
        <f t="shared" si="43"/>
        <v>0</v>
      </c>
      <c r="M318" s="396">
        <f t="shared" si="44"/>
        <v>0</v>
      </c>
      <c r="N318" s="396">
        <f t="shared" si="45"/>
        <v>0</v>
      </c>
      <c r="O318" s="396">
        <f t="shared" si="46"/>
        <v>0</v>
      </c>
      <c r="P318" s="396">
        <f t="shared" si="49"/>
        <v>0</v>
      </c>
      <c r="Q318" s="397" t="str">
        <f t="shared" si="47"/>
        <v>L</v>
      </c>
      <c r="R318" s="394"/>
      <c r="S318" s="394"/>
      <c r="T318" s="394"/>
      <c r="V318" s="16">
        <f t="shared" si="48"/>
        <v>22176</v>
      </c>
    </row>
    <row r="319" spans="1:22" ht="14.1" customHeight="1">
      <c r="A319" s="377">
        <v>320</v>
      </c>
      <c r="B319" s="622" t="s">
        <v>595</v>
      </c>
      <c r="C319" s="618" t="s">
        <v>629</v>
      </c>
      <c r="D319" s="619" t="s">
        <v>640</v>
      </c>
      <c r="E319" s="622" t="s">
        <v>200</v>
      </c>
      <c r="F319" s="621" t="str">
        <f t="shared" si="40"/>
        <v>Administratieve ruimten</v>
      </c>
      <c r="G319" s="622" t="s">
        <v>599</v>
      </c>
      <c r="H319" s="623">
        <v>20.7</v>
      </c>
      <c r="I319" s="635">
        <v>1126</v>
      </c>
      <c r="J319" s="395">
        <f t="shared" si="41"/>
        <v>126</v>
      </c>
      <c r="K319" s="396">
        <f t="shared" si="42"/>
        <v>0</v>
      </c>
      <c r="L319" s="396">
        <f t="shared" si="43"/>
        <v>0</v>
      </c>
      <c r="M319" s="396">
        <f t="shared" si="44"/>
        <v>0</v>
      </c>
      <c r="N319" s="396">
        <f t="shared" si="45"/>
        <v>0</v>
      </c>
      <c r="O319" s="396">
        <f t="shared" si="46"/>
        <v>0</v>
      </c>
      <c r="P319" s="396">
        <f t="shared" si="49"/>
        <v>0</v>
      </c>
      <c r="Q319" s="397" t="str">
        <f t="shared" si="47"/>
        <v>B</v>
      </c>
      <c r="R319" s="394"/>
      <c r="S319" s="394"/>
      <c r="T319" s="394"/>
      <c r="V319" s="16">
        <f t="shared" si="48"/>
        <v>2608.1999999999998</v>
      </c>
    </row>
    <row r="320" spans="1:22" ht="14.1" customHeight="1">
      <c r="A320" s="377">
        <v>321</v>
      </c>
      <c r="B320" s="622" t="s">
        <v>595</v>
      </c>
      <c r="C320" s="618" t="s">
        <v>629</v>
      </c>
      <c r="D320" s="619" t="s">
        <v>596</v>
      </c>
      <c r="E320" s="622" t="s">
        <v>526</v>
      </c>
      <c r="F320" s="621" t="str">
        <f t="shared" si="40"/>
        <v>Leslokalen</v>
      </c>
      <c r="G320" s="622" t="s">
        <v>599</v>
      </c>
      <c r="H320" s="623">
        <v>39.33</v>
      </c>
      <c r="I320" s="635">
        <v>13120</v>
      </c>
      <c r="J320" s="395">
        <f t="shared" si="41"/>
        <v>120</v>
      </c>
      <c r="K320" s="396">
        <f t="shared" si="42"/>
        <v>0</v>
      </c>
      <c r="L320" s="396">
        <f t="shared" si="43"/>
        <v>0</v>
      </c>
      <c r="M320" s="396">
        <f t="shared" si="44"/>
        <v>0</v>
      </c>
      <c r="N320" s="396">
        <f t="shared" si="45"/>
        <v>0</v>
      </c>
      <c r="O320" s="396">
        <f t="shared" si="46"/>
        <v>0</v>
      </c>
      <c r="P320" s="396">
        <f t="shared" si="49"/>
        <v>0</v>
      </c>
      <c r="Q320" s="397" t="str">
        <f t="shared" si="47"/>
        <v>L</v>
      </c>
      <c r="R320" s="394"/>
      <c r="S320" s="394"/>
      <c r="T320" s="394"/>
      <c r="V320" s="16">
        <f t="shared" si="48"/>
        <v>4719.5999999999995</v>
      </c>
    </row>
    <row r="321" spans="1:22" ht="14.1" customHeight="1">
      <c r="A321" s="377">
        <v>322</v>
      </c>
      <c r="B321" s="622" t="s">
        <v>595</v>
      </c>
      <c r="C321" s="618" t="s">
        <v>629</v>
      </c>
      <c r="D321" s="619" t="s">
        <v>596</v>
      </c>
      <c r="E321" s="622" t="s">
        <v>398</v>
      </c>
      <c r="F321" s="621" t="str">
        <f t="shared" si="40"/>
        <v>Gangen en hallen</v>
      </c>
      <c r="G321" s="622" t="s">
        <v>599</v>
      </c>
      <c r="H321" s="623">
        <v>101.31</v>
      </c>
      <c r="I321" s="635">
        <v>3200</v>
      </c>
      <c r="J321" s="395">
        <f t="shared" si="41"/>
        <v>200</v>
      </c>
      <c r="K321" s="396">
        <f t="shared" si="42"/>
        <v>0</v>
      </c>
      <c r="L321" s="396">
        <f t="shared" si="43"/>
        <v>0</v>
      </c>
      <c r="M321" s="396">
        <f t="shared" si="44"/>
        <v>0</v>
      </c>
      <c r="N321" s="396">
        <f t="shared" si="45"/>
        <v>0</v>
      </c>
      <c r="O321" s="396">
        <f t="shared" si="46"/>
        <v>0</v>
      </c>
      <c r="P321" s="396">
        <f t="shared" si="49"/>
        <v>0</v>
      </c>
      <c r="Q321" s="397" t="str">
        <f t="shared" si="47"/>
        <v>V</v>
      </c>
      <c r="R321" s="394"/>
      <c r="S321" s="394"/>
      <c r="T321" s="394"/>
      <c r="V321" s="16">
        <f t="shared" si="48"/>
        <v>20262</v>
      </c>
    </row>
    <row r="322" spans="1:22" ht="14.1" customHeight="1">
      <c r="A322" s="377">
        <v>323</v>
      </c>
      <c r="B322" s="622" t="s">
        <v>595</v>
      </c>
      <c r="C322" s="618" t="s">
        <v>629</v>
      </c>
      <c r="D322" s="619" t="s">
        <v>641</v>
      </c>
      <c r="E322" s="622" t="s">
        <v>526</v>
      </c>
      <c r="F322" s="621" t="str">
        <f t="shared" si="40"/>
        <v>Leslokalen</v>
      </c>
      <c r="G322" s="622" t="s">
        <v>599</v>
      </c>
      <c r="H322" s="623">
        <v>62.3</v>
      </c>
      <c r="I322" s="635">
        <v>13120</v>
      </c>
      <c r="J322" s="395">
        <f t="shared" si="41"/>
        <v>120</v>
      </c>
      <c r="K322" s="396">
        <f t="shared" si="42"/>
        <v>0</v>
      </c>
      <c r="L322" s="396">
        <f t="shared" si="43"/>
        <v>0</v>
      </c>
      <c r="M322" s="396">
        <f t="shared" si="44"/>
        <v>0</v>
      </c>
      <c r="N322" s="396">
        <f t="shared" si="45"/>
        <v>0</v>
      </c>
      <c r="O322" s="396">
        <f t="shared" si="46"/>
        <v>0</v>
      </c>
      <c r="P322" s="396">
        <f t="shared" si="49"/>
        <v>0</v>
      </c>
      <c r="Q322" s="397" t="str">
        <f t="shared" si="47"/>
        <v>L</v>
      </c>
      <c r="R322" s="394"/>
      <c r="S322" s="394"/>
      <c r="T322" s="394"/>
      <c r="V322" s="16">
        <f t="shared" si="48"/>
        <v>7476</v>
      </c>
    </row>
    <row r="323" spans="1:22" ht="14.1" customHeight="1">
      <c r="A323" s="377">
        <v>324</v>
      </c>
      <c r="B323" s="622" t="s">
        <v>595</v>
      </c>
      <c r="C323" s="618" t="s">
        <v>629</v>
      </c>
      <c r="D323" s="619" t="s">
        <v>596</v>
      </c>
      <c r="E323" s="622" t="s">
        <v>642</v>
      </c>
      <c r="F323" s="621" t="str">
        <f t="shared" si="40"/>
        <v>Gangen en hallen</v>
      </c>
      <c r="G323" s="622" t="s">
        <v>402</v>
      </c>
      <c r="H323" s="623">
        <v>59.16</v>
      </c>
      <c r="I323" s="635">
        <v>3200</v>
      </c>
      <c r="J323" s="395">
        <f t="shared" si="41"/>
        <v>200</v>
      </c>
      <c r="K323" s="396">
        <f t="shared" si="42"/>
        <v>0</v>
      </c>
      <c r="L323" s="396">
        <f t="shared" si="43"/>
        <v>0</v>
      </c>
      <c r="M323" s="396">
        <f t="shared" si="44"/>
        <v>0</v>
      </c>
      <c r="N323" s="396">
        <f t="shared" si="45"/>
        <v>0</v>
      </c>
      <c r="O323" s="396">
        <f t="shared" si="46"/>
        <v>0</v>
      </c>
      <c r="P323" s="396">
        <f t="shared" si="49"/>
        <v>0</v>
      </c>
      <c r="Q323" s="397" t="str">
        <f t="shared" si="47"/>
        <v>V</v>
      </c>
      <c r="R323" s="394"/>
      <c r="S323" s="394"/>
      <c r="T323" s="394"/>
      <c r="V323" s="16">
        <f t="shared" si="48"/>
        <v>11832</v>
      </c>
    </row>
    <row r="324" spans="1:22" ht="14.1" customHeight="1">
      <c r="A324" s="377">
        <v>325</v>
      </c>
      <c r="B324" s="622" t="s">
        <v>595</v>
      </c>
      <c r="C324" s="618" t="s">
        <v>629</v>
      </c>
      <c r="D324" s="619" t="s">
        <v>596</v>
      </c>
      <c r="E324" s="622" t="s">
        <v>643</v>
      </c>
      <c r="F324" s="621" t="str">
        <f t="shared" si="40"/>
        <v>Kantine</v>
      </c>
      <c r="G324" s="622" t="s">
        <v>599</v>
      </c>
      <c r="H324" s="623">
        <v>212.16</v>
      </c>
      <c r="I324" s="635">
        <v>7200</v>
      </c>
      <c r="J324" s="395">
        <f t="shared" si="41"/>
        <v>200</v>
      </c>
      <c r="K324" s="396">
        <f t="shared" si="42"/>
        <v>0</v>
      </c>
      <c r="L324" s="396">
        <f t="shared" si="43"/>
        <v>0</v>
      </c>
      <c r="M324" s="396">
        <f t="shared" si="44"/>
        <v>0</v>
      </c>
      <c r="N324" s="396">
        <f t="shared" si="45"/>
        <v>0</v>
      </c>
      <c r="O324" s="396">
        <f t="shared" si="46"/>
        <v>0</v>
      </c>
      <c r="P324" s="396">
        <f t="shared" si="49"/>
        <v>0</v>
      </c>
      <c r="Q324" s="397" t="str">
        <f t="shared" si="47"/>
        <v>V</v>
      </c>
      <c r="R324" s="394"/>
      <c r="S324" s="394"/>
      <c r="T324" s="394"/>
      <c r="V324" s="16">
        <f t="shared" si="48"/>
        <v>42432</v>
      </c>
    </row>
    <row r="325" spans="1:22" ht="14.1" customHeight="1">
      <c r="A325" s="377">
        <v>326</v>
      </c>
      <c r="B325" s="622" t="s">
        <v>595</v>
      </c>
      <c r="C325" s="618" t="s">
        <v>629</v>
      </c>
      <c r="D325" s="619" t="s">
        <v>596</v>
      </c>
      <c r="E325" s="622" t="s">
        <v>200</v>
      </c>
      <c r="F325" s="621" t="str">
        <f t="shared" si="40"/>
        <v>Administratieve ruimten</v>
      </c>
      <c r="G325" s="622" t="s">
        <v>465</v>
      </c>
      <c r="H325" s="623">
        <v>32.85</v>
      </c>
      <c r="I325" s="635">
        <v>1126</v>
      </c>
      <c r="J325" s="395">
        <f t="shared" si="41"/>
        <v>126</v>
      </c>
      <c r="K325" s="396">
        <f t="shared" si="42"/>
        <v>0</v>
      </c>
      <c r="L325" s="396">
        <f t="shared" si="43"/>
        <v>0</v>
      </c>
      <c r="M325" s="396">
        <f t="shared" si="44"/>
        <v>0</v>
      </c>
      <c r="N325" s="396">
        <f t="shared" si="45"/>
        <v>0</v>
      </c>
      <c r="O325" s="396">
        <f t="shared" si="46"/>
        <v>0</v>
      </c>
      <c r="P325" s="396">
        <f t="shared" si="49"/>
        <v>0</v>
      </c>
      <c r="Q325" s="397" t="str">
        <f t="shared" si="47"/>
        <v>B</v>
      </c>
      <c r="R325" s="394"/>
      <c r="S325" s="394"/>
      <c r="T325" s="394"/>
      <c r="V325" s="16">
        <f t="shared" si="48"/>
        <v>4139.1000000000004</v>
      </c>
    </row>
    <row r="326" spans="1:22" ht="14.1" customHeight="1">
      <c r="A326" s="377">
        <v>327</v>
      </c>
      <c r="B326" s="622" t="s">
        <v>595</v>
      </c>
      <c r="C326" s="618" t="s">
        <v>629</v>
      </c>
      <c r="D326" s="619" t="s">
        <v>644</v>
      </c>
      <c r="E326" s="622" t="s">
        <v>526</v>
      </c>
      <c r="F326" s="621" t="str">
        <f t="shared" si="40"/>
        <v>Leslokalen</v>
      </c>
      <c r="G326" s="622" t="s">
        <v>599</v>
      </c>
      <c r="H326" s="623">
        <v>61.6</v>
      </c>
      <c r="I326" s="635">
        <v>13120</v>
      </c>
      <c r="J326" s="395">
        <f t="shared" si="41"/>
        <v>120</v>
      </c>
      <c r="K326" s="396">
        <f t="shared" si="42"/>
        <v>0</v>
      </c>
      <c r="L326" s="396">
        <f t="shared" si="43"/>
        <v>0</v>
      </c>
      <c r="M326" s="396">
        <f t="shared" si="44"/>
        <v>0</v>
      </c>
      <c r="N326" s="396">
        <f t="shared" si="45"/>
        <v>0</v>
      </c>
      <c r="O326" s="396">
        <f t="shared" si="46"/>
        <v>0</v>
      </c>
      <c r="P326" s="396">
        <f t="shared" si="49"/>
        <v>0</v>
      </c>
      <c r="Q326" s="397" t="str">
        <f t="shared" si="47"/>
        <v>L</v>
      </c>
      <c r="R326" s="394"/>
      <c r="S326" s="394"/>
      <c r="T326" s="394"/>
      <c r="V326" s="16">
        <f t="shared" si="48"/>
        <v>7392</v>
      </c>
    </row>
    <row r="327" spans="1:22" ht="14.1" customHeight="1">
      <c r="A327" s="377">
        <v>328</v>
      </c>
      <c r="B327" s="622" t="s">
        <v>595</v>
      </c>
      <c r="C327" s="618" t="s">
        <v>629</v>
      </c>
      <c r="D327" s="619" t="s">
        <v>645</v>
      </c>
      <c r="E327" s="622" t="s">
        <v>526</v>
      </c>
      <c r="F327" s="621" t="str">
        <f t="shared" si="40"/>
        <v>Leslokalen</v>
      </c>
      <c r="G327" s="622" t="s">
        <v>599</v>
      </c>
      <c r="H327" s="623">
        <v>66.64</v>
      </c>
      <c r="I327" s="635">
        <v>13120</v>
      </c>
      <c r="J327" s="395">
        <f t="shared" si="41"/>
        <v>120</v>
      </c>
      <c r="K327" s="396">
        <f t="shared" si="42"/>
        <v>0</v>
      </c>
      <c r="L327" s="396">
        <f t="shared" si="43"/>
        <v>0</v>
      </c>
      <c r="M327" s="396">
        <f t="shared" si="44"/>
        <v>0</v>
      </c>
      <c r="N327" s="396">
        <f t="shared" si="45"/>
        <v>0</v>
      </c>
      <c r="O327" s="396">
        <f t="shared" si="46"/>
        <v>0</v>
      </c>
      <c r="P327" s="396">
        <f t="shared" si="49"/>
        <v>0</v>
      </c>
      <c r="Q327" s="397" t="str">
        <f t="shared" si="47"/>
        <v>L</v>
      </c>
      <c r="R327" s="394"/>
      <c r="S327" s="394"/>
      <c r="T327" s="394"/>
      <c r="V327" s="16">
        <f t="shared" si="48"/>
        <v>7996.8</v>
      </c>
    </row>
    <row r="328" spans="1:22" ht="14.1" customHeight="1">
      <c r="A328" s="377">
        <v>329</v>
      </c>
      <c r="B328" s="622" t="s">
        <v>595</v>
      </c>
      <c r="C328" s="618" t="s">
        <v>629</v>
      </c>
      <c r="D328" s="619" t="s">
        <v>596</v>
      </c>
      <c r="E328" s="622" t="s">
        <v>398</v>
      </c>
      <c r="F328" s="621" t="str">
        <f t="shared" si="40"/>
        <v>Gangen en hallen</v>
      </c>
      <c r="G328" s="622" t="s">
        <v>599</v>
      </c>
      <c r="H328" s="623">
        <v>78</v>
      </c>
      <c r="I328" s="635">
        <v>3200</v>
      </c>
      <c r="J328" s="395">
        <f t="shared" si="41"/>
        <v>200</v>
      </c>
      <c r="K328" s="396">
        <f t="shared" si="42"/>
        <v>0</v>
      </c>
      <c r="L328" s="396">
        <f t="shared" si="43"/>
        <v>0</v>
      </c>
      <c r="M328" s="396">
        <f t="shared" si="44"/>
        <v>0</v>
      </c>
      <c r="N328" s="396">
        <f t="shared" si="45"/>
        <v>0</v>
      </c>
      <c r="O328" s="396">
        <f t="shared" si="46"/>
        <v>0</v>
      </c>
      <c r="P328" s="396">
        <f t="shared" si="49"/>
        <v>0</v>
      </c>
      <c r="Q328" s="397" t="str">
        <f t="shared" si="47"/>
        <v>V</v>
      </c>
      <c r="R328" s="394"/>
      <c r="S328" s="394"/>
      <c r="T328" s="394"/>
      <c r="V328" s="16">
        <f t="shared" si="48"/>
        <v>15600</v>
      </c>
    </row>
    <row r="329" spans="1:22" ht="14.1" customHeight="1">
      <c r="A329" s="377">
        <v>330</v>
      </c>
      <c r="B329" s="622" t="s">
        <v>595</v>
      </c>
      <c r="C329" s="618" t="s">
        <v>629</v>
      </c>
      <c r="D329" s="619" t="s">
        <v>596</v>
      </c>
      <c r="E329" s="622" t="s">
        <v>398</v>
      </c>
      <c r="F329" s="621" t="str">
        <f t="shared" ref="F329:F392" si="50">IF($I329="",0,VLOOKUP($I329,Kengetal,3,FALSE))</f>
        <v>Gangen en hallen</v>
      </c>
      <c r="G329" s="622" t="s">
        <v>599</v>
      </c>
      <c r="H329" s="623">
        <v>25</v>
      </c>
      <c r="I329" s="635">
        <v>3200</v>
      </c>
      <c r="J329" s="395">
        <f t="shared" ref="J329:J392" si="51">SUM(IF(I329="",0,VLOOKUP(I329,Kengetal,2)))</f>
        <v>200</v>
      </c>
      <c r="K329" s="396">
        <f t="shared" ref="K329:K392" si="52">N329*H329</f>
        <v>0</v>
      </c>
      <c r="L329" s="396">
        <f t="shared" ref="L329:L392" si="53">O329*H329</f>
        <v>0</v>
      </c>
      <c r="M329" s="396">
        <f t="shared" ref="M329:M392" si="54">P329*H329</f>
        <v>0</v>
      </c>
      <c r="N329" s="396">
        <f t="shared" ref="N329:N392" si="55">IF($I329="",0,VLOOKUP($I329,Kengetal,5,FALSE))</f>
        <v>0</v>
      </c>
      <c r="O329" s="396">
        <f t="shared" ref="O329:O392" si="56">IF($I329="",0,VLOOKUP($I329,Kengetal,6,FALSE))</f>
        <v>0</v>
      </c>
      <c r="P329" s="396">
        <f t="shared" si="49"/>
        <v>0</v>
      </c>
      <c r="Q329" s="397" t="str">
        <f t="shared" ref="Q329:Q392" si="57">IF(I329="","",VLOOKUP(I329,Kengetal,12,FALSE))</f>
        <v>V</v>
      </c>
      <c r="R329" s="394"/>
      <c r="S329" s="394"/>
      <c r="T329" s="394"/>
      <c r="V329" s="16">
        <f t="shared" ref="V329:V392" si="58">H329*J329</f>
        <v>5000</v>
      </c>
    </row>
    <row r="330" spans="1:22" ht="14.1" customHeight="1">
      <c r="A330" s="377">
        <v>331</v>
      </c>
      <c r="B330" s="622" t="s">
        <v>595</v>
      </c>
      <c r="C330" s="618" t="s">
        <v>629</v>
      </c>
      <c r="D330" s="619" t="s">
        <v>596</v>
      </c>
      <c r="E330" s="622" t="s">
        <v>200</v>
      </c>
      <c r="F330" s="621" t="str">
        <f t="shared" si="50"/>
        <v>Administratieve ruimten</v>
      </c>
      <c r="G330" s="622" t="s">
        <v>465</v>
      </c>
      <c r="H330" s="623">
        <v>28</v>
      </c>
      <c r="I330" s="635">
        <v>1126</v>
      </c>
      <c r="J330" s="395">
        <f t="shared" si="51"/>
        <v>126</v>
      </c>
      <c r="K330" s="396">
        <f t="shared" si="52"/>
        <v>0</v>
      </c>
      <c r="L330" s="396">
        <f t="shared" si="53"/>
        <v>0</v>
      </c>
      <c r="M330" s="396">
        <f t="shared" si="54"/>
        <v>0</v>
      </c>
      <c r="N330" s="396">
        <f t="shared" si="55"/>
        <v>0</v>
      </c>
      <c r="O330" s="396">
        <f t="shared" si="56"/>
        <v>0</v>
      </c>
      <c r="P330" s="396">
        <f t="shared" ref="P330:P393" si="59">IF($I330="",0,VLOOKUP($I330,Kengetal,7,FALSE))</f>
        <v>0</v>
      </c>
      <c r="Q330" s="397" t="str">
        <f t="shared" si="57"/>
        <v>B</v>
      </c>
      <c r="R330" s="394"/>
      <c r="S330" s="394"/>
      <c r="T330" s="394"/>
      <c r="V330" s="16">
        <f t="shared" si="58"/>
        <v>3528</v>
      </c>
    </row>
    <row r="331" spans="1:22" ht="14.1" customHeight="1">
      <c r="A331" s="377">
        <v>332</v>
      </c>
      <c r="B331" s="622" t="s">
        <v>595</v>
      </c>
      <c r="C331" s="618" t="s">
        <v>629</v>
      </c>
      <c r="D331" s="619" t="s">
        <v>646</v>
      </c>
      <c r="E331" s="622" t="s">
        <v>200</v>
      </c>
      <c r="F331" s="621" t="str">
        <f t="shared" si="50"/>
        <v>Administratieve ruimten</v>
      </c>
      <c r="G331" s="622" t="s">
        <v>465</v>
      </c>
      <c r="H331" s="623">
        <v>14.62</v>
      </c>
      <c r="I331" s="635">
        <v>1126</v>
      </c>
      <c r="J331" s="395">
        <f t="shared" si="51"/>
        <v>126</v>
      </c>
      <c r="K331" s="396">
        <f t="shared" si="52"/>
        <v>0</v>
      </c>
      <c r="L331" s="396">
        <f t="shared" si="53"/>
        <v>0</v>
      </c>
      <c r="M331" s="396">
        <f t="shared" si="54"/>
        <v>0</v>
      </c>
      <c r="N331" s="396">
        <f t="shared" si="55"/>
        <v>0</v>
      </c>
      <c r="O331" s="396">
        <f t="shared" si="56"/>
        <v>0</v>
      </c>
      <c r="P331" s="396">
        <f t="shared" si="59"/>
        <v>0</v>
      </c>
      <c r="Q331" s="397" t="str">
        <f t="shared" si="57"/>
        <v>B</v>
      </c>
      <c r="R331" s="394"/>
      <c r="S331" s="394"/>
      <c r="T331" s="394"/>
      <c r="V331" s="16">
        <f t="shared" si="58"/>
        <v>1842.12</v>
      </c>
    </row>
    <row r="332" spans="1:22" ht="14.1" customHeight="1">
      <c r="A332" s="377">
        <v>333</v>
      </c>
      <c r="B332" s="622" t="s">
        <v>595</v>
      </c>
      <c r="C332" s="618" t="s">
        <v>629</v>
      </c>
      <c r="D332" s="619" t="s">
        <v>647</v>
      </c>
      <c r="E332" s="622" t="s">
        <v>200</v>
      </c>
      <c r="F332" s="621" t="str">
        <f t="shared" si="50"/>
        <v>Administratieve ruimten</v>
      </c>
      <c r="G332" s="622" t="s">
        <v>465</v>
      </c>
      <c r="H332" s="623">
        <v>18.920000000000002</v>
      </c>
      <c r="I332" s="635">
        <v>1126</v>
      </c>
      <c r="J332" s="395">
        <f t="shared" si="51"/>
        <v>126</v>
      </c>
      <c r="K332" s="396">
        <f t="shared" si="52"/>
        <v>0</v>
      </c>
      <c r="L332" s="396">
        <f t="shared" si="53"/>
        <v>0</v>
      </c>
      <c r="M332" s="396">
        <f t="shared" si="54"/>
        <v>0</v>
      </c>
      <c r="N332" s="396">
        <f t="shared" si="55"/>
        <v>0</v>
      </c>
      <c r="O332" s="396">
        <f t="shared" si="56"/>
        <v>0</v>
      </c>
      <c r="P332" s="396">
        <f t="shared" si="59"/>
        <v>0</v>
      </c>
      <c r="Q332" s="397" t="str">
        <f t="shared" si="57"/>
        <v>B</v>
      </c>
      <c r="R332" s="394"/>
      <c r="S332" s="394"/>
      <c r="T332" s="394"/>
      <c r="V332" s="16">
        <f t="shared" si="58"/>
        <v>2383.92</v>
      </c>
    </row>
    <row r="333" spans="1:22" ht="14.1" customHeight="1">
      <c r="A333" s="377">
        <v>334</v>
      </c>
      <c r="B333" s="622" t="s">
        <v>595</v>
      </c>
      <c r="C333" s="618" t="s">
        <v>629</v>
      </c>
      <c r="D333" s="619" t="s">
        <v>648</v>
      </c>
      <c r="E333" s="622" t="s">
        <v>200</v>
      </c>
      <c r="F333" s="621" t="str">
        <f t="shared" si="50"/>
        <v>Administratieve ruimten</v>
      </c>
      <c r="G333" s="622" t="s">
        <v>465</v>
      </c>
      <c r="H333" s="623">
        <v>18.920000000000002</v>
      </c>
      <c r="I333" s="635">
        <v>1126</v>
      </c>
      <c r="J333" s="395">
        <f t="shared" si="51"/>
        <v>126</v>
      </c>
      <c r="K333" s="396">
        <f t="shared" si="52"/>
        <v>0</v>
      </c>
      <c r="L333" s="396">
        <f t="shared" si="53"/>
        <v>0</v>
      </c>
      <c r="M333" s="396">
        <f t="shared" si="54"/>
        <v>0</v>
      </c>
      <c r="N333" s="396">
        <f t="shared" si="55"/>
        <v>0</v>
      </c>
      <c r="O333" s="396">
        <f t="shared" si="56"/>
        <v>0</v>
      </c>
      <c r="P333" s="396">
        <f t="shared" si="59"/>
        <v>0</v>
      </c>
      <c r="Q333" s="397" t="str">
        <f t="shared" si="57"/>
        <v>B</v>
      </c>
      <c r="R333" s="394"/>
      <c r="S333" s="394"/>
      <c r="T333" s="394"/>
      <c r="V333" s="16">
        <f t="shared" si="58"/>
        <v>2383.92</v>
      </c>
    </row>
    <row r="334" spans="1:22" ht="14.1" customHeight="1">
      <c r="A334" s="377">
        <v>335</v>
      </c>
      <c r="B334" s="622" t="s">
        <v>595</v>
      </c>
      <c r="C334" s="618" t="s">
        <v>629</v>
      </c>
      <c r="D334" s="619" t="s">
        <v>649</v>
      </c>
      <c r="E334" s="622" t="s">
        <v>200</v>
      </c>
      <c r="F334" s="621" t="str">
        <f t="shared" si="50"/>
        <v>Administratieve ruimten</v>
      </c>
      <c r="G334" s="622" t="s">
        <v>465</v>
      </c>
      <c r="H334" s="623">
        <v>31.8</v>
      </c>
      <c r="I334" s="635">
        <v>1126</v>
      </c>
      <c r="J334" s="395">
        <f t="shared" si="51"/>
        <v>126</v>
      </c>
      <c r="K334" s="396">
        <f t="shared" si="52"/>
        <v>0</v>
      </c>
      <c r="L334" s="396">
        <f t="shared" si="53"/>
        <v>0</v>
      </c>
      <c r="M334" s="396">
        <f t="shared" si="54"/>
        <v>0</v>
      </c>
      <c r="N334" s="396">
        <f t="shared" si="55"/>
        <v>0</v>
      </c>
      <c r="O334" s="396">
        <f t="shared" si="56"/>
        <v>0</v>
      </c>
      <c r="P334" s="396">
        <f t="shared" si="59"/>
        <v>0</v>
      </c>
      <c r="Q334" s="397" t="str">
        <f t="shared" si="57"/>
        <v>B</v>
      </c>
      <c r="R334" s="394"/>
      <c r="S334" s="394"/>
      <c r="T334" s="394"/>
      <c r="V334" s="16">
        <f t="shared" si="58"/>
        <v>4006.8</v>
      </c>
    </row>
    <row r="335" spans="1:22" ht="14.1" customHeight="1">
      <c r="A335" s="377">
        <v>336</v>
      </c>
      <c r="B335" s="622" t="s">
        <v>595</v>
      </c>
      <c r="C335" s="618" t="s">
        <v>629</v>
      </c>
      <c r="D335" s="619" t="s">
        <v>650</v>
      </c>
      <c r="E335" s="622" t="s">
        <v>200</v>
      </c>
      <c r="F335" s="621" t="str">
        <f t="shared" si="50"/>
        <v>Administratieve ruimten</v>
      </c>
      <c r="G335" s="622" t="s">
        <v>465</v>
      </c>
      <c r="H335" s="623">
        <v>21.93</v>
      </c>
      <c r="I335" s="635">
        <v>1126</v>
      </c>
      <c r="J335" s="395">
        <f t="shared" si="51"/>
        <v>126</v>
      </c>
      <c r="K335" s="396">
        <f t="shared" si="52"/>
        <v>0</v>
      </c>
      <c r="L335" s="396">
        <f t="shared" si="53"/>
        <v>0</v>
      </c>
      <c r="M335" s="396">
        <f t="shared" si="54"/>
        <v>0</v>
      </c>
      <c r="N335" s="396">
        <f t="shared" si="55"/>
        <v>0</v>
      </c>
      <c r="O335" s="396">
        <f t="shared" si="56"/>
        <v>0</v>
      </c>
      <c r="P335" s="396">
        <f t="shared" si="59"/>
        <v>0</v>
      </c>
      <c r="Q335" s="397" t="str">
        <f t="shared" si="57"/>
        <v>B</v>
      </c>
      <c r="R335" s="394"/>
      <c r="S335" s="394"/>
      <c r="T335" s="394"/>
      <c r="V335" s="16">
        <f t="shared" si="58"/>
        <v>2763.18</v>
      </c>
    </row>
    <row r="336" spans="1:22" ht="14.1" customHeight="1">
      <c r="A336" s="377">
        <v>337</v>
      </c>
      <c r="B336" s="622" t="s">
        <v>595</v>
      </c>
      <c r="C336" s="618" t="s">
        <v>629</v>
      </c>
      <c r="D336" s="619" t="s">
        <v>651</v>
      </c>
      <c r="E336" s="622" t="s">
        <v>200</v>
      </c>
      <c r="F336" s="621" t="str">
        <f t="shared" si="50"/>
        <v>Administratieve ruimten</v>
      </c>
      <c r="G336" s="622" t="s">
        <v>465</v>
      </c>
      <c r="H336" s="623">
        <v>22.88</v>
      </c>
      <c r="I336" s="635">
        <v>1126</v>
      </c>
      <c r="J336" s="395">
        <f t="shared" si="51"/>
        <v>126</v>
      </c>
      <c r="K336" s="396">
        <f t="shared" si="52"/>
        <v>0</v>
      </c>
      <c r="L336" s="396">
        <f t="shared" si="53"/>
        <v>0</v>
      </c>
      <c r="M336" s="396">
        <f t="shared" si="54"/>
        <v>0</v>
      </c>
      <c r="N336" s="396">
        <f t="shared" si="55"/>
        <v>0</v>
      </c>
      <c r="O336" s="396">
        <f t="shared" si="56"/>
        <v>0</v>
      </c>
      <c r="P336" s="396">
        <f t="shared" si="59"/>
        <v>0</v>
      </c>
      <c r="Q336" s="397" t="str">
        <f t="shared" si="57"/>
        <v>B</v>
      </c>
      <c r="R336" s="394"/>
      <c r="S336" s="394"/>
      <c r="T336" s="394"/>
      <c r="V336" s="16">
        <f t="shared" si="58"/>
        <v>2882.8799999999997</v>
      </c>
    </row>
    <row r="337" spans="1:22" ht="14.1" customHeight="1">
      <c r="A337" s="377">
        <v>338</v>
      </c>
      <c r="B337" s="622" t="s">
        <v>595</v>
      </c>
      <c r="C337" s="618" t="s">
        <v>629</v>
      </c>
      <c r="D337" s="619" t="s">
        <v>652</v>
      </c>
      <c r="E337" s="622" t="s">
        <v>200</v>
      </c>
      <c r="F337" s="621" t="str">
        <f t="shared" si="50"/>
        <v>Administratieve ruimten</v>
      </c>
      <c r="G337" s="622" t="s">
        <v>465</v>
      </c>
      <c r="H337" s="623">
        <v>73.08</v>
      </c>
      <c r="I337" s="635">
        <v>1126</v>
      </c>
      <c r="J337" s="395">
        <f t="shared" si="51"/>
        <v>126</v>
      </c>
      <c r="K337" s="396">
        <f t="shared" si="52"/>
        <v>0</v>
      </c>
      <c r="L337" s="396">
        <f t="shared" si="53"/>
        <v>0</v>
      </c>
      <c r="M337" s="396">
        <f t="shared" si="54"/>
        <v>0</v>
      </c>
      <c r="N337" s="396">
        <f t="shared" si="55"/>
        <v>0</v>
      </c>
      <c r="O337" s="396">
        <f t="shared" si="56"/>
        <v>0</v>
      </c>
      <c r="P337" s="396">
        <f t="shared" si="59"/>
        <v>0</v>
      </c>
      <c r="Q337" s="397" t="str">
        <f t="shared" si="57"/>
        <v>B</v>
      </c>
      <c r="R337" s="394"/>
      <c r="S337" s="394"/>
      <c r="T337" s="394"/>
      <c r="V337" s="16">
        <f t="shared" si="58"/>
        <v>9208.08</v>
      </c>
    </row>
    <row r="338" spans="1:22" ht="14.1" customHeight="1">
      <c r="A338" s="377">
        <v>339</v>
      </c>
      <c r="B338" s="622" t="s">
        <v>595</v>
      </c>
      <c r="C338" s="618" t="s">
        <v>629</v>
      </c>
      <c r="D338" s="619" t="s">
        <v>596</v>
      </c>
      <c r="E338" s="622" t="s">
        <v>653</v>
      </c>
      <c r="F338" s="621" t="str">
        <f t="shared" si="50"/>
        <v>Gangen en hallen</v>
      </c>
      <c r="G338" s="622" t="s">
        <v>465</v>
      </c>
      <c r="H338" s="623">
        <v>32.119999999999997</v>
      </c>
      <c r="I338" s="635">
        <v>3200</v>
      </c>
      <c r="J338" s="395">
        <f t="shared" si="51"/>
        <v>200</v>
      </c>
      <c r="K338" s="396">
        <f t="shared" si="52"/>
        <v>0</v>
      </c>
      <c r="L338" s="396">
        <f t="shared" si="53"/>
        <v>0</v>
      </c>
      <c r="M338" s="396">
        <f t="shared" si="54"/>
        <v>0</v>
      </c>
      <c r="N338" s="396">
        <f t="shared" si="55"/>
        <v>0</v>
      </c>
      <c r="O338" s="396">
        <f t="shared" si="56"/>
        <v>0</v>
      </c>
      <c r="P338" s="396">
        <f t="shared" si="59"/>
        <v>0</v>
      </c>
      <c r="Q338" s="397" t="str">
        <f t="shared" si="57"/>
        <v>V</v>
      </c>
      <c r="R338" s="394"/>
      <c r="S338" s="394"/>
      <c r="T338" s="394"/>
      <c r="V338" s="16">
        <f t="shared" si="58"/>
        <v>6423.9999999999991</v>
      </c>
    </row>
    <row r="339" spans="1:22" ht="14.1" customHeight="1">
      <c r="A339" s="377">
        <v>340</v>
      </c>
      <c r="B339" s="622" t="s">
        <v>595</v>
      </c>
      <c r="C339" s="618" t="s">
        <v>629</v>
      </c>
      <c r="D339" s="619" t="s">
        <v>596</v>
      </c>
      <c r="E339" s="622" t="s">
        <v>398</v>
      </c>
      <c r="F339" s="621" t="str">
        <f t="shared" si="50"/>
        <v>Gangen en hallen</v>
      </c>
      <c r="G339" s="622" t="s">
        <v>599</v>
      </c>
      <c r="H339" s="623">
        <v>51.15</v>
      </c>
      <c r="I339" s="635">
        <v>3200</v>
      </c>
      <c r="J339" s="395">
        <f t="shared" si="51"/>
        <v>200</v>
      </c>
      <c r="K339" s="396">
        <f t="shared" si="52"/>
        <v>0</v>
      </c>
      <c r="L339" s="396">
        <f t="shared" si="53"/>
        <v>0</v>
      </c>
      <c r="M339" s="396">
        <f t="shared" si="54"/>
        <v>0</v>
      </c>
      <c r="N339" s="396">
        <f t="shared" si="55"/>
        <v>0</v>
      </c>
      <c r="O339" s="396">
        <f t="shared" si="56"/>
        <v>0</v>
      </c>
      <c r="P339" s="396">
        <f t="shared" si="59"/>
        <v>0</v>
      </c>
      <c r="Q339" s="397" t="str">
        <f t="shared" si="57"/>
        <v>V</v>
      </c>
      <c r="R339" s="394"/>
      <c r="S339" s="394"/>
      <c r="T339" s="394"/>
      <c r="V339" s="16">
        <f t="shared" si="58"/>
        <v>10230</v>
      </c>
    </row>
    <row r="340" spans="1:22" ht="14.1" customHeight="1">
      <c r="A340" s="377">
        <v>341</v>
      </c>
      <c r="B340" s="622" t="s">
        <v>595</v>
      </c>
      <c r="C340" s="618" t="s">
        <v>629</v>
      </c>
      <c r="D340" s="619" t="s">
        <v>596</v>
      </c>
      <c r="E340" s="622" t="s">
        <v>391</v>
      </c>
      <c r="F340" s="621" t="str">
        <f t="shared" si="50"/>
        <v>Liften</v>
      </c>
      <c r="G340" s="622" t="s">
        <v>599</v>
      </c>
      <c r="H340" s="623">
        <v>2</v>
      </c>
      <c r="I340" s="635">
        <v>4200</v>
      </c>
      <c r="J340" s="395">
        <f t="shared" si="51"/>
        <v>200</v>
      </c>
      <c r="K340" s="396">
        <f t="shared" si="52"/>
        <v>0</v>
      </c>
      <c r="L340" s="396">
        <f t="shared" si="53"/>
        <v>0</v>
      </c>
      <c r="M340" s="396">
        <f t="shared" si="54"/>
        <v>0</v>
      </c>
      <c r="N340" s="396">
        <f t="shared" si="55"/>
        <v>0</v>
      </c>
      <c r="O340" s="396">
        <f t="shared" si="56"/>
        <v>0</v>
      </c>
      <c r="P340" s="396">
        <f t="shared" si="59"/>
        <v>0</v>
      </c>
      <c r="Q340" s="397" t="str">
        <f t="shared" si="57"/>
        <v>V</v>
      </c>
      <c r="R340" s="394"/>
      <c r="S340" s="394"/>
      <c r="T340" s="394"/>
      <c r="V340" s="16">
        <f t="shared" si="58"/>
        <v>400</v>
      </c>
    </row>
    <row r="341" spans="1:22" ht="14.1" customHeight="1">
      <c r="A341" s="377">
        <v>342</v>
      </c>
      <c r="B341" s="622" t="s">
        <v>595</v>
      </c>
      <c r="C341" s="618" t="s">
        <v>629</v>
      </c>
      <c r="D341" s="619" t="s">
        <v>654</v>
      </c>
      <c r="E341" s="622" t="s">
        <v>655</v>
      </c>
      <c r="F341" s="621" t="str">
        <f t="shared" si="50"/>
        <v>Administratieve ruimten</v>
      </c>
      <c r="G341" s="622" t="s">
        <v>465</v>
      </c>
      <c r="H341" s="623">
        <v>189.81</v>
      </c>
      <c r="I341" s="635">
        <v>1200</v>
      </c>
      <c r="J341" s="395">
        <f t="shared" si="51"/>
        <v>200</v>
      </c>
      <c r="K341" s="396">
        <f t="shared" si="52"/>
        <v>0</v>
      </c>
      <c r="L341" s="396">
        <f t="shared" si="53"/>
        <v>0</v>
      </c>
      <c r="M341" s="396">
        <f t="shared" si="54"/>
        <v>0</v>
      </c>
      <c r="N341" s="396">
        <f t="shared" si="55"/>
        <v>0</v>
      </c>
      <c r="O341" s="396">
        <f t="shared" si="56"/>
        <v>0</v>
      </c>
      <c r="P341" s="396">
        <f t="shared" si="59"/>
        <v>0</v>
      </c>
      <c r="Q341" s="397" t="str">
        <f t="shared" si="57"/>
        <v>B</v>
      </c>
      <c r="R341" s="394"/>
      <c r="S341" s="394"/>
      <c r="T341" s="394"/>
      <c r="V341" s="16">
        <f t="shared" si="58"/>
        <v>37962</v>
      </c>
    </row>
    <row r="342" spans="1:22" ht="14.1" customHeight="1">
      <c r="A342" s="377">
        <v>343</v>
      </c>
      <c r="B342" s="622" t="s">
        <v>595</v>
      </c>
      <c r="C342" s="618" t="s">
        <v>629</v>
      </c>
      <c r="D342" s="619" t="s">
        <v>596</v>
      </c>
      <c r="E342" s="622" t="s">
        <v>200</v>
      </c>
      <c r="F342" s="621" t="str">
        <f t="shared" si="50"/>
        <v>Administratieve ruimten</v>
      </c>
      <c r="G342" s="622" t="s">
        <v>599</v>
      </c>
      <c r="H342" s="623">
        <v>19.61</v>
      </c>
      <c r="I342" s="635">
        <v>1126</v>
      </c>
      <c r="J342" s="395">
        <f t="shared" si="51"/>
        <v>126</v>
      </c>
      <c r="K342" s="396">
        <f t="shared" si="52"/>
        <v>0</v>
      </c>
      <c r="L342" s="396">
        <f t="shared" si="53"/>
        <v>0</v>
      </c>
      <c r="M342" s="396">
        <f t="shared" si="54"/>
        <v>0</v>
      </c>
      <c r="N342" s="396">
        <f t="shared" si="55"/>
        <v>0</v>
      </c>
      <c r="O342" s="396">
        <f t="shared" si="56"/>
        <v>0</v>
      </c>
      <c r="P342" s="396">
        <f t="shared" si="59"/>
        <v>0</v>
      </c>
      <c r="Q342" s="397" t="str">
        <f t="shared" si="57"/>
        <v>B</v>
      </c>
      <c r="R342" s="394"/>
      <c r="S342" s="394"/>
      <c r="T342" s="394"/>
      <c r="V342" s="16">
        <f t="shared" si="58"/>
        <v>2470.86</v>
      </c>
    </row>
    <row r="343" spans="1:22" ht="14.1" customHeight="1">
      <c r="A343" s="377">
        <v>344</v>
      </c>
      <c r="B343" s="622" t="s">
        <v>595</v>
      </c>
      <c r="C343" s="618" t="s">
        <v>629</v>
      </c>
      <c r="D343" s="619" t="s">
        <v>596</v>
      </c>
      <c r="E343" s="622" t="s">
        <v>398</v>
      </c>
      <c r="F343" s="621" t="str">
        <f t="shared" si="50"/>
        <v>Gangen en hallen</v>
      </c>
      <c r="G343" s="622" t="s">
        <v>599</v>
      </c>
      <c r="H343" s="623">
        <v>114.08</v>
      </c>
      <c r="I343" s="635">
        <v>3200</v>
      </c>
      <c r="J343" s="395">
        <f t="shared" si="51"/>
        <v>200</v>
      </c>
      <c r="K343" s="396">
        <f t="shared" si="52"/>
        <v>0</v>
      </c>
      <c r="L343" s="396">
        <f t="shared" si="53"/>
        <v>0</v>
      </c>
      <c r="M343" s="396">
        <f t="shared" si="54"/>
        <v>0</v>
      </c>
      <c r="N343" s="396">
        <f t="shared" si="55"/>
        <v>0</v>
      </c>
      <c r="O343" s="396">
        <f t="shared" si="56"/>
        <v>0</v>
      </c>
      <c r="P343" s="396">
        <f t="shared" si="59"/>
        <v>0</v>
      </c>
      <c r="Q343" s="397" t="str">
        <f t="shared" si="57"/>
        <v>V</v>
      </c>
      <c r="R343" s="394"/>
      <c r="S343" s="394"/>
      <c r="T343" s="394"/>
      <c r="V343" s="16">
        <f t="shared" si="58"/>
        <v>22816</v>
      </c>
    </row>
    <row r="344" spans="1:22" ht="14.1" customHeight="1">
      <c r="A344" s="377">
        <v>345</v>
      </c>
      <c r="B344" s="622" t="s">
        <v>595</v>
      </c>
      <c r="C344" s="618" t="s">
        <v>629</v>
      </c>
      <c r="D344" s="619" t="s">
        <v>596</v>
      </c>
      <c r="E344" s="622" t="s">
        <v>423</v>
      </c>
      <c r="F344" s="621" t="str">
        <f t="shared" si="50"/>
        <v>Sanitaire ruimten</v>
      </c>
      <c r="G344" s="622" t="s">
        <v>377</v>
      </c>
      <c r="H344" s="623">
        <v>3.68</v>
      </c>
      <c r="I344" s="635">
        <v>2200</v>
      </c>
      <c r="J344" s="395">
        <f t="shared" si="51"/>
        <v>200</v>
      </c>
      <c r="K344" s="396">
        <f t="shared" si="52"/>
        <v>0</v>
      </c>
      <c r="L344" s="396">
        <f t="shared" si="53"/>
        <v>0</v>
      </c>
      <c r="M344" s="396">
        <f t="shared" si="54"/>
        <v>0</v>
      </c>
      <c r="N344" s="396">
        <f t="shared" si="55"/>
        <v>0</v>
      </c>
      <c r="O344" s="396">
        <f t="shared" si="56"/>
        <v>0</v>
      </c>
      <c r="P344" s="396">
        <f t="shared" si="59"/>
        <v>0</v>
      </c>
      <c r="Q344" s="397" t="str">
        <f t="shared" si="57"/>
        <v>S</v>
      </c>
      <c r="R344" s="394"/>
      <c r="S344" s="394"/>
      <c r="T344" s="394"/>
      <c r="V344" s="16">
        <f t="shared" si="58"/>
        <v>736</v>
      </c>
    </row>
    <row r="345" spans="1:22" ht="14.1" customHeight="1">
      <c r="A345" s="377">
        <v>346</v>
      </c>
      <c r="B345" s="622" t="s">
        <v>595</v>
      </c>
      <c r="C345" s="618" t="s">
        <v>629</v>
      </c>
      <c r="D345" s="619" t="s">
        <v>596</v>
      </c>
      <c r="E345" s="622" t="s">
        <v>423</v>
      </c>
      <c r="F345" s="621" t="str">
        <f t="shared" si="50"/>
        <v>Sanitaire ruimten</v>
      </c>
      <c r="G345" s="622" t="s">
        <v>377</v>
      </c>
      <c r="H345" s="623">
        <v>3.68</v>
      </c>
      <c r="I345" s="635">
        <v>2200</v>
      </c>
      <c r="J345" s="395">
        <f t="shared" si="51"/>
        <v>200</v>
      </c>
      <c r="K345" s="396">
        <f t="shared" si="52"/>
        <v>0</v>
      </c>
      <c r="L345" s="396">
        <f t="shared" si="53"/>
        <v>0</v>
      </c>
      <c r="M345" s="396">
        <f t="shared" si="54"/>
        <v>0</v>
      </c>
      <c r="N345" s="396">
        <f t="shared" si="55"/>
        <v>0</v>
      </c>
      <c r="O345" s="396">
        <f t="shared" si="56"/>
        <v>0</v>
      </c>
      <c r="P345" s="396">
        <f t="shared" si="59"/>
        <v>0</v>
      </c>
      <c r="Q345" s="397" t="str">
        <f t="shared" si="57"/>
        <v>S</v>
      </c>
      <c r="R345" s="394"/>
      <c r="S345" s="394"/>
      <c r="T345" s="394"/>
      <c r="V345" s="16">
        <f t="shared" si="58"/>
        <v>736</v>
      </c>
    </row>
    <row r="346" spans="1:22" ht="14.1" customHeight="1">
      <c r="A346" s="377">
        <v>347</v>
      </c>
      <c r="B346" s="622" t="s">
        <v>595</v>
      </c>
      <c r="C346" s="618" t="s">
        <v>629</v>
      </c>
      <c r="D346" s="619" t="s">
        <v>656</v>
      </c>
      <c r="E346" s="622" t="s">
        <v>526</v>
      </c>
      <c r="F346" s="621" t="str">
        <f t="shared" si="50"/>
        <v>Leslokalen</v>
      </c>
      <c r="G346" s="622" t="s">
        <v>599</v>
      </c>
      <c r="H346" s="623">
        <v>26.25</v>
      </c>
      <c r="I346" s="635">
        <v>13120</v>
      </c>
      <c r="J346" s="395">
        <f t="shared" si="51"/>
        <v>120</v>
      </c>
      <c r="K346" s="396">
        <f t="shared" si="52"/>
        <v>0</v>
      </c>
      <c r="L346" s="396">
        <f t="shared" si="53"/>
        <v>0</v>
      </c>
      <c r="M346" s="396">
        <f t="shared" si="54"/>
        <v>0</v>
      </c>
      <c r="N346" s="396">
        <f t="shared" si="55"/>
        <v>0</v>
      </c>
      <c r="O346" s="396">
        <f t="shared" si="56"/>
        <v>0</v>
      </c>
      <c r="P346" s="396">
        <f t="shared" si="59"/>
        <v>0</v>
      </c>
      <c r="Q346" s="397" t="str">
        <f t="shared" si="57"/>
        <v>L</v>
      </c>
      <c r="R346" s="394"/>
      <c r="S346" s="394"/>
      <c r="T346" s="394"/>
      <c r="V346" s="16">
        <f t="shared" si="58"/>
        <v>3150</v>
      </c>
    </row>
    <row r="347" spans="1:22" ht="14.1" customHeight="1">
      <c r="A347" s="377">
        <v>348</v>
      </c>
      <c r="B347" s="622" t="s">
        <v>595</v>
      </c>
      <c r="C347" s="618" t="s">
        <v>629</v>
      </c>
      <c r="D347" s="619" t="s">
        <v>657</v>
      </c>
      <c r="E347" s="622" t="s">
        <v>526</v>
      </c>
      <c r="F347" s="621" t="str">
        <f t="shared" si="50"/>
        <v>Leslokalen</v>
      </c>
      <c r="G347" s="622" t="s">
        <v>599</v>
      </c>
      <c r="H347" s="623">
        <v>54.75</v>
      </c>
      <c r="I347" s="635">
        <v>13120</v>
      </c>
      <c r="J347" s="395">
        <f t="shared" si="51"/>
        <v>120</v>
      </c>
      <c r="K347" s="396">
        <f t="shared" si="52"/>
        <v>0</v>
      </c>
      <c r="L347" s="396">
        <f t="shared" si="53"/>
        <v>0</v>
      </c>
      <c r="M347" s="396">
        <f t="shared" si="54"/>
        <v>0</v>
      </c>
      <c r="N347" s="396">
        <f t="shared" si="55"/>
        <v>0</v>
      </c>
      <c r="O347" s="396">
        <f t="shared" si="56"/>
        <v>0</v>
      </c>
      <c r="P347" s="396">
        <f t="shared" si="59"/>
        <v>0</v>
      </c>
      <c r="Q347" s="397" t="str">
        <f t="shared" si="57"/>
        <v>L</v>
      </c>
      <c r="R347" s="394"/>
      <c r="S347" s="394"/>
      <c r="T347" s="394"/>
      <c r="V347" s="16">
        <f t="shared" si="58"/>
        <v>6570</v>
      </c>
    </row>
    <row r="348" spans="1:22" ht="14.1" customHeight="1">
      <c r="A348" s="377">
        <v>349</v>
      </c>
      <c r="B348" s="622" t="s">
        <v>595</v>
      </c>
      <c r="C348" s="618" t="s">
        <v>629</v>
      </c>
      <c r="D348" s="619" t="s">
        <v>658</v>
      </c>
      <c r="E348" s="622" t="s">
        <v>526</v>
      </c>
      <c r="F348" s="621" t="str">
        <f t="shared" si="50"/>
        <v>Leslokalen</v>
      </c>
      <c r="G348" s="622" t="s">
        <v>599</v>
      </c>
      <c r="H348" s="623">
        <v>82.5</v>
      </c>
      <c r="I348" s="635">
        <v>13120</v>
      </c>
      <c r="J348" s="395">
        <f t="shared" si="51"/>
        <v>120</v>
      </c>
      <c r="K348" s="396">
        <f t="shared" si="52"/>
        <v>0</v>
      </c>
      <c r="L348" s="396">
        <f t="shared" si="53"/>
        <v>0</v>
      </c>
      <c r="M348" s="396">
        <f t="shared" si="54"/>
        <v>0</v>
      </c>
      <c r="N348" s="396">
        <f t="shared" si="55"/>
        <v>0</v>
      </c>
      <c r="O348" s="396">
        <f t="shared" si="56"/>
        <v>0</v>
      </c>
      <c r="P348" s="396">
        <f t="shared" si="59"/>
        <v>0</v>
      </c>
      <c r="Q348" s="397" t="str">
        <f t="shared" si="57"/>
        <v>L</v>
      </c>
      <c r="R348" s="394"/>
      <c r="S348" s="394"/>
      <c r="T348" s="394"/>
      <c r="V348" s="16">
        <f t="shared" si="58"/>
        <v>9900</v>
      </c>
    </row>
    <row r="349" spans="1:22" ht="14.1" customHeight="1">
      <c r="A349" s="377">
        <v>350</v>
      </c>
      <c r="B349" s="622" t="s">
        <v>595</v>
      </c>
      <c r="C349" s="618" t="s">
        <v>629</v>
      </c>
      <c r="D349" s="619" t="s">
        <v>340</v>
      </c>
      <c r="E349" s="622" t="s">
        <v>526</v>
      </c>
      <c r="F349" s="621" t="str">
        <f t="shared" si="50"/>
        <v>Leslokalen</v>
      </c>
      <c r="G349" s="622" t="s">
        <v>599</v>
      </c>
      <c r="H349" s="623">
        <v>54.02</v>
      </c>
      <c r="I349" s="635">
        <v>13120</v>
      </c>
      <c r="J349" s="395">
        <f t="shared" si="51"/>
        <v>120</v>
      </c>
      <c r="K349" s="396">
        <f t="shared" si="52"/>
        <v>0</v>
      </c>
      <c r="L349" s="396">
        <f t="shared" si="53"/>
        <v>0</v>
      </c>
      <c r="M349" s="396">
        <f t="shared" si="54"/>
        <v>0</v>
      </c>
      <c r="N349" s="396">
        <f t="shared" si="55"/>
        <v>0</v>
      </c>
      <c r="O349" s="396">
        <f t="shared" si="56"/>
        <v>0</v>
      </c>
      <c r="P349" s="396">
        <f t="shared" si="59"/>
        <v>0</v>
      </c>
      <c r="Q349" s="397" t="str">
        <f t="shared" si="57"/>
        <v>L</v>
      </c>
      <c r="R349" s="394"/>
      <c r="S349" s="394"/>
      <c r="T349" s="394"/>
      <c r="V349" s="16">
        <f t="shared" si="58"/>
        <v>6482.4000000000005</v>
      </c>
    </row>
    <row r="350" spans="1:22" ht="14.1" customHeight="1">
      <c r="A350" s="377">
        <v>351</v>
      </c>
      <c r="B350" s="622" t="s">
        <v>595</v>
      </c>
      <c r="C350" s="618" t="s">
        <v>629</v>
      </c>
      <c r="D350" s="619" t="s">
        <v>659</v>
      </c>
      <c r="E350" s="622" t="s">
        <v>526</v>
      </c>
      <c r="F350" s="621" t="str">
        <f t="shared" si="50"/>
        <v>Leslokalen</v>
      </c>
      <c r="G350" s="622" t="s">
        <v>599</v>
      </c>
      <c r="H350" s="623">
        <v>54.02</v>
      </c>
      <c r="I350" s="635">
        <v>13120</v>
      </c>
      <c r="J350" s="395">
        <f t="shared" si="51"/>
        <v>120</v>
      </c>
      <c r="K350" s="396">
        <f t="shared" si="52"/>
        <v>0</v>
      </c>
      <c r="L350" s="396">
        <f t="shared" si="53"/>
        <v>0</v>
      </c>
      <c r="M350" s="396">
        <f t="shared" si="54"/>
        <v>0</v>
      </c>
      <c r="N350" s="396">
        <f t="shared" si="55"/>
        <v>0</v>
      </c>
      <c r="O350" s="396">
        <f t="shared" si="56"/>
        <v>0</v>
      </c>
      <c r="P350" s="396">
        <f t="shared" si="59"/>
        <v>0</v>
      </c>
      <c r="Q350" s="397" t="str">
        <f t="shared" si="57"/>
        <v>L</v>
      </c>
      <c r="R350" s="394"/>
      <c r="S350" s="394"/>
      <c r="T350" s="394"/>
      <c r="V350" s="16">
        <f t="shared" si="58"/>
        <v>6482.4000000000005</v>
      </c>
    </row>
    <row r="351" spans="1:22" ht="14.1" customHeight="1">
      <c r="A351" s="377">
        <v>352</v>
      </c>
      <c r="B351" s="622" t="s">
        <v>595</v>
      </c>
      <c r="C351" s="618" t="s">
        <v>629</v>
      </c>
      <c r="D351" s="619" t="s">
        <v>660</v>
      </c>
      <c r="E351" s="622" t="s">
        <v>526</v>
      </c>
      <c r="F351" s="621" t="str">
        <f t="shared" si="50"/>
        <v>Leslokalen</v>
      </c>
      <c r="G351" s="622" t="s">
        <v>599</v>
      </c>
      <c r="H351" s="623">
        <v>54.02</v>
      </c>
      <c r="I351" s="635">
        <v>13120</v>
      </c>
      <c r="J351" s="395">
        <f t="shared" si="51"/>
        <v>120</v>
      </c>
      <c r="K351" s="396">
        <f t="shared" si="52"/>
        <v>0</v>
      </c>
      <c r="L351" s="396">
        <f t="shared" si="53"/>
        <v>0</v>
      </c>
      <c r="M351" s="396">
        <f t="shared" si="54"/>
        <v>0</v>
      </c>
      <c r="N351" s="396">
        <f t="shared" si="55"/>
        <v>0</v>
      </c>
      <c r="O351" s="396">
        <f t="shared" si="56"/>
        <v>0</v>
      </c>
      <c r="P351" s="396">
        <f t="shared" si="59"/>
        <v>0</v>
      </c>
      <c r="Q351" s="397" t="str">
        <f t="shared" si="57"/>
        <v>L</v>
      </c>
      <c r="R351" s="394"/>
      <c r="S351" s="394"/>
      <c r="T351" s="394"/>
      <c r="V351" s="16">
        <f t="shared" si="58"/>
        <v>6482.4000000000005</v>
      </c>
    </row>
    <row r="352" spans="1:22" ht="14.1" customHeight="1">
      <c r="A352" s="377">
        <v>353</v>
      </c>
      <c r="B352" s="622" t="s">
        <v>595</v>
      </c>
      <c r="C352" s="618" t="s">
        <v>629</v>
      </c>
      <c r="D352" s="619" t="s">
        <v>661</v>
      </c>
      <c r="E352" s="622" t="s">
        <v>526</v>
      </c>
      <c r="F352" s="621" t="str">
        <f t="shared" si="50"/>
        <v>Leslokalen</v>
      </c>
      <c r="G352" s="622" t="s">
        <v>599</v>
      </c>
      <c r="H352" s="623">
        <v>81.03</v>
      </c>
      <c r="I352" s="635">
        <v>13120</v>
      </c>
      <c r="J352" s="395">
        <f t="shared" si="51"/>
        <v>120</v>
      </c>
      <c r="K352" s="396">
        <f t="shared" si="52"/>
        <v>0</v>
      </c>
      <c r="L352" s="396">
        <f t="shared" si="53"/>
        <v>0</v>
      </c>
      <c r="M352" s="396">
        <f t="shared" si="54"/>
        <v>0</v>
      </c>
      <c r="N352" s="396">
        <f t="shared" si="55"/>
        <v>0</v>
      </c>
      <c r="O352" s="396">
        <f t="shared" si="56"/>
        <v>0</v>
      </c>
      <c r="P352" s="396">
        <f t="shared" si="59"/>
        <v>0</v>
      </c>
      <c r="Q352" s="397" t="str">
        <f t="shared" si="57"/>
        <v>L</v>
      </c>
      <c r="R352" s="394"/>
      <c r="S352" s="394"/>
      <c r="T352" s="394"/>
      <c r="V352" s="16">
        <f t="shared" si="58"/>
        <v>9723.6</v>
      </c>
    </row>
    <row r="353" spans="1:22" ht="14.1" customHeight="1">
      <c r="A353" s="377">
        <v>354</v>
      </c>
      <c r="B353" s="622" t="s">
        <v>595</v>
      </c>
      <c r="C353" s="618" t="s">
        <v>629</v>
      </c>
      <c r="D353" s="619" t="s">
        <v>662</v>
      </c>
      <c r="E353" s="622" t="s">
        <v>526</v>
      </c>
      <c r="F353" s="621" t="str">
        <f t="shared" si="50"/>
        <v>Leslokalen</v>
      </c>
      <c r="G353" s="622" t="s">
        <v>599</v>
      </c>
      <c r="H353" s="623">
        <v>54.02</v>
      </c>
      <c r="I353" s="635">
        <v>13120</v>
      </c>
      <c r="J353" s="395">
        <f t="shared" si="51"/>
        <v>120</v>
      </c>
      <c r="K353" s="396">
        <f t="shared" si="52"/>
        <v>0</v>
      </c>
      <c r="L353" s="396">
        <f t="shared" si="53"/>
        <v>0</v>
      </c>
      <c r="M353" s="396">
        <f t="shared" si="54"/>
        <v>0</v>
      </c>
      <c r="N353" s="396">
        <f t="shared" si="55"/>
        <v>0</v>
      </c>
      <c r="O353" s="396">
        <f t="shared" si="56"/>
        <v>0</v>
      </c>
      <c r="P353" s="396">
        <f t="shared" si="59"/>
        <v>0</v>
      </c>
      <c r="Q353" s="397" t="str">
        <f t="shared" si="57"/>
        <v>L</v>
      </c>
      <c r="R353" s="394"/>
      <c r="S353" s="394"/>
      <c r="T353" s="394"/>
      <c r="V353" s="16">
        <f t="shared" si="58"/>
        <v>6482.4000000000005</v>
      </c>
    </row>
    <row r="354" spans="1:22" ht="14.1" customHeight="1">
      <c r="A354" s="377">
        <v>355</v>
      </c>
      <c r="B354" s="622" t="s">
        <v>595</v>
      </c>
      <c r="C354" s="618" t="s">
        <v>629</v>
      </c>
      <c r="D354" s="619" t="s">
        <v>596</v>
      </c>
      <c r="E354" s="622" t="s">
        <v>398</v>
      </c>
      <c r="F354" s="621" t="str">
        <f t="shared" si="50"/>
        <v>Gangen en hallen</v>
      </c>
      <c r="G354" s="622" t="s">
        <v>599</v>
      </c>
      <c r="H354" s="623">
        <v>15</v>
      </c>
      <c r="I354" s="635">
        <v>3200</v>
      </c>
      <c r="J354" s="395">
        <f t="shared" si="51"/>
        <v>200</v>
      </c>
      <c r="K354" s="396">
        <f t="shared" si="52"/>
        <v>0</v>
      </c>
      <c r="L354" s="396">
        <f t="shared" si="53"/>
        <v>0</v>
      </c>
      <c r="M354" s="396">
        <f t="shared" si="54"/>
        <v>0</v>
      </c>
      <c r="N354" s="396">
        <f t="shared" si="55"/>
        <v>0</v>
      </c>
      <c r="O354" s="396">
        <f t="shared" si="56"/>
        <v>0</v>
      </c>
      <c r="P354" s="396">
        <f t="shared" si="59"/>
        <v>0</v>
      </c>
      <c r="Q354" s="397" t="str">
        <f t="shared" si="57"/>
        <v>V</v>
      </c>
      <c r="R354" s="394"/>
      <c r="S354" s="394"/>
      <c r="T354" s="394"/>
      <c r="V354" s="16">
        <f t="shared" si="58"/>
        <v>3000</v>
      </c>
    </row>
    <row r="355" spans="1:22" ht="14.1" customHeight="1">
      <c r="A355" s="377">
        <v>356</v>
      </c>
      <c r="B355" s="622" t="s">
        <v>595</v>
      </c>
      <c r="C355" s="618" t="s">
        <v>629</v>
      </c>
      <c r="D355" s="619" t="s">
        <v>596</v>
      </c>
      <c r="E355" s="622" t="s">
        <v>489</v>
      </c>
      <c r="F355" s="621" t="str">
        <f t="shared" si="50"/>
        <v>Trappenhuizen</v>
      </c>
      <c r="G355" s="622" t="s">
        <v>550</v>
      </c>
      <c r="H355" s="623">
        <v>10.5</v>
      </c>
      <c r="I355" s="635">
        <v>5200</v>
      </c>
      <c r="J355" s="395">
        <f t="shared" si="51"/>
        <v>200</v>
      </c>
      <c r="K355" s="396">
        <f t="shared" si="52"/>
        <v>0</v>
      </c>
      <c r="L355" s="396">
        <f t="shared" si="53"/>
        <v>0</v>
      </c>
      <c r="M355" s="396">
        <f t="shared" si="54"/>
        <v>0</v>
      </c>
      <c r="N355" s="396">
        <f t="shared" si="55"/>
        <v>0</v>
      </c>
      <c r="O355" s="396">
        <f t="shared" si="56"/>
        <v>0</v>
      </c>
      <c r="P355" s="396">
        <f t="shared" si="59"/>
        <v>0</v>
      </c>
      <c r="Q355" s="397" t="str">
        <f t="shared" si="57"/>
        <v>V</v>
      </c>
      <c r="R355" s="394"/>
      <c r="S355" s="394"/>
      <c r="T355" s="394"/>
      <c r="V355" s="16">
        <f t="shared" si="58"/>
        <v>2100</v>
      </c>
    </row>
    <row r="356" spans="1:22" ht="14.1" customHeight="1">
      <c r="A356" s="377">
        <v>357</v>
      </c>
      <c r="B356" s="622" t="s">
        <v>595</v>
      </c>
      <c r="C356" s="618" t="s">
        <v>629</v>
      </c>
      <c r="D356" s="619" t="s">
        <v>596</v>
      </c>
      <c r="E356" s="622" t="s">
        <v>489</v>
      </c>
      <c r="F356" s="621" t="str">
        <f t="shared" si="50"/>
        <v>Trappenhuizen</v>
      </c>
      <c r="G356" s="622" t="s">
        <v>550</v>
      </c>
      <c r="H356" s="623">
        <v>25</v>
      </c>
      <c r="I356" s="635">
        <v>5200</v>
      </c>
      <c r="J356" s="395">
        <f t="shared" si="51"/>
        <v>200</v>
      </c>
      <c r="K356" s="396">
        <f t="shared" si="52"/>
        <v>0</v>
      </c>
      <c r="L356" s="396">
        <f t="shared" si="53"/>
        <v>0</v>
      </c>
      <c r="M356" s="396">
        <f t="shared" si="54"/>
        <v>0</v>
      </c>
      <c r="N356" s="396">
        <f t="shared" si="55"/>
        <v>0</v>
      </c>
      <c r="O356" s="396">
        <f t="shared" si="56"/>
        <v>0</v>
      </c>
      <c r="P356" s="396">
        <f t="shared" si="59"/>
        <v>0</v>
      </c>
      <c r="Q356" s="397" t="str">
        <f t="shared" si="57"/>
        <v>V</v>
      </c>
      <c r="R356" s="394"/>
      <c r="S356" s="394"/>
      <c r="T356" s="394"/>
      <c r="V356" s="16">
        <f t="shared" si="58"/>
        <v>5000</v>
      </c>
    </row>
    <row r="357" spans="1:22" ht="14.1" customHeight="1">
      <c r="A357" s="377">
        <v>358</v>
      </c>
      <c r="B357" s="622" t="s">
        <v>595</v>
      </c>
      <c r="C357" s="618" t="s">
        <v>629</v>
      </c>
      <c r="D357" s="619" t="s">
        <v>596</v>
      </c>
      <c r="E357" s="622" t="s">
        <v>398</v>
      </c>
      <c r="F357" s="621" t="str">
        <f t="shared" si="50"/>
        <v>Gangen en hallen</v>
      </c>
      <c r="G357" s="622" t="s">
        <v>599</v>
      </c>
      <c r="H357" s="623">
        <v>18.87</v>
      </c>
      <c r="I357" s="635">
        <v>3200</v>
      </c>
      <c r="J357" s="395">
        <f t="shared" si="51"/>
        <v>200</v>
      </c>
      <c r="K357" s="396">
        <f t="shared" si="52"/>
        <v>0</v>
      </c>
      <c r="L357" s="396">
        <f t="shared" si="53"/>
        <v>0</v>
      </c>
      <c r="M357" s="396">
        <f t="shared" si="54"/>
        <v>0</v>
      </c>
      <c r="N357" s="396">
        <f t="shared" si="55"/>
        <v>0</v>
      </c>
      <c r="O357" s="396">
        <f t="shared" si="56"/>
        <v>0</v>
      </c>
      <c r="P357" s="396">
        <f t="shared" si="59"/>
        <v>0</v>
      </c>
      <c r="Q357" s="397" t="str">
        <f t="shared" si="57"/>
        <v>V</v>
      </c>
      <c r="R357" s="394"/>
      <c r="S357" s="394"/>
      <c r="T357" s="394"/>
      <c r="V357" s="16">
        <f t="shared" si="58"/>
        <v>3774</v>
      </c>
    </row>
    <row r="358" spans="1:22" ht="14.1" customHeight="1">
      <c r="A358" s="377">
        <v>359</v>
      </c>
      <c r="B358" s="622" t="s">
        <v>595</v>
      </c>
      <c r="C358" s="618" t="s">
        <v>629</v>
      </c>
      <c r="D358" s="619" t="s">
        <v>596</v>
      </c>
      <c r="E358" s="622" t="s">
        <v>398</v>
      </c>
      <c r="F358" s="621" t="str">
        <f t="shared" si="50"/>
        <v>Gangen en hallen</v>
      </c>
      <c r="G358" s="622" t="s">
        <v>599</v>
      </c>
      <c r="H358" s="623">
        <v>68.06</v>
      </c>
      <c r="I358" s="635">
        <v>3200</v>
      </c>
      <c r="J358" s="395">
        <f t="shared" si="51"/>
        <v>200</v>
      </c>
      <c r="K358" s="396">
        <f t="shared" si="52"/>
        <v>0</v>
      </c>
      <c r="L358" s="396">
        <f t="shared" si="53"/>
        <v>0</v>
      </c>
      <c r="M358" s="396">
        <f t="shared" si="54"/>
        <v>0</v>
      </c>
      <c r="N358" s="396">
        <f t="shared" si="55"/>
        <v>0</v>
      </c>
      <c r="O358" s="396">
        <f t="shared" si="56"/>
        <v>0</v>
      </c>
      <c r="P358" s="396">
        <f t="shared" si="59"/>
        <v>0</v>
      </c>
      <c r="Q358" s="397" t="str">
        <f t="shared" si="57"/>
        <v>V</v>
      </c>
      <c r="R358" s="394"/>
      <c r="S358" s="394"/>
      <c r="T358" s="394"/>
      <c r="V358" s="16">
        <f t="shared" si="58"/>
        <v>13612</v>
      </c>
    </row>
    <row r="359" spans="1:22" ht="14.1" customHeight="1">
      <c r="A359" s="377">
        <v>360</v>
      </c>
      <c r="B359" s="622" t="s">
        <v>595</v>
      </c>
      <c r="C359" s="618" t="s">
        <v>629</v>
      </c>
      <c r="D359" s="619" t="s">
        <v>596</v>
      </c>
      <c r="E359" s="622" t="s">
        <v>423</v>
      </c>
      <c r="F359" s="621" t="str">
        <f t="shared" si="50"/>
        <v>Sanitaire ruimten</v>
      </c>
      <c r="G359" s="622" t="s">
        <v>377</v>
      </c>
      <c r="H359" s="623">
        <v>13.42</v>
      </c>
      <c r="I359" s="635">
        <v>2400</v>
      </c>
      <c r="J359" s="395">
        <f t="shared" si="51"/>
        <v>400</v>
      </c>
      <c r="K359" s="396">
        <f t="shared" si="52"/>
        <v>0</v>
      </c>
      <c r="L359" s="396">
        <f t="shared" si="53"/>
        <v>0</v>
      </c>
      <c r="M359" s="396">
        <f t="shared" si="54"/>
        <v>0</v>
      </c>
      <c r="N359" s="396">
        <f t="shared" si="55"/>
        <v>0</v>
      </c>
      <c r="O359" s="396">
        <f t="shared" si="56"/>
        <v>0</v>
      </c>
      <c r="P359" s="396">
        <f t="shared" si="59"/>
        <v>0</v>
      </c>
      <c r="Q359" s="397" t="str">
        <f t="shared" si="57"/>
        <v>S</v>
      </c>
      <c r="R359" s="610"/>
      <c r="S359" s="394"/>
      <c r="T359" s="394"/>
      <c r="V359" s="16">
        <f t="shared" si="58"/>
        <v>5368</v>
      </c>
    </row>
    <row r="360" spans="1:22" ht="14.1" customHeight="1">
      <c r="A360" s="377">
        <v>361</v>
      </c>
      <c r="B360" s="622" t="s">
        <v>595</v>
      </c>
      <c r="C360" s="618" t="s">
        <v>629</v>
      </c>
      <c r="D360" s="619" t="s">
        <v>596</v>
      </c>
      <c r="E360" s="622" t="s">
        <v>604</v>
      </c>
      <c r="F360" s="621" t="str">
        <f t="shared" si="50"/>
        <v>Sanitaire ruimten</v>
      </c>
      <c r="G360" s="622" t="s">
        <v>377</v>
      </c>
      <c r="H360" s="623">
        <v>2</v>
      </c>
      <c r="I360" s="635">
        <v>2400</v>
      </c>
      <c r="J360" s="395">
        <f t="shared" si="51"/>
        <v>400</v>
      </c>
      <c r="K360" s="396">
        <f t="shared" si="52"/>
        <v>0</v>
      </c>
      <c r="L360" s="396">
        <f t="shared" si="53"/>
        <v>0</v>
      </c>
      <c r="M360" s="396">
        <f t="shared" si="54"/>
        <v>0</v>
      </c>
      <c r="N360" s="396">
        <f t="shared" si="55"/>
        <v>0</v>
      </c>
      <c r="O360" s="396">
        <f t="shared" si="56"/>
        <v>0</v>
      </c>
      <c r="P360" s="396">
        <f t="shared" si="59"/>
        <v>0</v>
      </c>
      <c r="Q360" s="397" t="str">
        <f t="shared" si="57"/>
        <v>S</v>
      </c>
      <c r="R360" s="610"/>
      <c r="S360" s="394"/>
      <c r="T360" s="394"/>
      <c r="V360" s="16">
        <f t="shared" si="58"/>
        <v>800</v>
      </c>
    </row>
    <row r="361" spans="1:22" ht="14.1" customHeight="1">
      <c r="A361" s="377">
        <v>362</v>
      </c>
      <c r="B361" s="622" t="s">
        <v>595</v>
      </c>
      <c r="C361" s="618" t="s">
        <v>629</v>
      </c>
      <c r="D361" s="619" t="s">
        <v>663</v>
      </c>
      <c r="E361" s="622" t="s">
        <v>526</v>
      </c>
      <c r="F361" s="621" t="str">
        <f t="shared" si="50"/>
        <v>Leslokalen</v>
      </c>
      <c r="G361" s="622" t="s">
        <v>599</v>
      </c>
      <c r="H361" s="623">
        <v>48.24</v>
      </c>
      <c r="I361" s="635">
        <v>13120</v>
      </c>
      <c r="J361" s="395">
        <f t="shared" si="51"/>
        <v>120</v>
      </c>
      <c r="K361" s="396">
        <f t="shared" si="52"/>
        <v>0</v>
      </c>
      <c r="L361" s="396">
        <f t="shared" si="53"/>
        <v>0</v>
      </c>
      <c r="M361" s="396">
        <f t="shared" si="54"/>
        <v>0</v>
      </c>
      <c r="N361" s="396">
        <f t="shared" si="55"/>
        <v>0</v>
      </c>
      <c r="O361" s="396">
        <f t="shared" si="56"/>
        <v>0</v>
      </c>
      <c r="P361" s="396">
        <f t="shared" si="59"/>
        <v>0</v>
      </c>
      <c r="Q361" s="397" t="str">
        <f t="shared" si="57"/>
        <v>L</v>
      </c>
      <c r="R361" s="394"/>
      <c r="S361" s="394"/>
      <c r="T361" s="394"/>
      <c r="V361" s="16">
        <f t="shared" si="58"/>
        <v>5788.8</v>
      </c>
    </row>
    <row r="362" spans="1:22" ht="14.1" customHeight="1">
      <c r="A362" s="377">
        <v>363</v>
      </c>
      <c r="B362" s="622" t="s">
        <v>595</v>
      </c>
      <c r="C362" s="618" t="s">
        <v>629</v>
      </c>
      <c r="D362" s="619" t="s">
        <v>664</v>
      </c>
      <c r="E362" s="622" t="s">
        <v>526</v>
      </c>
      <c r="F362" s="621" t="str">
        <f t="shared" si="50"/>
        <v>Leslokalen</v>
      </c>
      <c r="G362" s="622" t="s">
        <v>599</v>
      </c>
      <c r="H362" s="623">
        <v>48.24</v>
      </c>
      <c r="I362" s="635">
        <v>13120</v>
      </c>
      <c r="J362" s="395">
        <f t="shared" si="51"/>
        <v>120</v>
      </c>
      <c r="K362" s="396">
        <f t="shared" si="52"/>
        <v>0</v>
      </c>
      <c r="L362" s="396">
        <f t="shared" si="53"/>
        <v>0</v>
      </c>
      <c r="M362" s="396">
        <f t="shared" si="54"/>
        <v>0</v>
      </c>
      <c r="N362" s="396">
        <f t="shared" si="55"/>
        <v>0</v>
      </c>
      <c r="O362" s="396">
        <f t="shared" si="56"/>
        <v>0</v>
      </c>
      <c r="P362" s="396">
        <f t="shared" si="59"/>
        <v>0</v>
      </c>
      <c r="Q362" s="397" t="str">
        <f t="shared" si="57"/>
        <v>L</v>
      </c>
      <c r="R362" s="394"/>
      <c r="S362" s="394"/>
      <c r="T362" s="394"/>
      <c r="V362" s="16">
        <f t="shared" si="58"/>
        <v>5788.8</v>
      </c>
    </row>
    <row r="363" spans="1:22" ht="14.1" customHeight="1">
      <c r="A363" s="377">
        <v>364</v>
      </c>
      <c r="B363" s="622" t="s">
        <v>595</v>
      </c>
      <c r="C363" s="618" t="s">
        <v>629</v>
      </c>
      <c r="D363" s="619" t="s">
        <v>596</v>
      </c>
      <c r="E363" s="622" t="s">
        <v>489</v>
      </c>
      <c r="F363" s="621" t="str">
        <f t="shared" si="50"/>
        <v>Trappenhuizen</v>
      </c>
      <c r="G363" s="622" t="s">
        <v>599</v>
      </c>
      <c r="H363" s="623">
        <v>6</v>
      </c>
      <c r="I363" s="635">
        <v>5200</v>
      </c>
      <c r="J363" s="395">
        <f t="shared" si="51"/>
        <v>200</v>
      </c>
      <c r="K363" s="396">
        <f t="shared" si="52"/>
        <v>0</v>
      </c>
      <c r="L363" s="396">
        <f t="shared" si="53"/>
        <v>0</v>
      </c>
      <c r="M363" s="396">
        <f t="shared" si="54"/>
        <v>0</v>
      </c>
      <c r="N363" s="396">
        <f t="shared" si="55"/>
        <v>0</v>
      </c>
      <c r="O363" s="396">
        <f t="shared" si="56"/>
        <v>0</v>
      </c>
      <c r="P363" s="396">
        <f t="shared" si="59"/>
        <v>0</v>
      </c>
      <c r="Q363" s="397" t="str">
        <f t="shared" si="57"/>
        <v>V</v>
      </c>
      <c r="R363" s="394"/>
      <c r="S363" s="394"/>
      <c r="T363" s="394"/>
      <c r="V363" s="16">
        <f t="shared" si="58"/>
        <v>1200</v>
      </c>
    </row>
    <row r="364" spans="1:22" ht="14.1" customHeight="1">
      <c r="A364" s="377">
        <v>365</v>
      </c>
      <c r="B364" s="622" t="s">
        <v>595</v>
      </c>
      <c r="C364" s="618" t="s">
        <v>629</v>
      </c>
      <c r="D364" s="619" t="s">
        <v>596</v>
      </c>
      <c r="E364" s="622" t="s">
        <v>489</v>
      </c>
      <c r="F364" s="621" t="str">
        <f t="shared" si="50"/>
        <v>Trappenhuizen</v>
      </c>
      <c r="G364" s="622" t="s">
        <v>599</v>
      </c>
      <c r="H364" s="623">
        <v>6</v>
      </c>
      <c r="I364" s="635">
        <v>5200</v>
      </c>
      <c r="J364" s="395">
        <f t="shared" si="51"/>
        <v>200</v>
      </c>
      <c r="K364" s="396">
        <f t="shared" si="52"/>
        <v>0</v>
      </c>
      <c r="L364" s="396">
        <f t="shared" si="53"/>
        <v>0</v>
      </c>
      <c r="M364" s="396">
        <f t="shared" si="54"/>
        <v>0</v>
      </c>
      <c r="N364" s="396">
        <f t="shared" si="55"/>
        <v>0</v>
      </c>
      <c r="O364" s="396">
        <f t="shared" si="56"/>
        <v>0</v>
      </c>
      <c r="P364" s="396">
        <f t="shared" si="59"/>
        <v>0</v>
      </c>
      <c r="Q364" s="397" t="str">
        <f t="shared" si="57"/>
        <v>V</v>
      </c>
      <c r="R364" s="394"/>
      <c r="S364" s="394"/>
      <c r="T364" s="394"/>
      <c r="V364" s="16">
        <f t="shared" si="58"/>
        <v>1200</v>
      </c>
    </row>
    <row r="365" spans="1:22" ht="14.1" customHeight="1">
      <c r="A365" s="377">
        <v>366</v>
      </c>
      <c r="B365" s="622" t="s">
        <v>595</v>
      </c>
      <c r="C365" s="618" t="s">
        <v>629</v>
      </c>
      <c r="D365" s="619" t="s">
        <v>596</v>
      </c>
      <c r="E365" s="622" t="s">
        <v>398</v>
      </c>
      <c r="F365" s="621" t="str">
        <f t="shared" si="50"/>
        <v>Gangen en hallen</v>
      </c>
      <c r="G365" s="622" t="s">
        <v>599</v>
      </c>
      <c r="H365" s="623">
        <v>10.5</v>
      </c>
      <c r="I365" s="635">
        <v>3200</v>
      </c>
      <c r="J365" s="395">
        <f t="shared" si="51"/>
        <v>200</v>
      </c>
      <c r="K365" s="396">
        <f t="shared" si="52"/>
        <v>0</v>
      </c>
      <c r="L365" s="396">
        <f t="shared" si="53"/>
        <v>0</v>
      </c>
      <c r="M365" s="396">
        <f t="shared" si="54"/>
        <v>0</v>
      </c>
      <c r="N365" s="396">
        <f t="shared" si="55"/>
        <v>0</v>
      </c>
      <c r="O365" s="396">
        <f t="shared" si="56"/>
        <v>0</v>
      </c>
      <c r="P365" s="396">
        <f t="shared" si="59"/>
        <v>0</v>
      </c>
      <c r="Q365" s="397" t="str">
        <f t="shared" si="57"/>
        <v>V</v>
      </c>
      <c r="R365" s="394"/>
      <c r="S365" s="394"/>
      <c r="T365" s="394"/>
      <c r="V365" s="16">
        <f t="shared" si="58"/>
        <v>2100</v>
      </c>
    </row>
    <row r="366" spans="1:22" ht="14.1" customHeight="1">
      <c r="A366" s="377">
        <v>367</v>
      </c>
      <c r="B366" s="622" t="s">
        <v>595</v>
      </c>
      <c r="C366" s="618" t="s">
        <v>629</v>
      </c>
      <c r="D366" s="619" t="s">
        <v>665</v>
      </c>
      <c r="E366" s="622" t="s">
        <v>526</v>
      </c>
      <c r="F366" s="621" t="str">
        <f t="shared" si="50"/>
        <v>Leslokalen</v>
      </c>
      <c r="G366" s="622" t="s">
        <v>599</v>
      </c>
      <c r="H366" s="623">
        <v>48.96</v>
      </c>
      <c r="I366" s="635">
        <v>13120</v>
      </c>
      <c r="J366" s="395">
        <f t="shared" si="51"/>
        <v>120</v>
      </c>
      <c r="K366" s="396">
        <f t="shared" si="52"/>
        <v>0</v>
      </c>
      <c r="L366" s="396">
        <f t="shared" si="53"/>
        <v>0</v>
      </c>
      <c r="M366" s="396">
        <f t="shared" si="54"/>
        <v>0</v>
      </c>
      <c r="N366" s="396">
        <f t="shared" si="55"/>
        <v>0</v>
      </c>
      <c r="O366" s="396">
        <f t="shared" si="56"/>
        <v>0</v>
      </c>
      <c r="P366" s="396">
        <f t="shared" si="59"/>
        <v>0</v>
      </c>
      <c r="Q366" s="397" t="str">
        <f t="shared" si="57"/>
        <v>L</v>
      </c>
      <c r="R366" s="394"/>
      <c r="S366" s="394"/>
      <c r="T366" s="394"/>
      <c r="V366" s="16">
        <f t="shared" si="58"/>
        <v>5875.2</v>
      </c>
    </row>
    <row r="367" spans="1:22" ht="14.1" customHeight="1">
      <c r="A367" s="377">
        <v>368</v>
      </c>
      <c r="B367" s="622" t="s">
        <v>595</v>
      </c>
      <c r="C367" s="618" t="s">
        <v>629</v>
      </c>
      <c r="D367" s="619" t="s">
        <v>596</v>
      </c>
      <c r="E367" s="622" t="s">
        <v>398</v>
      </c>
      <c r="F367" s="621" t="str">
        <f t="shared" si="50"/>
        <v>Gangen en hallen</v>
      </c>
      <c r="G367" s="622" t="s">
        <v>599</v>
      </c>
      <c r="H367" s="623">
        <v>71.099999999999994</v>
      </c>
      <c r="I367" s="635">
        <v>3200</v>
      </c>
      <c r="J367" s="395">
        <f t="shared" si="51"/>
        <v>200</v>
      </c>
      <c r="K367" s="396">
        <f t="shared" si="52"/>
        <v>0</v>
      </c>
      <c r="L367" s="396">
        <f t="shared" si="53"/>
        <v>0</v>
      </c>
      <c r="M367" s="396">
        <f t="shared" si="54"/>
        <v>0</v>
      </c>
      <c r="N367" s="396">
        <f t="shared" si="55"/>
        <v>0</v>
      </c>
      <c r="O367" s="396">
        <f t="shared" si="56"/>
        <v>0</v>
      </c>
      <c r="P367" s="396">
        <f t="shared" si="59"/>
        <v>0</v>
      </c>
      <c r="Q367" s="397" t="str">
        <f t="shared" si="57"/>
        <v>V</v>
      </c>
      <c r="R367" s="394"/>
      <c r="S367" s="394"/>
      <c r="T367" s="394"/>
      <c r="V367" s="16">
        <f t="shared" si="58"/>
        <v>14219.999999999998</v>
      </c>
    </row>
    <row r="368" spans="1:22" ht="14.1" customHeight="1">
      <c r="A368" s="377">
        <v>369</v>
      </c>
      <c r="B368" s="622" t="s">
        <v>595</v>
      </c>
      <c r="C368" s="618" t="s">
        <v>629</v>
      </c>
      <c r="D368" s="619" t="s">
        <v>666</v>
      </c>
      <c r="E368" s="622" t="s">
        <v>526</v>
      </c>
      <c r="F368" s="621" t="str">
        <f t="shared" si="50"/>
        <v>Leslokalen</v>
      </c>
      <c r="G368" s="622" t="s">
        <v>599</v>
      </c>
      <c r="H368" s="623">
        <v>48.28</v>
      </c>
      <c r="I368" s="635">
        <v>13120</v>
      </c>
      <c r="J368" s="395">
        <f t="shared" si="51"/>
        <v>120</v>
      </c>
      <c r="K368" s="396">
        <f t="shared" si="52"/>
        <v>0</v>
      </c>
      <c r="L368" s="396">
        <f t="shared" si="53"/>
        <v>0</v>
      </c>
      <c r="M368" s="396">
        <f t="shared" si="54"/>
        <v>0</v>
      </c>
      <c r="N368" s="396">
        <f t="shared" si="55"/>
        <v>0</v>
      </c>
      <c r="O368" s="396">
        <f t="shared" si="56"/>
        <v>0</v>
      </c>
      <c r="P368" s="396">
        <f t="shared" si="59"/>
        <v>0</v>
      </c>
      <c r="Q368" s="397" t="str">
        <f t="shared" si="57"/>
        <v>L</v>
      </c>
      <c r="R368" s="394"/>
      <c r="S368" s="394"/>
      <c r="T368" s="394"/>
      <c r="V368" s="16">
        <f t="shared" si="58"/>
        <v>5793.6</v>
      </c>
    </row>
    <row r="369" spans="1:22" ht="14.1" customHeight="1">
      <c r="A369" s="377">
        <v>370</v>
      </c>
      <c r="B369" s="622" t="s">
        <v>595</v>
      </c>
      <c r="C369" s="618" t="s">
        <v>629</v>
      </c>
      <c r="D369" s="619" t="s">
        <v>596</v>
      </c>
      <c r="E369" s="622" t="s">
        <v>423</v>
      </c>
      <c r="F369" s="621" t="str">
        <f t="shared" si="50"/>
        <v>Sanitaire ruimten</v>
      </c>
      <c r="G369" s="622" t="s">
        <v>377</v>
      </c>
      <c r="H369" s="623">
        <v>15</v>
      </c>
      <c r="I369" s="635">
        <v>2200</v>
      </c>
      <c r="J369" s="395">
        <f t="shared" si="51"/>
        <v>200</v>
      </c>
      <c r="K369" s="396">
        <f t="shared" si="52"/>
        <v>0</v>
      </c>
      <c r="L369" s="396">
        <f t="shared" si="53"/>
        <v>0</v>
      </c>
      <c r="M369" s="396">
        <f t="shared" si="54"/>
        <v>0</v>
      </c>
      <c r="N369" s="396">
        <f t="shared" si="55"/>
        <v>0</v>
      </c>
      <c r="O369" s="396">
        <f t="shared" si="56"/>
        <v>0</v>
      </c>
      <c r="P369" s="396">
        <f t="shared" si="59"/>
        <v>0</v>
      </c>
      <c r="Q369" s="397" t="str">
        <f t="shared" si="57"/>
        <v>S</v>
      </c>
      <c r="R369" s="394"/>
      <c r="S369" s="394"/>
      <c r="T369" s="394"/>
      <c r="V369" s="16">
        <f t="shared" si="58"/>
        <v>3000</v>
      </c>
    </row>
    <row r="370" spans="1:22" ht="14.1" customHeight="1">
      <c r="A370" s="377">
        <v>371</v>
      </c>
      <c r="B370" s="622" t="s">
        <v>595</v>
      </c>
      <c r="C370" s="618" t="s">
        <v>629</v>
      </c>
      <c r="D370" s="619" t="s">
        <v>667</v>
      </c>
      <c r="E370" s="622" t="s">
        <v>526</v>
      </c>
      <c r="F370" s="621" t="str">
        <f t="shared" si="50"/>
        <v>Leslokalen</v>
      </c>
      <c r="G370" s="622" t="s">
        <v>599</v>
      </c>
      <c r="H370" s="623">
        <v>48.28</v>
      </c>
      <c r="I370" s="635">
        <v>13120</v>
      </c>
      <c r="J370" s="395">
        <f t="shared" si="51"/>
        <v>120</v>
      </c>
      <c r="K370" s="396">
        <f t="shared" si="52"/>
        <v>0</v>
      </c>
      <c r="L370" s="396">
        <f t="shared" si="53"/>
        <v>0</v>
      </c>
      <c r="M370" s="396">
        <f t="shared" si="54"/>
        <v>0</v>
      </c>
      <c r="N370" s="396">
        <f t="shared" si="55"/>
        <v>0</v>
      </c>
      <c r="O370" s="396">
        <f t="shared" si="56"/>
        <v>0</v>
      </c>
      <c r="P370" s="396">
        <f t="shared" si="59"/>
        <v>0</v>
      </c>
      <c r="Q370" s="397" t="str">
        <f t="shared" si="57"/>
        <v>L</v>
      </c>
      <c r="R370" s="394"/>
      <c r="S370" s="394"/>
      <c r="T370" s="394"/>
      <c r="V370" s="16">
        <f t="shared" si="58"/>
        <v>5793.6</v>
      </c>
    </row>
    <row r="371" spans="1:22" ht="14.1" customHeight="1">
      <c r="A371" s="377">
        <v>372</v>
      </c>
      <c r="B371" s="622" t="s">
        <v>595</v>
      </c>
      <c r="C371" s="618" t="s">
        <v>629</v>
      </c>
      <c r="D371" s="619" t="s">
        <v>668</v>
      </c>
      <c r="E371" s="622" t="s">
        <v>526</v>
      </c>
      <c r="F371" s="621" t="str">
        <f t="shared" si="50"/>
        <v>Leslokalen</v>
      </c>
      <c r="G371" s="622" t="s">
        <v>599</v>
      </c>
      <c r="H371" s="623">
        <v>48.28</v>
      </c>
      <c r="I371" s="635">
        <v>13120</v>
      </c>
      <c r="J371" s="395">
        <f t="shared" si="51"/>
        <v>120</v>
      </c>
      <c r="K371" s="396">
        <f t="shared" si="52"/>
        <v>0</v>
      </c>
      <c r="L371" s="396">
        <f t="shared" si="53"/>
        <v>0</v>
      </c>
      <c r="M371" s="396">
        <f t="shared" si="54"/>
        <v>0</v>
      </c>
      <c r="N371" s="396">
        <f t="shared" si="55"/>
        <v>0</v>
      </c>
      <c r="O371" s="396">
        <f t="shared" si="56"/>
        <v>0</v>
      </c>
      <c r="P371" s="396">
        <f t="shared" si="59"/>
        <v>0</v>
      </c>
      <c r="Q371" s="397" t="str">
        <f t="shared" si="57"/>
        <v>L</v>
      </c>
      <c r="R371" s="394"/>
      <c r="S371" s="394"/>
      <c r="T371" s="394"/>
      <c r="V371" s="16">
        <f t="shared" si="58"/>
        <v>5793.6</v>
      </c>
    </row>
    <row r="372" spans="1:22" ht="14.1" customHeight="1">
      <c r="A372" s="377">
        <v>373</v>
      </c>
      <c r="B372" s="622" t="s">
        <v>595</v>
      </c>
      <c r="C372" s="618" t="s">
        <v>629</v>
      </c>
      <c r="D372" s="619" t="s">
        <v>596</v>
      </c>
      <c r="E372" s="622" t="s">
        <v>489</v>
      </c>
      <c r="F372" s="621" t="str">
        <f t="shared" si="50"/>
        <v>Trappenhuizen</v>
      </c>
      <c r="G372" s="622" t="s">
        <v>636</v>
      </c>
      <c r="H372" s="623">
        <v>17.850000000000001</v>
      </c>
      <c r="I372" s="635">
        <v>5200</v>
      </c>
      <c r="J372" s="395">
        <f t="shared" si="51"/>
        <v>200</v>
      </c>
      <c r="K372" s="396">
        <f t="shared" si="52"/>
        <v>0</v>
      </c>
      <c r="L372" s="396">
        <f t="shared" si="53"/>
        <v>0</v>
      </c>
      <c r="M372" s="396">
        <f t="shared" si="54"/>
        <v>0</v>
      </c>
      <c r="N372" s="396">
        <f t="shared" si="55"/>
        <v>0</v>
      </c>
      <c r="O372" s="396">
        <f t="shared" si="56"/>
        <v>0</v>
      </c>
      <c r="P372" s="396">
        <f t="shared" si="59"/>
        <v>0</v>
      </c>
      <c r="Q372" s="397" t="str">
        <f t="shared" si="57"/>
        <v>V</v>
      </c>
      <c r="R372" s="394"/>
      <c r="S372" s="394"/>
      <c r="T372" s="394"/>
      <c r="V372" s="16">
        <f t="shared" si="58"/>
        <v>3570.0000000000005</v>
      </c>
    </row>
    <row r="373" spans="1:22" ht="14.1" customHeight="1">
      <c r="A373" s="377">
        <v>374</v>
      </c>
      <c r="B373" s="622" t="s">
        <v>595</v>
      </c>
      <c r="C373" s="618" t="s">
        <v>669</v>
      </c>
      <c r="D373" s="619" t="s">
        <v>596</v>
      </c>
      <c r="E373" s="622" t="s">
        <v>489</v>
      </c>
      <c r="F373" s="621" t="str">
        <f t="shared" si="50"/>
        <v>Trappenhuizen</v>
      </c>
      <c r="G373" s="622" t="s">
        <v>636</v>
      </c>
      <c r="H373" s="623">
        <v>32.56</v>
      </c>
      <c r="I373" s="635">
        <v>5200</v>
      </c>
      <c r="J373" s="395">
        <f t="shared" si="51"/>
        <v>200</v>
      </c>
      <c r="K373" s="396">
        <f t="shared" si="52"/>
        <v>0</v>
      </c>
      <c r="L373" s="396">
        <f t="shared" si="53"/>
        <v>0</v>
      </c>
      <c r="M373" s="396">
        <f t="shared" si="54"/>
        <v>0</v>
      </c>
      <c r="N373" s="396">
        <f t="shared" si="55"/>
        <v>0</v>
      </c>
      <c r="O373" s="396">
        <f t="shared" si="56"/>
        <v>0</v>
      </c>
      <c r="P373" s="396">
        <f t="shared" si="59"/>
        <v>0</v>
      </c>
      <c r="Q373" s="397" t="str">
        <f t="shared" si="57"/>
        <v>V</v>
      </c>
      <c r="R373" s="394"/>
      <c r="S373" s="394"/>
      <c r="T373" s="394"/>
      <c r="V373" s="16">
        <f t="shared" si="58"/>
        <v>6512</v>
      </c>
    </row>
    <row r="374" spans="1:22" ht="14.1" customHeight="1">
      <c r="A374" s="377">
        <v>375</v>
      </c>
      <c r="B374" s="622" t="s">
        <v>595</v>
      </c>
      <c r="C374" s="618" t="s">
        <v>669</v>
      </c>
      <c r="D374" s="619" t="s">
        <v>596</v>
      </c>
      <c r="E374" s="622" t="s">
        <v>398</v>
      </c>
      <c r="F374" s="621" t="str">
        <f t="shared" si="50"/>
        <v>Gangen en hallen</v>
      </c>
      <c r="G374" s="622" t="s">
        <v>599</v>
      </c>
      <c r="H374" s="623">
        <v>96.32</v>
      </c>
      <c r="I374" s="635">
        <v>3200</v>
      </c>
      <c r="J374" s="395">
        <f t="shared" si="51"/>
        <v>200</v>
      </c>
      <c r="K374" s="396">
        <f t="shared" si="52"/>
        <v>0</v>
      </c>
      <c r="L374" s="396">
        <f t="shared" si="53"/>
        <v>0</v>
      </c>
      <c r="M374" s="396">
        <f t="shared" si="54"/>
        <v>0</v>
      </c>
      <c r="N374" s="396">
        <f t="shared" si="55"/>
        <v>0</v>
      </c>
      <c r="O374" s="396">
        <f t="shared" si="56"/>
        <v>0</v>
      </c>
      <c r="P374" s="396">
        <f t="shared" si="59"/>
        <v>0</v>
      </c>
      <c r="Q374" s="397" t="str">
        <f t="shared" si="57"/>
        <v>V</v>
      </c>
      <c r="R374" s="394"/>
      <c r="S374" s="394"/>
      <c r="T374" s="394"/>
      <c r="V374" s="16">
        <f t="shared" si="58"/>
        <v>19264</v>
      </c>
    </row>
    <row r="375" spans="1:22" ht="14.1" customHeight="1">
      <c r="A375" s="377">
        <v>376</v>
      </c>
      <c r="B375" s="622" t="s">
        <v>595</v>
      </c>
      <c r="C375" s="618" t="s">
        <v>669</v>
      </c>
      <c r="D375" s="619" t="s">
        <v>670</v>
      </c>
      <c r="E375" s="622" t="s">
        <v>526</v>
      </c>
      <c r="F375" s="621" t="str">
        <f t="shared" si="50"/>
        <v>Leslokalen</v>
      </c>
      <c r="G375" s="622" t="s">
        <v>599</v>
      </c>
      <c r="H375" s="623">
        <v>49</v>
      </c>
      <c r="I375" s="635">
        <v>13120</v>
      </c>
      <c r="J375" s="395">
        <f t="shared" si="51"/>
        <v>120</v>
      </c>
      <c r="K375" s="396">
        <f t="shared" si="52"/>
        <v>0</v>
      </c>
      <c r="L375" s="396">
        <f t="shared" si="53"/>
        <v>0</v>
      </c>
      <c r="M375" s="396">
        <f t="shared" si="54"/>
        <v>0</v>
      </c>
      <c r="N375" s="396">
        <f t="shared" si="55"/>
        <v>0</v>
      </c>
      <c r="O375" s="396">
        <f t="shared" si="56"/>
        <v>0</v>
      </c>
      <c r="P375" s="396">
        <f t="shared" si="59"/>
        <v>0</v>
      </c>
      <c r="Q375" s="397" t="str">
        <f t="shared" si="57"/>
        <v>L</v>
      </c>
      <c r="R375" s="394"/>
      <c r="S375" s="394"/>
      <c r="T375" s="394"/>
      <c r="V375" s="16">
        <f t="shared" si="58"/>
        <v>5880</v>
      </c>
    </row>
    <row r="376" spans="1:22" ht="14.1" customHeight="1">
      <c r="A376" s="377">
        <v>377</v>
      </c>
      <c r="B376" s="622" t="s">
        <v>595</v>
      </c>
      <c r="C376" s="618" t="s">
        <v>669</v>
      </c>
      <c r="D376" s="619" t="s">
        <v>671</v>
      </c>
      <c r="E376" s="622" t="s">
        <v>526</v>
      </c>
      <c r="F376" s="621" t="str">
        <f t="shared" si="50"/>
        <v>Leslokalen</v>
      </c>
      <c r="G376" s="622" t="s">
        <v>599</v>
      </c>
      <c r="H376" s="623">
        <v>49</v>
      </c>
      <c r="I376" s="635">
        <v>13120</v>
      </c>
      <c r="J376" s="395">
        <f t="shared" si="51"/>
        <v>120</v>
      </c>
      <c r="K376" s="396">
        <f t="shared" si="52"/>
        <v>0</v>
      </c>
      <c r="L376" s="396">
        <f t="shared" si="53"/>
        <v>0</v>
      </c>
      <c r="M376" s="396">
        <f t="shared" si="54"/>
        <v>0</v>
      </c>
      <c r="N376" s="396">
        <f t="shared" si="55"/>
        <v>0</v>
      </c>
      <c r="O376" s="396">
        <f t="shared" si="56"/>
        <v>0</v>
      </c>
      <c r="P376" s="396">
        <f t="shared" si="59"/>
        <v>0</v>
      </c>
      <c r="Q376" s="397" t="str">
        <f t="shared" si="57"/>
        <v>L</v>
      </c>
      <c r="R376" s="394"/>
      <c r="S376" s="394"/>
      <c r="T376" s="394"/>
      <c r="V376" s="16">
        <f t="shared" si="58"/>
        <v>5880</v>
      </c>
    </row>
    <row r="377" spans="1:22" ht="14.1" customHeight="1">
      <c r="A377" s="377">
        <v>378</v>
      </c>
      <c r="B377" s="622" t="s">
        <v>595</v>
      </c>
      <c r="C377" s="618" t="s">
        <v>669</v>
      </c>
      <c r="D377" s="619" t="s">
        <v>596</v>
      </c>
      <c r="E377" s="622" t="s">
        <v>200</v>
      </c>
      <c r="F377" s="621" t="str">
        <f t="shared" si="50"/>
        <v>Administratieve ruimten</v>
      </c>
      <c r="G377" s="622" t="s">
        <v>465</v>
      </c>
      <c r="H377" s="623">
        <v>12.75</v>
      </c>
      <c r="I377" s="635">
        <v>1126</v>
      </c>
      <c r="J377" s="395">
        <f t="shared" si="51"/>
        <v>126</v>
      </c>
      <c r="K377" s="396">
        <f t="shared" si="52"/>
        <v>0</v>
      </c>
      <c r="L377" s="396">
        <f t="shared" si="53"/>
        <v>0</v>
      </c>
      <c r="M377" s="396">
        <f t="shared" si="54"/>
        <v>0</v>
      </c>
      <c r="N377" s="396">
        <f t="shared" si="55"/>
        <v>0</v>
      </c>
      <c r="O377" s="396">
        <f t="shared" si="56"/>
        <v>0</v>
      </c>
      <c r="P377" s="396">
        <f t="shared" si="59"/>
        <v>0</v>
      </c>
      <c r="Q377" s="397" t="str">
        <f t="shared" si="57"/>
        <v>B</v>
      </c>
      <c r="R377" s="394"/>
      <c r="S377" s="394"/>
      <c r="T377" s="394"/>
      <c r="V377" s="16">
        <f t="shared" si="58"/>
        <v>1606.5</v>
      </c>
    </row>
    <row r="378" spans="1:22" ht="14.1" customHeight="1">
      <c r="A378" s="377">
        <v>379</v>
      </c>
      <c r="B378" s="622" t="s">
        <v>595</v>
      </c>
      <c r="C378" s="618" t="s">
        <v>669</v>
      </c>
      <c r="D378" s="619" t="s">
        <v>596</v>
      </c>
      <c r="E378" s="622" t="s">
        <v>672</v>
      </c>
      <c r="F378" s="621" t="str">
        <f t="shared" si="50"/>
        <v>Niet van toepassing</v>
      </c>
      <c r="G378" s="622" t="s">
        <v>377</v>
      </c>
      <c r="H378" s="623">
        <v>1.56</v>
      </c>
      <c r="I378" s="635" t="s">
        <v>229</v>
      </c>
      <c r="J378" s="395">
        <f t="shared" si="51"/>
        <v>0</v>
      </c>
      <c r="K378" s="396">
        <f t="shared" si="52"/>
        <v>0</v>
      </c>
      <c r="L378" s="396">
        <f t="shared" si="53"/>
        <v>0</v>
      </c>
      <c r="M378" s="396">
        <f t="shared" si="54"/>
        <v>0</v>
      </c>
      <c r="N378" s="396">
        <f t="shared" si="55"/>
        <v>0</v>
      </c>
      <c r="O378" s="396">
        <f t="shared" si="56"/>
        <v>0</v>
      </c>
      <c r="P378" s="396">
        <f t="shared" si="59"/>
        <v>0</v>
      </c>
      <c r="Q378" s="397">
        <f t="shared" si="57"/>
        <v>0</v>
      </c>
      <c r="R378" s="394"/>
      <c r="S378" s="394"/>
      <c r="T378" s="394"/>
      <c r="V378" s="16">
        <f t="shared" si="58"/>
        <v>0</v>
      </c>
    </row>
    <row r="379" spans="1:22" ht="14.1" customHeight="1">
      <c r="A379" s="377">
        <v>380</v>
      </c>
      <c r="B379" s="622" t="s">
        <v>595</v>
      </c>
      <c r="C379" s="618" t="s">
        <v>669</v>
      </c>
      <c r="D379" s="619" t="s">
        <v>673</v>
      </c>
      <c r="E379" s="622" t="s">
        <v>526</v>
      </c>
      <c r="F379" s="621" t="str">
        <f t="shared" si="50"/>
        <v>Leslokalen</v>
      </c>
      <c r="G379" s="622" t="s">
        <v>599</v>
      </c>
      <c r="H379" s="623">
        <v>49</v>
      </c>
      <c r="I379" s="635">
        <v>13120</v>
      </c>
      <c r="J379" s="395">
        <f t="shared" si="51"/>
        <v>120</v>
      </c>
      <c r="K379" s="396">
        <f t="shared" si="52"/>
        <v>0</v>
      </c>
      <c r="L379" s="396">
        <f t="shared" si="53"/>
        <v>0</v>
      </c>
      <c r="M379" s="396">
        <f t="shared" si="54"/>
        <v>0</v>
      </c>
      <c r="N379" s="396">
        <f t="shared" si="55"/>
        <v>0</v>
      </c>
      <c r="O379" s="396">
        <f t="shared" si="56"/>
        <v>0</v>
      </c>
      <c r="P379" s="396">
        <f t="shared" si="59"/>
        <v>0</v>
      </c>
      <c r="Q379" s="397" t="str">
        <f t="shared" si="57"/>
        <v>L</v>
      </c>
      <c r="R379" s="394"/>
      <c r="S379" s="394"/>
      <c r="T379" s="394"/>
      <c r="V379" s="16">
        <f t="shared" si="58"/>
        <v>5880</v>
      </c>
    </row>
    <row r="380" spans="1:22" ht="14.1" customHeight="1">
      <c r="A380" s="377">
        <v>381</v>
      </c>
      <c r="B380" s="622" t="s">
        <v>595</v>
      </c>
      <c r="C380" s="618" t="s">
        <v>669</v>
      </c>
      <c r="D380" s="619" t="s">
        <v>674</v>
      </c>
      <c r="E380" s="622" t="s">
        <v>526</v>
      </c>
      <c r="F380" s="621" t="str">
        <f t="shared" si="50"/>
        <v>Leslokalen</v>
      </c>
      <c r="G380" s="622" t="s">
        <v>599</v>
      </c>
      <c r="H380" s="623">
        <v>49</v>
      </c>
      <c r="I380" s="635">
        <v>13120</v>
      </c>
      <c r="J380" s="395">
        <f t="shared" si="51"/>
        <v>120</v>
      </c>
      <c r="K380" s="396">
        <f t="shared" si="52"/>
        <v>0</v>
      </c>
      <c r="L380" s="396">
        <f t="shared" si="53"/>
        <v>0</v>
      </c>
      <c r="M380" s="396">
        <f t="shared" si="54"/>
        <v>0</v>
      </c>
      <c r="N380" s="396">
        <f t="shared" si="55"/>
        <v>0</v>
      </c>
      <c r="O380" s="396">
        <f t="shared" si="56"/>
        <v>0</v>
      </c>
      <c r="P380" s="396">
        <f t="shared" si="59"/>
        <v>0</v>
      </c>
      <c r="Q380" s="397" t="str">
        <f t="shared" si="57"/>
        <v>L</v>
      </c>
      <c r="R380" s="394"/>
      <c r="S380" s="394"/>
      <c r="T380" s="394"/>
      <c r="V380" s="16">
        <f t="shared" si="58"/>
        <v>5880</v>
      </c>
    </row>
    <row r="381" spans="1:22" ht="14.1" customHeight="1">
      <c r="A381" s="377">
        <v>382</v>
      </c>
      <c r="B381" s="622" t="s">
        <v>595</v>
      </c>
      <c r="C381" s="618" t="s">
        <v>669</v>
      </c>
      <c r="D381" s="619" t="s">
        <v>596</v>
      </c>
      <c r="E381" s="622" t="s">
        <v>398</v>
      </c>
      <c r="F381" s="621" t="str">
        <f t="shared" si="50"/>
        <v>Gangen en hallen</v>
      </c>
      <c r="G381" s="622" t="s">
        <v>599</v>
      </c>
      <c r="H381" s="623">
        <v>36.479999999999997</v>
      </c>
      <c r="I381" s="635">
        <v>3200</v>
      </c>
      <c r="J381" s="395">
        <f t="shared" si="51"/>
        <v>200</v>
      </c>
      <c r="K381" s="396">
        <f t="shared" si="52"/>
        <v>0</v>
      </c>
      <c r="L381" s="396">
        <f t="shared" si="53"/>
        <v>0</v>
      </c>
      <c r="M381" s="396">
        <f t="shared" si="54"/>
        <v>0</v>
      </c>
      <c r="N381" s="396">
        <f t="shared" si="55"/>
        <v>0</v>
      </c>
      <c r="O381" s="396">
        <f t="shared" si="56"/>
        <v>0</v>
      </c>
      <c r="P381" s="396">
        <f t="shared" si="59"/>
        <v>0</v>
      </c>
      <c r="Q381" s="397" t="str">
        <f t="shared" si="57"/>
        <v>V</v>
      </c>
      <c r="R381" s="394"/>
      <c r="S381" s="394"/>
      <c r="T381" s="394"/>
      <c r="V381" s="16">
        <f t="shared" si="58"/>
        <v>7295.9999999999991</v>
      </c>
    </row>
    <row r="382" spans="1:22" ht="14.1" customHeight="1">
      <c r="A382" s="377">
        <v>383</v>
      </c>
      <c r="B382" s="622" t="s">
        <v>595</v>
      </c>
      <c r="C382" s="618" t="s">
        <v>669</v>
      </c>
      <c r="D382" s="619" t="s">
        <v>596</v>
      </c>
      <c r="E382" s="622" t="s">
        <v>423</v>
      </c>
      <c r="F382" s="621" t="str">
        <f t="shared" si="50"/>
        <v>Sanitaire ruimten</v>
      </c>
      <c r="G382" s="622" t="s">
        <v>377</v>
      </c>
      <c r="H382" s="623">
        <v>12.81</v>
      </c>
      <c r="I382" s="635">
        <v>2200</v>
      </c>
      <c r="J382" s="395">
        <f t="shared" si="51"/>
        <v>200</v>
      </c>
      <c r="K382" s="396">
        <f t="shared" si="52"/>
        <v>0</v>
      </c>
      <c r="L382" s="396">
        <f t="shared" si="53"/>
        <v>0</v>
      </c>
      <c r="M382" s="396">
        <f t="shared" si="54"/>
        <v>0</v>
      </c>
      <c r="N382" s="396">
        <f t="shared" si="55"/>
        <v>0</v>
      </c>
      <c r="O382" s="396">
        <f t="shared" si="56"/>
        <v>0</v>
      </c>
      <c r="P382" s="396">
        <f t="shared" si="59"/>
        <v>0</v>
      </c>
      <c r="Q382" s="397" t="str">
        <f t="shared" si="57"/>
        <v>S</v>
      </c>
      <c r="R382" s="394"/>
      <c r="S382" s="394"/>
      <c r="T382" s="394"/>
      <c r="V382" s="16">
        <f t="shared" si="58"/>
        <v>2562</v>
      </c>
    </row>
    <row r="383" spans="1:22" ht="14.1" customHeight="1">
      <c r="A383" s="377">
        <v>384</v>
      </c>
      <c r="B383" s="622" t="s">
        <v>595</v>
      </c>
      <c r="C383" s="618" t="s">
        <v>669</v>
      </c>
      <c r="D383" s="619" t="s">
        <v>596</v>
      </c>
      <c r="E383" s="622" t="s">
        <v>423</v>
      </c>
      <c r="F383" s="621" t="str">
        <f t="shared" si="50"/>
        <v>Sanitaire ruimten</v>
      </c>
      <c r="G383" s="622" t="s">
        <v>377</v>
      </c>
      <c r="H383" s="623">
        <v>3</v>
      </c>
      <c r="I383" s="635">
        <v>2200</v>
      </c>
      <c r="J383" s="395">
        <f t="shared" si="51"/>
        <v>200</v>
      </c>
      <c r="K383" s="396">
        <f t="shared" si="52"/>
        <v>0</v>
      </c>
      <c r="L383" s="396">
        <f t="shared" si="53"/>
        <v>0</v>
      </c>
      <c r="M383" s="396">
        <f t="shared" si="54"/>
        <v>0</v>
      </c>
      <c r="N383" s="396">
        <f t="shared" si="55"/>
        <v>0</v>
      </c>
      <c r="O383" s="396">
        <f t="shared" si="56"/>
        <v>0</v>
      </c>
      <c r="P383" s="396">
        <f t="shared" si="59"/>
        <v>0</v>
      </c>
      <c r="Q383" s="397" t="str">
        <f t="shared" si="57"/>
        <v>S</v>
      </c>
      <c r="R383" s="394"/>
      <c r="S383" s="394"/>
      <c r="T383" s="394"/>
      <c r="V383" s="16">
        <f t="shared" si="58"/>
        <v>600</v>
      </c>
    </row>
    <row r="384" spans="1:22" ht="14.1" customHeight="1">
      <c r="A384" s="377">
        <v>385</v>
      </c>
      <c r="B384" s="622" t="s">
        <v>595</v>
      </c>
      <c r="C384" s="618" t="s">
        <v>669</v>
      </c>
      <c r="D384" s="619" t="s">
        <v>675</v>
      </c>
      <c r="E384" s="622" t="s">
        <v>526</v>
      </c>
      <c r="F384" s="621" t="str">
        <f t="shared" si="50"/>
        <v>Leslokalen</v>
      </c>
      <c r="G384" s="622" t="s">
        <v>599</v>
      </c>
      <c r="H384" s="623">
        <v>49</v>
      </c>
      <c r="I384" s="635">
        <v>13120</v>
      </c>
      <c r="J384" s="395">
        <f t="shared" si="51"/>
        <v>120</v>
      </c>
      <c r="K384" s="396">
        <f t="shared" si="52"/>
        <v>0</v>
      </c>
      <c r="L384" s="396">
        <f t="shared" si="53"/>
        <v>0</v>
      </c>
      <c r="M384" s="396">
        <f t="shared" si="54"/>
        <v>0</v>
      </c>
      <c r="N384" s="396">
        <f t="shared" si="55"/>
        <v>0</v>
      </c>
      <c r="O384" s="396">
        <f t="shared" si="56"/>
        <v>0</v>
      </c>
      <c r="P384" s="396">
        <f t="shared" si="59"/>
        <v>0</v>
      </c>
      <c r="Q384" s="397" t="str">
        <f t="shared" si="57"/>
        <v>L</v>
      </c>
      <c r="R384" s="394"/>
      <c r="S384" s="394"/>
      <c r="T384" s="394"/>
      <c r="V384" s="16">
        <f t="shared" si="58"/>
        <v>5880</v>
      </c>
    </row>
    <row r="385" spans="1:22" ht="14.1" customHeight="1">
      <c r="A385" s="377">
        <v>386</v>
      </c>
      <c r="B385" s="622" t="s">
        <v>595</v>
      </c>
      <c r="C385" s="618" t="s">
        <v>669</v>
      </c>
      <c r="D385" s="619" t="s">
        <v>596</v>
      </c>
      <c r="E385" s="622" t="s">
        <v>489</v>
      </c>
      <c r="F385" s="621" t="str">
        <f t="shared" si="50"/>
        <v>Trappenhuizen</v>
      </c>
      <c r="G385" s="622" t="s">
        <v>599</v>
      </c>
      <c r="H385" s="623">
        <v>10.5</v>
      </c>
      <c r="I385" s="635">
        <v>5200</v>
      </c>
      <c r="J385" s="395">
        <f t="shared" si="51"/>
        <v>200</v>
      </c>
      <c r="K385" s="396">
        <f t="shared" si="52"/>
        <v>0</v>
      </c>
      <c r="L385" s="396">
        <f t="shared" si="53"/>
        <v>0</v>
      </c>
      <c r="M385" s="396">
        <f t="shared" si="54"/>
        <v>0</v>
      </c>
      <c r="N385" s="396">
        <f t="shared" si="55"/>
        <v>0</v>
      </c>
      <c r="O385" s="396">
        <f t="shared" si="56"/>
        <v>0</v>
      </c>
      <c r="P385" s="396">
        <f t="shared" si="59"/>
        <v>0</v>
      </c>
      <c r="Q385" s="397" t="str">
        <f t="shared" si="57"/>
        <v>V</v>
      </c>
      <c r="R385" s="394"/>
      <c r="S385" s="394"/>
      <c r="T385" s="394"/>
      <c r="V385" s="16">
        <f t="shared" si="58"/>
        <v>2100</v>
      </c>
    </row>
    <row r="386" spans="1:22" ht="14.1" customHeight="1">
      <c r="A386" s="377">
        <v>387</v>
      </c>
      <c r="B386" s="622" t="s">
        <v>595</v>
      </c>
      <c r="C386" s="618" t="s">
        <v>669</v>
      </c>
      <c r="D386" s="619" t="s">
        <v>596</v>
      </c>
      <c r="E386" s="622" t="s">
        <v>398</v>
      </c>
      <c r="F386" s="621" t="str">
        <f t="shared" si="50"/>
        <v>Gangen en hallen</v>
      </c>
      <c r="G386" s="622" t="s">
        <v>599</v>
      </c>
      <c r="H386" s="623">
        <v>19.190000000000001</v>
      </c>
      <c r="I386" s="635">
        <v>3200</v>
      </c>
      <c r="J386" s="395">
        <f t="shared" si="51"/>
        <v>200</v>
      </c>
      <c r="K386" s="396">
        <f t="shared" si="52"/>
        <v>0</v>
      </c>
      <c r="L386" s="396">
        <f t="shared" si="53"/>
        <v>0</v>
      </c>
      <c r="M386" s="396">
        <f t="shared" si="54"/>
        <v>0</v>
      </c>
      <c r="N386" s="396">
        <f t="shared" si="55"/>
        <v>0</v>
      </c>
      <c r="O386" s="396">
        <f t="shared" si="56"/>
        <v>0</v>
      </c>
      <c r="P386" s="396">
        <f t="shared" si="59"/>
        <v>0</v>
      </c>
      <c r="Q386" s="397" t="str">
        <f t="shared" si="57"/>
        <v>V</v>
      </c>
      <c r="R386" s="394"/>
      <c r="S386" s="394"/>
      <c r="T386" s="394"/>
      <c r="V386" s="16">
        <f t="shared" si="58"/>
        <v>3838.0000000000005</v>
      </c>
    </row>
    <row r="387" spans="1:22" ht="14.1" customHeight="1">
      <c r="A387" s="377">
        <v>388</v>
      </c>
      <c r="B387" s="622" t="s">
        <v>595</v>
      </c>
      <c r="C387" s="618" t="s">
        <v>669</v>
      </c>
      <c r="D387" s="619" t="s">
        <v>596</v>
      </c>
      <c r="E387" s="622" t="s">
        <v>423</v>
      </c>
      <c r="F387" s="621" t="str">
        <f t="shared" si="50"/>
        <v>Sanitaire ruimten</v>
      </c>
      <c r="G387" s="622" t="s">
        <v>377</v>
      </c>
      <c r="H387" s="623">
        <v>14.7</v>
      </c>
      <c r="I387" s="635">
        <v>2200</v>
      </c>
      <c r="J387" s="395">
        <f t="shared" si="51"/>
        <v>200</v>
      </c>
      <c r="K387" s="396">
        <f t="shared" si="52"/>
        <v>0</v>
      </c>
      <c r="L387" s="396">
        <f t="shared" si="53"/>
        <v>0</v>
      </c>
      <c r="M387" s="396">
        <f t="shared" si="54"/>
        <v>0</v>
      </c>
      <c r="N387" s="396">
        <f t="shared" si="55"/>
        <v>0</v>
      </c>
      <c r="O387" s="396">
        <f t="shared" si="56"/>
        <v>0</v>
      </c>
      <c r="P387" s="396">
        <f t="shared" si="59"/>
        <v>0</v>
      </c>
      <c r="Q387" s="397" t="str">
        <f t="shared" si="57"/>
        <v>S</v>
      </c>
      <c r="R387" s="394"/>
      <c r="S387" s="394"/>
      <c r="T387" s="394"/>
      <c r="V387" s="16">
        <f t="shared" si="58"/>
        <v>2940</v>
      </c>
    </row>
    <row r="388" spans="1:22" ht="14.1" customHeight="1">
      <c r="A388" s="377">
        <v>389</v>
      </c>
      <c r="B388" s="622" t="s">
        <v>595</v>
      </c>
      <c r="C388" s="618" t="s">
        <v>669</v>
      </c>
      <c r="D388" s="619" t="s">
        <v>596</v>
      </c>
      <c r="E388" s="622" t="s">
        <v>398</v>
      </c>
      <c r="F388" s="621" t="str">
        <f t="shared" si="50"/>
        <v>Gangen en hallen</v>
      </c>
      <c r="G388" s="622" t="s">
        <v>599</v>
      </c>
      <c r="H388" s="623">
        <v>4.6500000000000004</v>
      </c>
      <c r="I388" s="635">
        <v>3200</v>
      </c>
      <c r="J388" s="395">
        <f t="shared" si="51"/>
        <v>200</v>
      </c>
      <c r="K388" s="396">
        <f t="shared" si="52"/>
        <v>0</v>
      </c>
      <c r="L388" s="396">
        <f t="shared" si="53"/>
        <v>0</v>
      </c>
      <c r="M388" s="396">
        <f t="shared" si="54"/>
        <v>0</v>
      </c>
      <c r="N388" s="396">
        <f t="shared" si="55"/>
        <v>0</v>
      </c>
      <c r="O388" s="396">
        <f t="shared" si="56"/>
        <v>0</v>
      </c>
      <c r="P388" s="396">
        <f t="shared" si="59"/>
        <v>0</v>
      </c>
      <c r="Q388" s="397" t="str">
        <f t="shared" si="57"/>
        <v>V</v>
      </c>
      <c r="R388" s="394"/>
      <c r="S388" s="394"/>
      <c r="T388" s="394"/>
      <c r="V388" s="16">
        <f t="shared" si="58"/>
        <v>930.00000000000011</v>
      </c>
    </row>
    <row r="389" spans="1:22" ht="14.1" customHeight="1">
      <c r="A389" s="377">
        <v>390</v>
      </c>
      <c r="B389" s="622" t="s">
        <v>595</v>
      </c>
      <c r="C389" s="618" t="s">
        <v>669</v>
      </c>
      <c r="D389" s="619" t="s">
        <v>676</v>
      </c>
      <c r="E389" s="622" t="s">
        <v>200</v>
      </c>
      <c r="F389" s="621" t="str">
        <f t="shared" si="50"/>
        <v>Administratieve ruimten</v>
      </c>
      <c r="G389" s="622" t="s">
        <v>599</v>
      </c>
      <c r="H389" s="623">
        <v>14.26</v>
      </c>
      <c r="I389" s="635">
        <v>1126</v>
      </c>
      <c r="J389" s="395">
        <f t="shared" si="51"/>
        <v>126</v>
      </c>
      <c r="K389" s="396">
        <f t="shared" si="52"/>
        <v>0</v>
      </c>
      <c r="L389" s="396">
        <f t="shared" si="53"/>
        <v>0</v>
      </c>
      <c r="M389" s="396">
        <f t="shared" si="54"/>
        <v>0</v>
      </c>
      <c r="N389" s="396">
        <f t="shared" si="55"/>
        <v>0</v>
      </c>
      <c r="O389" s="396">
        <f t="shared" si="56"/>
        <v>0</v>
      </c>
      <c r="P389" s="396">
        <f t="shared" si="59"/>
        <v>0</v>
      </c>
      <c r="Q389" s="397" t="str">
        <f t="shared" si="57"/>
        <v>B</v>
      </c>
      <c r="R389" s="394"/>
      <c r="S389" s="394"/>
      <c r="T389" s="394"/>
      <c r="V389" s="16">
        <f t="shared" si="58"/>
        <v>1796.76</v>
      </c>
    </row>
    <row r="390" spans="1:22" ht="14.1" customHeight="1">
      <c r="A390" s="377">
        <v>391</v>
      </c>
      <c r="B390" s="622" t="s">
        <v>595</v>
      </c>
      <c r="C390" s="618" t="s">
        <v>669</v>
      </c>
      <c r="D390" s="619" t="s">
        <v>596</v>
      </c>
      <c r="E390" s="622" t="s">
        <v>606</v>
      </c>
      <c r="F390" s="621" t="str">
        <f t="shared" si="50"/>
        <v>Kleedruimten</v>
      </c>
      <c r="G390" s="622" t="s">
        <v>377</v>
      </c>
      <c r="H390" s="623">
        <v>21.7</v>
      </c>
      <c r="I390" s="635">
        <v>11200</v>
      </c>
      <c r="J390" s="395">
        <f t="shared" si="51"/>
        <v>200</v>
      </c>
      <c r="K390" s="396">
        <f t="shared" si="52"/>
        <v>0</v>
      </c>
      <c r="L390" s="396">
        <f t="shared" si="53"/>
        <v>0</v>
      </c>
      <c r="M390" s="396">
        <f t="shared" si="54"/>
        <v>0</v>
      </c>
      <c r="N390" s="396">
        <f t="shared" si="55"/>
        <v>0</v>
      </c>
      <c r="O390" s="396">
        <f t="shared" si="56"/>
        <v>0</v>
      </c>
      <c r="P390" s="396">
        <f t="shared" si="59"/>
        <v>0</v>
      </c>
      <c r="Q390" s="397" t="str">
        <f t="shared" si="57"/>
        <v>V</v>
      </c>
      <c r="R390" s="394"/>
      <c r="S390" s="394"/>
      <c r="T390" s="394"/>
      <c r="V390" s="16">
        <f t="shared" si="58"/>
        <v>4340</v>
      </c>
    </row>
    <row r="391" spans="1:22" ht="14.1" customHeight="1">
      <c r="A391" s="377">
        <v>392</v>
      </c>
      <c r="B391" s="622" t="s">
        <v>595</v>
      </c>
      <c r="C391" s="618" t="s">
        <v>669</v>
      </c>
      <c r="D391" s="619" t="s">
        <v>596</v>
      </c>
      <c r="E391" s="622" t="s">
        <v>527</v>
      </c>
      <c r="F391" s="621" t="str">
        <f t="shared" si="50"/>
        <v>Sanitaire ruimten</v>
      </c>
      <c r="G391" s="622" t="s">
        <v>377</v>
      </c>
      <c r="H391" s="623">
        <v>15.9</v>
      </c>
      <c r="I391" s="635">
        <v>2200</v>
      </c>
      <c r="J391" s="395">
        <f t="shared" si="51"/>
        <v>200</v>
      </c>
      <c r="K391" s="396">
        <f t="shared" si="52"/>
        <v>0</v>
      </c>
      <c r="L391" s="396">
        <f t="shared" si="53"/>
        <v>0</v>
      </c>
      <c r="M391" s="396">
        <f t="shared" si="54"/>
        <v>0</v>
      </c>
      <c r="N391" s="396">
        <f t="shared" si="55"/>
        <v>0</v>
      </c>
      <c r="O391" s="396">
        <f t="shared" si="56"/>
        <v>0</v>
      </c>
      <c r="P391" s="396">
        <f t="shared" si="59"/>
        <v>0</v>
      </c>
      <c r="Q391" s="397" t="str">
        <f t="shared" si="57"/>
        <v>S</v>
      </c>
      <c r="R391" s="394"/>
      <c r="S391" s="394"/>
      <c r="T391" s="394"/>
      <c r="V391" s="16">
        <f t="shared" si="58"/>
        <v>3180</v>
      </c>
    </row>
    <row r="392" spans="1:22" ht="14.1" customHeight="1">
      <c r="A392" s="377">
        <v>393</v>
      </c>
      <c r="B392" s="622" t="s">
        <v>595</v>
      </c>
      <c r="C392" s="618" t="s">
        <v>669</v>
      </c>
      <c r="D392" s="619" t="s">
        <v>596</v>
      </c>
      <c r="E392" s="622" t="s">
        <v>606</v>
      </c>
      <c r="F392" s="621" t="str">
        <f t="shared" si="50"/>
        <v>Kleedruimten</v>
      </c>
      <c r="G392" s="622" t="s">
        <v>377</v>
      </c>
      <c r="H392" s="623">
        <v>18</v>
      </c>
      <c r="I392" s="635">
        <v>11200</v>
      </c>
      <c r="J392" s="395">
        <f t="shared" si="51"/>
        <v>200</v>
      </c>
      <c r="K392" s="396">
        <f t="shared" si="52"/>
        <v>0</v>
      </c>
      <c r="L392" s="396">
        <f t="shared" si="53"/>
        <v>0</v>
      </c>
      <c r="M392" s="396">
        <f t="shared" si="54"/>
        <v>0</v>
      </c>
      <c r="N392" s="396">
        <f t="shared" si="55"/>
        <v>0</v>
      </c>
      <c r="O392" s="396">
        <f t="shared" si="56"/>
        <v>0</v>
      </c>
      <c r="P392" s="396">
        <f t="shared" si="59"/>
        <v>0</v>
      </c>
      <c r="Q392" s="397" t="str">
        <f t="shared" si="57"/>
        <v>V</v>
      </c>
      <c r="R392" s="394"/>
      <c r="S392" s="394"/>
      <c r="T392" s="394"/>
      <c r="V392" s="16">
        <f t="shared" si="58"/>
        <v>3600</v>
      </c>
    </row>
    <row r="393" spans="1:22" ht="14.1" customHeight="1">
      <c r="A393" s="377">
        <v>394</v>
      </c>
      <c r="B393" s="622" t="s">
        <v>595</v>
      </c>
      <c r="C393" s="618" t="s">
        <v>669</v>
      </c>
      <c r="D393" s="619" t="s">
        <v>596</v>
      </c>
      <c r="E393" s="622" t="s">
        <v>527</v>
      </c>
      <c r="F393" s="621" t="str">
        <f t="shared" ref="F393:F458" si="60">IF($I393="",0,VLOOKUP($I393,Kengetal,3,FALSE))</f>
        <v>Sanitaire ruimten</v>
      </c>
      <c r="G393" s="622" t="s">
        <v>377</v>
      </c>
      <c r="H393" s="623">
        <v>33.6</v>
      </c>
      <c r="I393" s="635">
        <v>2200</v>
      </c>
      <c r="J393" s="395">
        <f t="shared" ref="J393:J456" si="61">SUM(IF(I393="",0,VLOOKUP(I393,Kengetal,2)))</f>
        <v>200</v>
      </c>
      <c r="K393" s="396">
        <f t="shared" ref="K393:K458" si="62">N393*H393</f>
        <v>0</v>
      </c>
      <c r="L393" s="396">
        <f t="shared" ref="L393:L458" si="63">O393*H393</f>
        <v>0</v>
      </c>
      <c r="M393" s="396">
        <f t="shared" ref="M393:M458" si="64">P393*H393</f>
        <v>0</v>
      </c>
      <c r="N393" s="396">
        <f t="shared" ref="N393:N456" si="65">IF($I393="",0,VLOOKUP($I393,Kengetal,5,FALSE))</f>
        <v>0</v>
      </c>
      <c r="O393" s="396">
        <f t="shared" ref="O393:O456" si="66">IF($I393="",0,VLOOKUP($I393,Kengetal,6,FALSE))</f>
        <v>0</v>
      </c>
      <c r="P393" s="396">
        <f t="shared" si="59"/>
        <v>0</v>
      </c>
      <c r="Q393" s="397" t="str">
        <f t="shared" ref="Q393:Q456" si="67">IF(I393="","",VLOOKUP(I393,Kengetal,12,FALSE))</f>
        <v>S</v>
      </c>
      <c r="R393" s="394"/>
      <c r="S393" s="394"/>
      <c r="T393" s="394"/>
      <c r="V393" s="16">
        <f t="shared" ref="V393:V458" si="68">H393*J393</f>
        <v>6720</v>
      </c>
    </row>
    <row r="394" spans="1:22" ht="14.1" customHeight="1">
      <c r="A394" s="377">
        <v>395</v>
      </c>
      <c r="B394" s="622" t="s">
        <v>595</v>
      </c>
      <c r="C394" s="618" t="s">
        <v>669</v>
      </c>
      <c r="D394" s="619" t="s">
        <v>596</v>
      </c>
      <c r="E394" s="622" t="s">
        <v>607</v>
      </c>
      <c r="F394" s="621" t="str">
        <f t="shared" si="60"/>
        <v>Administratieve ruimten</v>
      </c>
      <c r="G394" s="622" t="s">
        <v>599</v>
      </c>
      <c r="H394" s="623">
        <v>7.2</v>
      </c>
      <c r="I394" s="635">
        <v>1200</v>
      </c>
      <c r="J394" s="395">
        <f t="shared" si="61"/>
        <v>200</v>
      </c>
      <c r="K394" s="396">
        <f t="shared" si="62"/>
        <v>0</v>
      </c>
      <c r="L394" s="396">
        <f t="shared" si="63"/>
        <v>0</v>
      </c>
      <c r="M394" s="396">
        <f t="shared" si="64"/>
        <v>0</v>
      </c>
      <c r="N394" s="396">
        <f t="shared" si="65"/>
        <v>0</v>
      </c>
      <c r="O394" s="396">
        <f t="shared" si="66"/>
        <v>0</v>
      </c>
      <c r="P394" s="396">
        <f t="shared" ref="P394:P457" si="69">IF($I394="",0,VLOOKUP($I394,Kengetal,7,FALSE))</f>
        <v>0</v>
      </c>
      <c r="Q394" s="397" t="str">
        <f t="shared" si="67"/>
        <v>B</v>
      </c>
      <c r="R394" s="394"/>
      <c r="S394" s="394"/>
      <c r="T394" s="394"/>
      <c r="V394" s="16">
        <f t="shared" si="68"/>
        <v>1440</v>
      </c>
    </row>
    <row r="395" spans="1:22" ht="14.1" customHeight="1">
      <c r="A395" s="377">
        <v>396</v>
      </c>
      <c r="B395" s="622" t="s">
        <v>595</v>
      </c>
      <c r="C395" s="618" t="s">
        <v>669</v>
      </c>
      <c r="D395" s="619" t="s">
        <v>596</v>
      </c>
      <c r="E395" s="622" t="s">
        <v>608</v>
      </c>
      <c r="F395" s="621" t="str">
        <f t="shared" si="60"/>
        <v>Sportzaal/gymzaal</v>
      </c>
      <c r="G395" s="622" t="s">
        <v>609</v>
      </c>
      <c r="H395" s="623">
        <v>252</v>
      </c>
      <c r="I395" s="635">
        <v>8200</v>
      </c>
      <c r="J395" s="395">
        <f t="shared" si="61"/>
        <v>200</v>
      </c>
      <c r="K395" s="396">
        <f t="shared" si="62"/>
        <v>0</v>
      </c>
      <c r="L395" s="396">
        <f t="shared" si="63"/>
        <v>0</v>
      </c>
      <c r="M395" s="396">
        <f t="shared" si="64"/>
        <v>0</v>
      </c>
      <c r="N395" s="396">
        <f t="shared" si="65"/>
        <v>0</v>
      </c>
      <c r="O395" s="396">
        <f t="shared" si="66"/>
        <v>0</v>
      </c>
      <c r="P395" s="396">
        <f t="shared" si="69"/>
        <v>0</v>
      </c>
      <c r="Q395" s="397" t="str">
        <f t="shared" si="67"/>
        <v>V</v>
      </c>
      <c r="R395" s="394"/>
      <c r="S395" s="394"/>
      <c r="T395" s="394"/>
      <c r="V395" s="16">
        <f t="shared" si="68"/>
        <v>50400</v>
      </c>
    </row>
    <row r="396" spans="1:22" ht="14.1" customHeight="1">
      <c r="A396" s="377">
        <v>397</v>
      </c>
      <c r="B396" s="622" t="s">
        <v>595</v>
      </c>
      <c r="C396" s="618" t="s">
        <v>669</v>
      </c>
      <c r="D396" s="619" t="s">
        <v>596</v>
      </c>
      <c r="E396" s="622" t="s">
        <v>503</v>
      </c>
      <c r="F396" s="621" t="str">
        <f t="shared" si="60"/>
        <v>Opslagruimten</v>
      </c>
      <c r="G396" s="622" t="s">
        <v>609</v>
      </c>
      <c r="H396" s="623">
        <v>31.85</v>
      </c>
      <c r="I396" s="635">
        <v>14012</v>
      </c>
      <c r="J396" s="395">
        <f t="shared" si="61"/>
        <v>12</v>
      </c>
      <c r="K396" s="396">
        <f t="shared" si="62"/>
        <v>0</v>
      </c>
      <c r="L396" s="396">
        <f t="shared" si="63"/>
        <v>0</v>
      </c>
      <c r="M396" s="396">
        <f t="shared" si="64"/>
        <v>0</v>
      </c>
      <c r="N396" s="396">
        <f t="shared" si="65"/>
        <v>0</v>
      </c>
      <c r="O396" s="396">
        <f t="shared" si="66"/>
        <v>0</v>
      </c>
      <c r="P396" s="396">
        <f t="shared" si="69"/>
        <v>0</v>
      </c>
      <c r="Q396" s="397" t="str">
        <f t="shared" si="67"/>
        <v>V</v>
      </c>
      <c r="R396" s="394"/>
      <c r="S396" s="394"/>
      <c r="T396" s="394"/>
      <c r="V396" s="16">
        <f t="shared" si="68"/>
        <v>382.20000000000005</v>
      </c>
    </row>
    <row r="397" spans="1:22" ht="14.1" customHeight="1">
      <c r="A397" s="377">
        <v>398</v>
      </c>
      <c r="B397" s="622" t="s">
        <v>595</v>
      </c>
      <c r="C397" s="618" t="s">
        <v>669</v>
      </c>
      <c r="D397" s="619" t="s">
        <v>596</v>
      </c>
      <c r="E397" s="622" t="s">
        <v>398</v>
      </c>
      <c r="F397" s="621" t="str">
        <f t="shared" si="60"/>
        <v>Gangen en hallen</v>
      </c>
      <c r="G397" s="622" t="s">
        <v>599</v>
      </c>
      <c r="H397" s="623">
        <v>15</v>
      </c>
      <c r="I397" s="635">
        <v>3200</v>
      </c>
      <c r="J397" s="395">
        <f t="shared" si="61"/>
        <v>200</v>
      </c>
      <c r="K397" s="396">
        <f t="shared" si="62"/>
        <v>0</v>
      </c>
      <c r="L397" s="396">
        <f t="shared" si="63"/>
        <v>0</v>
      </c>
      <c r="M397" s="396">
        <f t="shared" si="64"/>
        <v>0</v>
      </c>
      <c r="N397" s="396">
        <f t="shared" si="65"/>
        <v>0</v>
      </c>
      <c r="O397" s="396">
        <f t="shared" si="66"/>
        <v>0</v>
      </c>
      <c r="P397" s="396">
        <f t="shared" si="69"/>
        <v>0</v>
      </c>
      <c r="Q397" s="397" t="str">
        <f t="shared" si="67"/>
        <v>V</v>
      </c>
      <c r="R397" s="394"/>
      <c r="S397" s="394"/>
      <c r="T397" s="394"/>
      <c r="V397" s="16">
        <f t="shared" si="68"/>
        <v>3000</v>
      </c>
    </row>
    <row r="398" spans="1:22" s="70" customFormat="1" ht="14.1" customHeight="1">
      <c r="A398" s="377">
        <v>399</v>
      </c>
      <c r="B398" s="622" t="s">
        <v>595</v>
      </c>
      <c r="C398" s="618" t="s">
        <v>669</v>
      </c>
      <c r="D398" s="619" t="s">
        <v>596</v>
      </c>
      <c r="E398" s="622" t="s">
        <v>489</v>
      </c>
      <c r="F398" s="621" t="str">
        <f t="shared" si="60"/>
        <v>Trappenhuizen</v>
      </c>
      <c r="G398" s="622" t="s">
        <v>550</v>
      </c>
      <c r="H398" s="623">
        <v>10.5</v>
      </c>
      <c r="I398" s="635">
        <v>5200</v>
      </c>
      <c r="J398" s="395">
        <f t="shared" si="61"/>
        <v>200</v>
      </c>
      <c r="K398" s="396">
        <f t="shared" si="62"/>
        <v>0</v>
      </c>
      <c r="L398" s="396">
        <f t="shared" si="63"/>
        <v>0</v>
      </c>
      <c r="M398" s="396">
        <f t="shared" si="64"/>
        <v>0</v>
      </c>
      <c r="N398" s="396">
        <f t="shared" si="65"/>
        <v>0</v>
      </c>
      <c r="O398" s="396">
        <f t="shared" si="66"/>
        <v>0</v>
      </c>
      <c r="P398" s="396">
        <f t="shared" si="69"/>
        <v>0</v>
      </c>
      <c r="Q398" s="397" t="str">
        <f t="shared" si="67"/>
        <v>V</v>
      </c>
      <c r="R398" s="394"/>
      <c r="S398" s="394"/>
      <c r="T398" s="394"/>
      <c r="V398" s="16">
        <f t="shared" si="68"/>
        <v>2100</v>
      </c>
    </row>
    <row r="399" spans="1:22" ht="14.1" customHeight="1">
      <c r="A399" s="377">
        <v>400</v>
      </c>
      <c r="B399" s="622" t="s">
        <v>595</v>
      </c>
      <c r="C399" s="618" t="s">
        <v>669</v>
      </c>
      <c r="D399" s="619" t="s">
        <v>596</v>
      </c>
      <c r="E399" s="622" t="s">
        <v>398</v>
      </c>
      <c r="F399" s="621" t="str">
        <f t="shared" si="60"/>
        <v>Gangen en hallen</v>
      </c>
      <c r="G399" s="622" t="s">
        <v>599</v>
      </c>
      <c r="H399" s="623">
        <v>119.04</v>
      </c>
      <c r="I399" s="635">
        <v>3200</v>
      </c>
      <c r="J399" s="395">
        <f t="shared" si="61"/>
        <v>200</v>
      </c>
      <c r="K399" s="396">
        <f t="shared" si="62"/>
        <v>0</v>
      </c>
      <c r="L399" s="396">
        <f t="shared" si="63"/>
        <v>0</v>
      </c>
      <c r="M399" s="396">
        <f t="shared" si="64"/>
        <v>0</v>
      </c>
      <c r="N399" s="396">
        <f t="shared" si="65"/>
        <v>0</v>
      </c>
      <c r="O399" s="396">
        <f t="shared" si="66"/>
        <v>0</v>
      </c>
      <c r="P399" s="396">
        <f t="shared" si="69"/>
        <v>0</v>
      </c>
      <c r="Q399" s="397" t="str">
        <f t="shared" si="67"/>
        <v>V</v>
      </c>
      <c r="R399" s="394"/>
      <c r="S399" s="394"/>
      <c r="T399" s="394"/>
      <c r="V399" s="16">
        <f t="shared" si="68"/>
        <v>23808</v>
      </c>
    </row>
    <row r="400" spans="1:22" ht="14.1" customHeight="1">
      <c r="A400" s="377">
        <v>401</v>
      </c>
      <c r="B400" s="622" t="s">
        <v>595</v>
      </c>
      <c r="C400" s="618" t="s">
        <v>669</v>
      </c>
      <c r="D400" s="619" t="s">
        <v>677</v>
      </c>
      <c r="E400" s="622" t="s">
        <v>526</v>
      </c>
      <c r="F400" s="621" t="str">
        <f t="shared" si="60"/>
        <v>Leslokalen</v>
      </c>
      <c r="G400" s="622" t="s">
        <v>402</v>
      </c>
      <c r="H400" s="623">
        <v>81.400000000000006</v>
      </c>
      <c r="I400" s="635">
        <v>13120</v>
      </c>
      <c r="J400" s="395">
        <f t="shared" si="61"/>
        <v>120</v>
      </c>
      <c r="K400" s="396">
        <f t="shared" si="62"/>
        <v>0</v>
      </c>
      <c r="L400" s="396">
        <f t="shared" si="63"/>
        <v>0</v>
      </c>
      <c r="M400" s="396">
        <f t="shared" si="64"/>
        <v>0</v>
      </c>
      <c r="N400" s="396">
        <f t="shared" si="65"/>
        <v>0</v>
      </c>
      <c r="O400" s="396">
        <f t="shared" si="66"/>
        <v>0</v>
      </c>
      <c r="P400" s="396">
        <f t="shared" si="69"/>
        <v>0</v>
      </c>
      <c r="Q400" s="397" t="str">
        <f t="shared" si="67"/>
        <v>L</v>
      </c>
      <c r="R400" s="394"/>
      <c r="S400" s="394"/>
      <c r="T400" s="394"/>
      <c r="V400" s="16">
        <f t="shared" si="68"/>
        <v>9768</v>
      </c>
    </row>
    <row r="401" spans="1:22" ht="14.1" customHeight="1">
      <c r="A401" s="377">
        <v>402</v>
      </c>
      <c r="B401" s="622" t="s">
        <v>595</v>
      </c>
      <c r="C401" s="618" t="s">
        <v>669</v>
      </c>
      <c r="D401" s="619" t="s">
        <v>678</v>
      </c>
      <c r="E401" s="622" t="s">
        <v>526</v>
      </c>
      <c r="F401" s="621" t="str">
        <f t="shared" si="60"/>
        <v>Leslokalen</v>
      </c>
      <c r="G401" s="622" t="s">
        <v>599</v>
      </c>
      <c r="H401" s="623">
        <v>53.29</v>
      </c>
      <c r="I401" s="635">
        <v>13120</v>
      </c>
      <c r="J401" s="395">
        <f t="shared" si="61"/>
        <v>120</v>
      </c>
      <c r="K401" s="396">
        <f t="shared" si="62"/>
        <v>0</v>
      </c>
      <c r="L401" s="396">
        <f t="shared" si="63"/>
        <v>0</v>
      </c>
      <c r="M401" s="396">
        <f t="shared" si="64"/>
        <v>0</v>
      </c>
      <c r="N401" s="396">
        <f t="shared" si="65"/>
        <v>0</v>
      </c>
      <c r="O401" s="396">
        <f t="shared" si="66"/>
        <v>0</v>
      </c>
      <c r="P401" s="396">
        <f t="shared" si="69"/>
        <v>0</v>
      </c>
      <c r="Q401" s="397" t="str">
        <f t="shared" si="67"/>
        <v>L</v>
      </c>
      <c r="R401" s="394"/>
      <c r="S401" s="394"/>
      <c r="T401" s="394"/>
      <c r="V401" s="16">
        <f t="shared" si="68"/>
        <v>6394.8</v>
      </c>
    </row>
    <row r="402" spans="1:22" ht="14.1" customHeight="1">
      <c r="A402" s="377">
        <v>403</v>
      </c>
      <c r="B402" s="622" t="s">
        <v>595</v>
      </c>
      <c r="C402" s="618" t="s">
        <v>669</v>
      </c>
      <c r="D402" s="619" t="s">
        <v>679</v>
      </c>
      <c r="E402" s="622" t="s">
        <v>526</v>
      </c>
      <c r="F402" s="621" t="str">
        <f t="shared" si="60"/>
        <v>Leslokalen</v>
      </c>
      <c r="G402" s="622" t="s">
        <v>599</v>
      </c>
      <c r="H402" s="623">
        <v>53.29</v>
      </c>
      <c r="I402" s="635">
        <v>13120</v>
      </c>
      <c r="J402" s="395">
        <f t="shared" si="61"/>
        <v>120</v>
      </c>
      <c r="K402" s="396">
        <f t="shared" si="62"/>
        <v>0</v>
      </c>
      <c r="L402" s="396">
        <f t="shared" si="63"/>
        <v>0</v>
      </c>
      <c r="M402" s="396">
        <f t="shared" si="64"/>
        <v>0</v>
      </c>
      <c r="N402" s="396">
        <f t="shared" si="65"/>
        <v>0</v>
      </c>
      <c r="O402" s="396">
        <f t="shared" si="66"/>
        <v>0</v>
      </c>
      <c r="P402" s="396">
        <f t="shared" si="69"/>
        <v>0</v>
      </c>
      <c r="Q402" s="397" t="str">
        <f t="shared" si="67"/>
        <v>L</v>
      </c>
      <c r="R402" s="394"/>
      <c r="S402" s="394"/>
      <c r="T402" s="394"/>
      <c r="V402" s="16">
        <f t="shared" si="68"/>
        <v>6394.8</v>
      </c>
    </row>
    <row r="403" spans="1:22" ht="14.1" customHeight="1">
      <c r="A403" s="377">
        <v>404</v>
      </c>
      <c r="B403" s="622" t="s">
        <v>595</v>
      </c>
      <c r="C403" s="618" t="s">
        <v>669</v>
      </c>
      <c r="D403" s="619" t="s">
        <v>680</v>
      </c>
      <c r="E403" s="622" t="s">
        <v>526</v>
      </c>
      <c r="F403" s="621" t="str">
        <f t="shared" si="60"/>
        <v>Leslokalen</v>
      </c>
      <c r="G403" s="622" t="s">
        <v>402</v>
      </c>
      <c r="H403" s="623">
        <v>82.14</v>
      </c>
      <c r="I403" s="635">
        <v>13120</v>
      </c>
      <c r="J403" s="395">
        <f t="shared" si="61"/>
        <v>120</v>
      </c>
      <c r="K403" s="396">
        <f t="shared" si="62"/>
        <v>0</v>
      </c>
      <c r="L403" s="396">
        <f t="shared" si="63"/>
        <v>0</v>
      </c>
      <c r="M403" s="396">
        <f t="shared" si="64"/>
        <v>0</v>
      </c>
      <c r="N403" s="396">
        <f t="shared" si="65"/>
        <v>0</v>
      </c>
      <c r="O403" s="396">
        <f t="shared" si="66"/>
        <v>0</v>
      </c>
      <c r="P403" s="396">
        <f t="shared" si="69"/>
        <v>0</v>
      </c>
      <c r="Q403" s="397" t="str">
        <f t="shared" si="67"/>
        <v>L</v>
      </c>
      <c r="R403" s="394"/>
      <c r="S403" s="394"/>
      <c r="T403" s="394"/>
      <c r="V403" s="16">
        <f t="shared" si="68"/>
        <v>9856.7999999999993</v>
      </c>
    </row>
    <row r="404" spans="1:22" ht="14.1" customHeight="1">
      <c r="A404" s="377">
        <v>405</v>
      </c>
      <c r="B404" s="622" t="s">
        <v>595</v>
      </c>
      <c r="C404" s="618" t="s">
        <v>669</v>
      </c>
      <c r="D404" s="619" t="s">
        <v>681</v>
      </c>
      <c r="E404" s="622" t="s">
        <v>526</v>
      </c>
      <c r="F404" s="621" t="str">
        <f t="shared" si="60"/>
        <v>Leslokalen</v>
      </c>
      <c r="G404" s="622" t="s">
        <v>599</v>
      </c>
      <c r="H404" s="623">
        <v>54.02</v>
      </c>
      <c r="I404" s="635">
        <v>13120</v>
      </c>
      <c r="J404" s="395">
        <f t="shared" si="61"/>
        <v>120</v>
      </c>
      <c r="K404" s="396">
        <f t="shared" si="62"/>
        <v>0</v>
      </c>
      <c r="L404" s="396">
        <f t="shared" si="63"/>
        <v>0</v>
      </c>
      <c r="M404" s="396">
        <f t="shared" si="64"/>
        <v>0</v>
      </c>
      <c r="N404" s="396">
        <f t="shared" si="65"/>
        <v>0</v>
      </c>
      <c r="O404" s="396">
        <f t="shared" si="66"/>
        <v>0</v>
      </c>
      <c r="P404" s="396">
        <f t="shared" si="69"/>
        <v>0</v>
      </c>
      <c r="Q404" s="397" t="str">
        <f t="shared" si="67"/>
        <v>L</v>
      </c>
      <c r="R404" s="394"/>
      <c r="S404" s="394"/>
      <c r="T404" s="394"/>
      <c r="V404" s="16">
        <f t="shared" si="68"/>
        <v>6482.4000000000005</v>
      </c>
    </row>
    <row r="405" spans="1:22" ht="14.1" customHeight="1">
      <c r="A405" s="377">
        <v>406</v>
      </c>
      <c r="B405" s="622" t="s">
        <v>595</v>
      </c>
      <c r="C405" s="618" t="s">
        <v>669</v>
      </c>
      <c r="D405" s="619" t="s">
        <v>682</v>
      </c>
      <c r="E405" s="622" t="s">
        <v>526</v>
      </c>
      <c r="F405" s="621" t="str">
        <f t="shared" si="60"/>
        <v>Leslokalen</v>
      </c>
      <c r="G405" s="622" t="s">
        <v>402</v>
      </c>
      <c r="H405" s="623">
        <v>82.14</v>
      </c>
      <c r="I405" s="635">
        <v>13120</v>
      </c>
      <c r="J405" s="395">
        <f t="shared" si="61"/>
        <v>120</v>
      </c>
      <c r="K405" s="396">
        <f t="shared" si="62"/>
        <v>0</v>
      </c>
      <c r="L405" s="396">
        <f t="shared" si="63"/>
        <v>0</v>
      </c>
      <c r="M405" s="396">
        <f t="shared" si="64"/>
        <v>0</v>
      </c>
      <c r="N405" s="396">
        <f t="shared" si="65"/>
        <v>0</v>
      </c>
      <c r="O405" s="396">
        <f t="shared" si="66"/>
        <v>0</v>
      </c>
      <c r="P405" s="396">
        <f t="shared" si="69"/>
        <v>0</v>
      </c>
      <c r="Q405" s="397" t="str">
        <f t="shared" si="67"/>
        <v>L</v>
      </c>
      <c r="R405" s="394"/>
      <c r="S405" s="394"/>
      <c r="T405" s="394"/>
      <c r="V405" s="16">
        <f t="shared" si="68"/>
        <v>9856.7999999999993</v>
      </c>
    </row>
    <row r="406" spans="1:22" ht="14.1" customHeight="1">
      <c r="A406" s="377">
        <v>407</v>
      </c>
      <c r="B406" s="622" t="s">
        <v>595</v>
      </c>
      <c r="C406" s="618" t="s">
        <v>669</v>
      </c>
      <c r="D406" s="619" t="s">
        <v>683</v>
      </c>
      <c r="E406" s="622" t="s">
        <v>526</v>
      </c>
      <c r="F406" s="621" t="str">
        <f t="shared" si="60"/>
        <v>Leslokalen</v>
      </c>
      <c r="G406" s="622" t="s">
        <v>599</v>
      </c>
      <c r="H406" s="623">
        <v>54.02</v>
      </c>
      <c r="I406" s="635">
        <v>13120</v>
      </c>
      <c r="J406" s="395">
        <f t="shared" si="61"/>
        <v>120</v>
      </c>
      <c r="K406" s="396">
        <f t="shared" si="62"/>
        <v>0</v>
      </c>
      <c r="L406" s="396">
        <f t="shared" si="63"/>
        <v>0</v>
      </c>
      <c r="M406" s="396">
        <f t="shared" si="64"/>
        <v>0</v>
      </c>
      <c r="N406" s="396">
        <f t="shared" si="65"/>
        <v>0</v>
      </c>
      <c r="O406" s="396">
        <f t="shared" si="66"/>
        <v>0</v>
      </c>
      <c r="P406" s="396">
        <f t="shared" si="69"/>
        <v>0</v>
      </c>
      <c r="Q406" s="397" t="str">
        <f t="shared" si="67"/>
        <v>L</v>
      </c>
      <c r="R406" s="394"/>
      <c r="S406" s="394"/>
      <c r="T406" s="394"/>
      <c r="V406" s="16">
        <f t="shared" si="68"/>
        <v>6482.4000000000005</v>
      </c>
    </row>
    <row r="407" spans="1:22" ht="14.1" customHeight="1">
      <c r="A407" s="377">
        <v>408</v>
      </c>
      <c r="B407" s="622" t="s">
        <v>595</v>
      </c>
      <c r="C407" s="618" t="s">
        <v>669</v>
      </c>
      <c r="D407" s="619" t="s">
        <v>684</v>
      </c>
      <c r="E407" s="622" t="s">
        <v>526</v>
      </c>
      <c r="F407" s="621" t="str">
        <f t="shared" si="60"/>
        <v>Leslokalen</v>
      </c>
      <c r="G407" s="622" t="s">
        <v>599</v>
      </c>
      <c r="H407" s="623">
        <v>25.55</v>
      </c>
      <c r="I407" s="635">
        <v>13120</v>
      </c>
      <c r="J407" s="395">
        <f t="shared" si="61"/>
        <v>120</v>
      </c>
      <c r="K407" s="396">
        <f t="shared" si="62"/>
        <v>0</v>
      </c>
      <c r="L407" s="396">
        <f t="shared" si="63"/>
        <v>0</v>
      </c>
      <c r="M407" s="396">
        <f t="shared" si="64"/>
        <v>0</v>
      </c>
      <c r="N407" s="396">
        <f t="shared" si="65"/>
        <v>0</v>
      </c>
      <c r="O407" s="396">
        <f t="shared" si="66"/>
        <v>0</v>
      </c>
      <c r="P407" s="396">
        <f t="shared" si="69"/>
        <v>0</v>
      </c>
      <c r="Q407" s="397" t="str">
        <f t="shared" si="67"/>
        <v>L</v>
      </c>
      <c r="R407" s="394"/>
      <c r="S407" s="394"/>
      <c r="T407" s="394"/>
      <c r="V407" s="16">
        <f t="shared" si="68"/>
        <v>3066</v>
      </c>
    </row>
    <row r="408" spans="1:22" ht="14.1" customHeight="1">
      <c r="A408" s="377">
        <v>409</v>
      </c>
      <c r="B408" s="622" t="s">
        <v>595</v>
      </c>
      <c r="C408" s="618" t="s">
        <v>669</v>
      </c>
      <c r="D408" s="619" t="s">
        <v>596</v>
      </c>
      <c r="E408" s="622" t="s">
        <v>423</v>
      </c>
      <c r="F408" s="621" t="str">
        <f t="shared" si="60"/>
        <v>Sanitaire ruimten</v>
      </c>
      <c r="G408" s="622" t="s">
        <v>377</v>
      </c>
      <c r="H408" s="623">
        <v>3.12</v>
      </c>
      <c r="I408" s="635">
        <v>2200</v>
      </c>
      <c r="J408" s="395">
        <f t="shared" si="61"/>
        <v>200</v>
      </c>
      <c r="K408" s="396">
        <f t="shared" si="62"/>
        <v>0</v>
      </c>
      <c r="L408" s="396">
        <f t="shared" si="63"/>
        <v>0</v>
      </c>
      <c r="M408" s="396">
        <f t="shared" si="64"/>
        <v>0</v>
      </c>
      <c r="N408" s="396">
        <f t="shared" si="65"/>
        <v>0</v>
      </c>
      <c r="O408" s="396">
        <f t="shared" si="66"/>
        <v>0</v>
      </c>
      <c r="P408" s="396">
        <f t="shared" si="69"/>
        <v>0</v>
      </c>
      <c r="Q408" s="397" t="str">
        <f t="shared" si="67"/>
        <v>S</v>
      </c>
      <c r="R408" s="394"/>
      <c r="S408" s="394"/>
      <c r="T408" s="394"/>
      <c r="V408" s="16">
        <f t="shared" si="68"/>
        <v>624</v>
      </c>
    </row>
    <row r="409" spans="1:22" ht="14.1" customHeight="1">
      <c r="A409" s="377">
        <v>410</v>
      </c>
      <c r="B409" s="622" t="s">
        <v>595</v>
      </c>
      <c r="C409" s="618" t="s">
        <v>669</v>
      </c>
      <c r="D409" s="619" t="s">
        <v>596</v>
      </c>
      <c r="E409" s="622" t="s">
        <v>423</v>
      </c>
      <c r="F409" s="621" t="str">
        <f t="shared" si="60"/>
        <v>Sanitaire ruimten</v>
      </c>
      <c r="G409" s="622" t="s">
        <v>377</v>
      </c>
      <c r="H409" s="623">
        <v>3.74</v>
      </c>
      <c r="I409" s="635">
        <v>2200</v>
      </c>
      <c r="J409" s="395">
        <f t="shared" si="61"/>
        <v>200</v>
      </c>
      <c r="K409" s="396">
        <f t="shared" si="62"/>
        <v>0</v>
      </c>
      <c r="L409" s="396">
        <f t="shared" si="63"/>
        <v>0</v>
      </c>
      <c r="M409" s="396">
        <f t="shared" si="64"/>
        <v>0</v>
      </c>
      <c r="N409" s="396">
        <f t="shared" si="65"/>
        <v>0</v>
      </c>
      <c r="O409" s="396">
        <f t="shared" si="66"/>
        <v>0</v>
      </c>
      <c r="P409" s="396">
        <f t="shared" si="69"/>
        <v>0</v>
      </c>
      <c r="Q409" s="397" t="str">
        <f t="shared" si="67"/>
        <v>S</v>
      </c>
      <c r="R409" s="394"/>
      <c r="S409" s="394"/>
      <c r="T409" s="394"/>
      <c r="V409" s="16">
        <f t="shared" si="68"/>
        <v>748</v>
      </c>
    </row>
    <row r="410" spans="1:22" ht="14.1" customHeight="1">
      <c r="A410" s="377">
        <v>411</v>
      </c>
      <c r="B410" s="622" t="s">
        <v>595</v>
      </c>
      <c r="C410" s="618" t="s">
        <v>669</v>
      </c>
      <c r="D410" s="619" t="s">
        <v>596</v>
      </c>
      <c r="E410" s="622" t="s">
        <v>389</v>
      </c>
      <c r="F410" s="621" t="str">
        <f t="shared" si="60"/>
        <v>Niet van toepassing</v>
      </c>
      <c r="G410" s="622" t="s">
        <v>599</v>
      </c>
      <c r="H410" s="623">
        <v>10.5</v>
      </c>
      <c r="I410" s="635" t="s">
        <v>229</v>
      </c>
      <c r="J410" s="395">
        <f t="shared" si="61"/>
        <v>0</v>
      </c>
      <c r="K410" s="396">
        <f t="shared" si="62"/>
        <v>0</v>
      </c>
      <c r="L410" s="396">
        <f t="shared" si="63"/>
        <v>0</v>
      </c>
      <c r="M410" s="396">
        <f t="shared" si="64"/>
        <v>0</v>
      </c>
      <c r="N410" s="396">
        <f t="shared" si="65"/>
        <v>0</v>
      </c>
      <c r="O410" s="396">
        <f t="shared" si="66"/>
        <v>0</v>
      </c>
      <c r="P410" s="396">
        <f t="shared" si="69"/>
        <v>0</v>
      </c>
      <c r="Q410" s="397">
        <f t="shared" si="67"/>
        <v>0</v>
      </c>
      <c r="R410" s="394"/>
      <c r="S410" s="394"/>
      <c r="T410" s="394"/>
      <c r="V410" s="16">
        <f t="shared" si="68"/>
        <v>0</v>
      </c>
    </row>
    <row r="411" spans="1:22" ht="14.1" customHeight="1">
      <c r="A411" s="377">
        <v>412</v>
      </c>
      <c r="B411" s="622" t="s">
        <v>595</v>
      </c>
      <c r="C411" s="618" t="s">
        <v>669</v>
      </c>
      <c r="D411" s="619" t="s">
        <v>596</v>
      </c>
      <c r="E411" s="622" t="s">
        <v>398</v>
      </c>
      <c r="F411" s="621" t="str">
        <f t="shared" si="60"/>
        <v>Gangen en hallen</v>
      </c>
      <c r="G411" s="622" t="s">
        <v>599</v>
      </c>
      <c r="H411" s="623">
        <v>70.069999999999993</v>
      </c>
      <c r="I411" s="635">
        <v>3200</v>
      </c>
      <c r="J411" s="395">
        <f t="shared" si="61"/>
        <v>200</v>
      </c>
      <c r="K411" s="396">
        <f t="shared" si="62"/>
        <v>0</v>
      </c>
      <c r="L411" s="396">
        <f t="shared" si="63"/>
        <v>0</v>
      </c>
      <c r="M411" s="396">
        <f t="shared" si="64"/>
        <v>0</v>
      </c>
      <c r="N411" s="396">
        <f t="shared" si="65"/>
        <v>0</v>
      </c>
      <c r="O411" s="396">
        <f t="shared" si="66"/>
        <v>0</v>
      </c>
      <c r="P411" s="396">
        <f t="shared" si="69"/>
        <v>0</v>
      </c>
      <c r="Q411" s="397" t="str">
        <f t="shared" si="67"/>
        <v>V</v>
      </c>
      <c r="R411" s="394"/>
      <c r="S411" s="394"/>
      <c r="T411" s="394"/>
      <c r="V411" s="16">
        <f t="shared" si="68"/>
        <v>14013.999999999998</v>
      </c>
    </row>
    <row r="412" spans="1:22" ht="14.1" customHeight="1">
      <c r="A412" s="377">
        <v>413</v>
      </c>
      <c r="B412" s="622" t="s">
        <v>595</v>
      </c>
      <c r="C412" s="618" t="s">
        <v>669</v>
      </c>
      <c r="D412" s="619" t="s">
        <v>596</v>
      </c>
      <c r="E412" s="622" t="s">
        <v>653</v>
      </c>
      <c r="F412" s="621" t="str">
        <f t="shared" si="60"/>
        <v>Gangen en hallen</v>
      </c>
      <c r="G412" s="622" t="s">
        <v>465</v>
      </c>
      <c r="H412" s="623">
        <v>46.64</v>
      </c>
      <c r="I412" s="635">
        <v>3200</v>
      </c>
      <c r="J412" s="395">
        <f t="shared" si="61"/>
        <v>200</v>
      </c>
      <c r="K412" s="396">
        <f t="shared" si="62"/>
        <v>0</v>
      </c>
      <c r="L412" s="396">
        <f t="shared" si="63"/>
        <v>0</v>
      </c>
      <c r="M412" s="396">
        <f t="shared" si="64"/>
        <v>0</v>
      </c>
      <c r="N412" s="396">
        <f t="shared" si="65"/>
        <v>0</v>
      </c>
      <c r="O412" s="396">
        <f t="shared" si="66"/>
        <v>0</v>
      </c>
      <c r="P412" s="396">
        <f t="shared" si="69"/>
        <v>0</v>
      </c>
      <c r="Q412" s="397" t="str">
        <f t="shared" si="67"/>
        <v>V</v>
      </c>
      <c r="R412" s="394"/>
      <c r="S412" s="394"/>
      <c r="T412" s="394"/>
      <c r="V412" s="16">
        <f t="shared" si="68"/>
        <v>9328</v>
      </c>
    </row>
    <row r="413" spans="1:22" ht="14.1" customHeight="1">
      <c r="A413" s="377">
        <v>414</v>
      </c>
      <c r="B413" s="622" t="s">
        <v>595</v>
      </c>
      <c r="C413" s="618" t="s">
        <v>669</v>
      </c>
      <c r="D413" s="619" t="s">
        <v>685</v>
      </c>
      <c r="E413" s="622" t="s">
        <v>526</v>
      </c>
      <c r="F413" s="621" t="str">
        <f t="shared" si="60"/>
        <v>Leslokalen</v>
      </c>
      <c r="G413" s="622" t="s">
        <v>402</v>
      </c>
      <c r="H413" s="623">
        <v>84.75</v>
      </c>
      <c r="I413" s="635">
        <v>13120</v>
      </c>
      <c r="J413" s="395">
        <f t="shared" si="61"/>
        <v>120</v>
      </c>
      <c r="K413" s="396">
        <f t="shared" si="62"/>
        <v>0</v>
      </c>
      <c r="L413" s="396">
        <f t="shared" si="63"/>
        <v>0</v>
      </c>
      <c r="M413" s="396">
        <f t="shared" si="64"/>
        <v>0</v>
      </c>
      <c r="N413" s="396">
        <f t="shared" si="65"/>
        <v>0</v>
      </c>
      <c r="O413" s="396">
        <f t="shared" si="66"/>
        <v>0</v>
      </c>
      <c r="P413" s="396">
        <f t="shared" si="69"/>
        <v>0</v>
      </c>
      <c r="Q413" s="397" t="str">
        <f t="shared" si="67"/>
        <v>L</v>
      </c>
      <c r="R413" s="394"/>
      <c r="S413" s="394"/>
      <c r="T413" s="394"/>
      <c r="V413" s="16">
        <f t="shared" si="68"/>
        <v>10170</v>
      </c>
    </row>
    <row r="414" spans="1:22" ht="14.1" customHeight="1">
      <c r="A414" s="377">
        <v>415</v>
      </c>
      <c r="B414" s="622" t="s">
        <v>595</v>
      </c>
      <c r="C414" s="618" t="s">
        <v>669</v>
      </c>
      <c r="D414" s="619" t="s">
        <v>596</v>
      </c>
      <c r="E414" s="622" t="s">
        <v>398</v>
      </c>
      <c r="F414" s="621" t="str">
        <f t="shared" si="60"/>
        <v>Gangen en hallen</v>
      </c>
      <c r="G414" s="622" t="s">
        <v>599</v>
      </c>
      <c r="H414" s="623">
        <v>18.87</v>
      </c>
      <c r="I414" s="635">
        <v>3200</v>
      </c>
      <c r="J414" s="395">
        <f t="shared" si="61"/>
        <v>200</v>
      </c>
      <c r="K414" s="396">
        <f t="shared" si="62"/>
        <v>0</v>
      </c>
      <c r="L414" s="396">
        <f t="shared" si="63"/>
        <v>0</v>
      </c>
      <c r="M414" s="396">
        <f t="shared" si="64"/>
        <v>0</v>
      </c>
      <c r="N414" s="396">
        <f t="shared" si="65"/>
        <v>0</v>
      </c>
      <c r="O414" s="396">
        <f t="shared" si="66"/>
        <v>0</v>
      </c>
      <c r="P414" s="396">
        <f t="shared" si="69"/>
        <v>0</v>
      </c>
      <c r="Q414" s="397" t="str">
        <f t="shared" si="67"/>
        <v>V</v>
      </c>
      <c r="R414" s="394"/>
      <c r="S414" s="394"/>
      <c r="T414" s="394"/>
      <c r="V414" s="16">
        <f t="shared" si="68"/>
        <v>3774</v>
      </c>
    </row>
    <row r="415" spans="1:22" ht="14.1" customHeight="1">
      <c r="A415" s="377">
        <v>416</v>
      </c>
      <c r="B415" s="622" t="s">
        <v>595</v>
      </c>
      <c r="C415" s="618" t="s">
        <v>669</v>
      </c>
      <c r="D415" s="619" t="s">
        <v>596</v>
      </c>
      <c r="E415" s="622" t="s">
        <v>489</v>
      </c>
      <c r="F415" s="621" t="str">
        <f t="shared" si="60"/>
        <v>Trappenhuizen</v>
      </c>
      <c r="G415" s="622" t="s">
        <v>550</v>
      </c>
      <c r="H415" s="623">
        <v>25</v>
      </c>
      <c r="I415" s="635">
        <v>5200</v>
      </c>
      <c r="J415" s="395">
        <f t="shared" si="61"/>
        <v>200</v>
      </c>
      <c r="K415" s="396">
        <f t="shared" si="62"/>
        <v>0</v>
      </c>
      <c r="L415" s="396">
        <f t="shared" si="63"/>
        <v>0</v>
      </c>
      <c r="M415" s="396">
        <f t="shared" si="64"/>
        <v>0</v>
      </c>
      <c r="N415" s="396">
        <f t="shared" si="65"/>
        <v>0</v>
      </c>
      <c r="O415" s="396">
        <f t="shared" si="66"/>
        <v>0</v>
      </c>
      <c r="P415" s="396">
        <f t="shared" si="69"/>
        <v>0</v>
      </c>
      <c r="Q415" s="397" t="str">
        <f t="shared" si="67"/>
        <v>V</v>
      </c>
      <c r="R415" s="394"/>
      <c r="S415" s="394"/>
      <c r="T415" s="394"/>
      <c r="V415" s="16">
        <f t="shared" si="68"/>
        <v>5000</v>
      </c>
    </row>
    <row r="416" spans="1:22" ht="14.1" customHeight="1">
      <c r="A416" s="377">
        <v>417</v>
      </c>
      <c r="B416" s="622" t="s">
        <v>595</v>
      </c>
      <c r="C416" s="618" t="s">
        <v>669</v>
      </c>
      <c r="D416" s="619" t="s">
        <v>596</v>
      </c>
      <c r="E416" s="622" t="s">
        <v>398</v>
      </c>
      <c r="F416" s="621" t="str">
        <f t="shared" si="60"/>
        <v>Gangen en hallen</v>
      </c>
      <c r="G416" s="622" t="s">
        <v>599</v>
      </c>
      <c r="H416" s="623">
        <v>269.88</v>
      </c>
      <c r="I416" s="635">
        <v>3200</v>
      </c>
      <c r="J416" s="395">
        <f t="shared" si="61"/>
        <v>200</v>
      </c>
      <c r="K416" s="396">
        <f t="shared" si="62"/>
        <v>0</v>
      </c>
      <c r="L416" s="396">
        <f t="shared" si="63"/>
        <v>0</v>
      </c>
      <c r="M416" s="396">
        <f t="shared" si="64"/>
        <v>0</v>
      </c>
      <c r="N416" s="396">
        <f t="shared" si="65"/>
        <v>0</v>
      </c>
      <c r="O416" s="396">
        <f t="shared" si="66"/>
        <v>0</v>
      </c>
      <c r="P416" s="396">
        <f t="shared" si="69"/>
        <v>0</v>
      </c>
      <c r="Q416" s="397" t="str">
        <f t="shared" si="67"/>
        <v>V</v>
      </c>
      <c r="R416" s="394"/>
      <c r="S416" s="394"/>
      <c r="T416" s="394"/>
      <c r="V416" s="16">
        <f t="shared" si="68"/>
        <v>53976</v>
      </c>
    </row>
    <row r="417" spans="1:22" ht="14.1" customHeight="1">
      <c r="A417" s="377">
        <v>418</v>
      </c>
      <c r="B417" s="622" t="s">
        <v>595</v>
      </c>
      <c r="C417" s="618" t="s">
        <v>669</v>
      </c>
      <c r="D417" s="619" t="s">
        <v>596</v>
      </c>
      <c r="E417" s="622" t="s">
        <v>398</v>
      </c>
      <c r="F417" s="621" t="str">
        <f t="shared" si="60"/>
        <v>Gangen en hallen</v>
      </c>
      <c r="G417" s="622" t="s">
        <v>599</v>
      </c>
      <c r="H417" s="623">
        <v>72.5</v>
      </c>
      <c r="I417" s="635">
        <v>3200</v>
      </c>
      <c r="J417" s="395">
        <f t="shared" si="61"/>
        <v>200</v>
      </c>
      <c r="K417" s="396">
        <f t="shared" si="62"/>
        <v>0</v>
      </c>
      <c r="L417" s="396">
        <f t="shared" si="63"/>
        <v>0</v>
      </c>
      <c r="M417" s="396">
        <f t="shared" si="64"/>
        <v>0</v>
      </c>
      <c r="N417" s="396">
        <f t="shared" si="65"/>
        <v>0</v>
      </c>
      <c r="O417" s="396">
        <f t="shared" si="66"/>
        <v>0</v>
      </c>
      <c r="P417" s="396">
        <f t="shared" si="69"/>
        <v>0</v>
      </c>
      <c r="Q417" s="397" t="str">
        <f t="shared" si="67"/>
        <v>V</v>
      </c>
      <c r="R417" s="394"/>
      <c r="S417" s="394"/>
      <c r="T417" s="394"/>
      <c r="V417" s="16">
        <f t="shared" si="68"/>
        <v>14500</v>
      </c>
    </row>
    <row r="418" spans="1:22" ht="14.1" customHeight="1">
      <c r="A418" s="377">
        <v>419</v>
      </c>
      <c r="B418" s="622" t="s">
        <v>595</v>
      </c>
      <c r="C418" s="618" t="s">
        <v>669</v>
      </c>
      <c r="D418" s="619" t="s">
        <v>596</v>
      </c>
      <c r="E418" s="622" t="s">
        <v>526</v>
      </c>
      <c r="F418" s="621" t="str">
        <f t="shared" si="60"/>
        <v>Leslokalen</v>
      </c>
      <c r="G418" s="622" t="s">
        <v>599</v>
      </c>
      <c r="H418" s="623">
        <v>70.290000000000006</v>
      </c>
      <c r="I418" s="635">
        <v>13120</v>
      </c>
      <c r="J418" s="395">
        <f t="shared" si="61"/>
        <v>120</v>
      </c>
      <c r="K418" s="396">
        <f t="shared" si="62"/>
        <v>0</v>
      </c>
      <c r="L418" s="396">
        <f t="shared" si="63"/>
        <v>0</v>
      </c>
      <c r="M418" s="396">
        <f t="shared" si="64"/>
        <v>0</v>
      </c>
      <c r="N418" s="396">
        <f t="shared" si="65"/>
        <v>0</v>
      </c>
      <c r="O418" s="396">
        <f t="shared" si="66"/>
        <v>0</v>
      </c>
      <c r="P418" s="396">
        <f t="shared" si="69"/>
        <v>0</v>
      </c>
      <c r="Q418" s="397" t="str">
        <f t="shared" si="67"/>
        <v>L</v>
      </c>
      <c r="R418" s="394"/>
      <c r="S418" s="394"/>
      <c r="T418" s="394"/>
      <c r="V418" s="16">
        <f t="shared" si="68"/>
        <v>8434.8000000000011</v>
      </c>
    </row>
    <row r="419" spans="1:22" ht="14.1" customHeight="1">
      <c r="A419" s="377">
        <v>420</v>
      </c>
      <c r="B419" s="622" t="s">
        <v>595</v>
      </c>
      <c r="C419" s="618" t="s">
        <v>669</v>
      </c>
      <c r="D419" s="619" t="s">
        <v>686</v>
      </c>
      <c r="E419" s="622" t="s">
        <v>526</v>
      </c>
      <c r="F419" s="621" t="str">
        <f t="shared" si="60"/>
        <v>Leslokalen</v>
      </c>
      <c r="G419" s="622" t="s">
        <v>599</v>
      </c>
      <c r="H419" s="623">
        <v>94.43</v>
      </c>
      <c r="I419" s="635">
        <v>13120</v>
      </c>
      <c r="J419" s="395">
        <f t="shared" si="61"/>
        <v>120</v>
      </c>
      <c r="K419" s="396">
        <f t="shared" si="62"/>
        <v>0</v>
      </c>
      <c r="L419" s="396">
        <f t="shared" si="63"/>
        <v>0</v>
      </c>
      <c r="M419" s="396">
        <f t="shared" si="64"/>
        <v>0</v>
      </c>
      <c r="N419" s="396">
        <f t="shared" si="65"/>
        <v>0</v>
      </c>
      <c r="O419" s="396">
        <f t="shared" si="66"/>
        <v>0</v>
      </c>
      <c r="P419" s="396">
        <f t="shared" si="69"/>
        <v>0</v>
      </c>
      <c r="Q419" s="397" t="str">
        <f t="shared" si="67"/>
        <v>L</v>
      </c>
      <c r="R419" s="394"/>
      <c r="S419" s="394"/>
      <c r="T419" s="394"/>
      <c r="V419" s="16">
        <f t="shared" si="68"/>
        <v>11331.6</v>
      </c>
    </row>
    <row r="420" spans="1:22" ht="14.1" customHeight="1">
      <c r="A420" s="377">
        <v>421</v>
      </c>
      <c r="B420" s="622" t="s">
        <v>595</v>
      </c>
      <c r="C420" s="618" t="s">
        <v>669</v>
      </c>
      <c r="D420" s="619" t="s">
        <v>596</v>
      </c>
      <c r="E420" s="622" t="s">
        <v>526</v>
      </c>
      <c r="F420" s="621" t="str">
        <f t="shared" si="60"/>
        <v>Leslokalen</v>
      </c>
      <c r="G420" s="622" t="s">
        <v>599</v>
      </c>
      <c r="H420" s="623">
        <v>62.48</v>
      </c>
      <c r="I420" s="635">
        <v>13120</v>
      </c>
      <c r="J420" s="395">
        <f t="shared" si="61"/>
        <v>120</v>
      </c>
      <c r="K420" s="396">
        <f t="shared" si="62"/>
        <v>0</v>
      </c>
      <c r="L420" s="396">
        <f t="shared" si="63"/>
        <v>0</v>
      </c>
      <c r="M420" s="396">
        <f t="shared" si="64"/>
        <v>0</v>
      </c>
      <c r="N420" s="396">
        <f t="shared" si="65"/>
        <v>0</v>
      </c>
      <c r="O420" s="396">
        <f t="shared" si="66"/>
        <v>0</v>
      </c>
      <c r="P420" s="396">
        <f t="shared" si="69"/>
        <v>0</v>
      </c>
      <c r="Q420" s="397" t="str">
        <f t="shared" si="67"/>
        <v>L</v>
      </c>
      <c r="R420" s="394"/>
      <c r="S420" s="394"/>
      <c r="T420" s="394"/>
      <c r="V420" s="16">
        <f t="shared" si="68"/>
        <v>7497.5999999999995</v>
      </c>
    </row>
    <row r="421" spans="1:22" ht="14.1" customHeight="1">
      <c r="A421" s="377">
        <v>422</v>
      </c>
      <c r="B421" s="622" t="s">
        <v>595</v>
      </c>
      <c r="C421" s="618" t="s">
        <v>669</v>
      </c>
      <c r="D421" s="619" t="s">
        <v>596</v>
      </c>
      <c r="E421" s="622" t="s">
        <v>398</v>
      </c>
      <c r="F421" s="621" t="str">
        <f t="shared" si="60"/>
        <v>Gangen en hallen</v>
      </c>
      <c r="G421" s="622" t="s">
        <v>599</v>
      </c>
      <c r="H421" s="623">
        <v>31</v>
      </c>
      <c r="I421" s="635">
        <v>3200</v>
      </c>
      <c r="J421" s="395">
        <f t="shared" si="61"/>
        <v>200</v>
      </c>
      <c r="K421" s="396">
        <f t="shared" si="62"/>
        <v>0</v>
      </c>
      <c r="L421" s="396">
        <f t="shared" si="63"/>
        <v>0</v>
      </c>
      <c r="M421" s="396">
        <f t="shared" si="64"/>
        <v>0</v>
      </c>
      <c r="N421" s="396">
        <f t="shared" si="65"/>
        <v>0</v>
      </c>
      <c r="O421" s="396">
        <f t="shared" si="66"/>
        <v>0</v>
      </c>
      <c r="P421" s="396">
        <f t="shared" si="69"/>
        <v>0</v>
      </c>
      <c r="Q421" s="397" t="str">
        <f t="shared" si="67"/>
        <v>V</v>
      </c>
      <c r="R421" s="394"/>
      <c r="S421" s="394"/>
      <c r="T421" s="394"/>
      <c r="V421" s="16">
        <f t="shared" si="68"/>
        <v>6200</v>
      </c>
    </row>
    <row r="422" spans="1:22" ht="14.1" customHeight="1">
      <c r="A422" s="377">
        <v>423</v>
      </c>
      <c r="B422" s="622" t="s">
        <v>595</v>
      </c>
      <c r="C422" s="618" t="s">
        <v>669</v>
      </c>
      <c r="D422" s="619" t="s">
        <v>596</v>
      </c>
      <c r="E422" s="622" t="s">
        <v>200</v>
      </c>
      <c r="F422" s="621" t="str">
        <f t="shared" si="60"/>
        <v>Administratieve ruimten</v>
      </c>
      <c r="G422" s="622" t="s">
        <v>599</v>
      </c>
      <c r="H422" s="623">
        <v>59.34</v>
      </c>
      <c r="I422" s="635">
        <v>1126</v>
      </c>
      <c r="J422" s="395">
        <f t="shared" si="61"/>
        <v>126</v>
      </c>
      <c r="K422" s="396">
        <f t="shared" si="62"/>
        <v>0</v>
      </c>
      <c r="L422" s="396">
        <f t="shared" si="63"/>
        <v>0</v>
      </c>
      <c r="M422" s="396">
        <f t="shared" si="64"/>
        <v>0</v>
      </c>
      <c r="N422" s="396">
        <f t="shared" si="65"/>
        <v>0</v>
      </c>
      <c r="O422" s="396">
        <f t="shared" si="66"/>
        <v>0</v>
      </c>
      <c r="P422" s="396">
        <f t="shared" si="69"/>
        <v>0</v>
      </c>
      <c r="Q422" s="397" t="str">
        <f t="shared" si="67"/>
        <v>B</v>
      </c>
      <c r="R422" s="394"/>
      <c r="S422" s="394"/>
      <c r="T422" s="394"/>
      <c r="V422" s="16">
        <f t="shared" si="68"/>
        <v>7476.84</v>
      </c>
    </row>
    <row r="423" spans="1:22" ht="14.1" customHeight="1">
      <c r="A423" s="377">
        <v>424</v>
      </c>
      <c r="B423" s="622" t="s">
        <v>595</v>
      </c>
      <c r="C423" s="618" t="s">
        <v>669</v>
      </c>
      <c r="D423" s="619" t="s">
        <v>687</v>
      </c>
      <c r="E423" s="622" t="s">
        <v>611</v>
      </c>
      <c r="F423" s="621" t="str">
        <f t="shared" si="60"/>
        <v>Leslokalen praktijk</v>
      </c>
      <c r="G423" s="622" t="s">
        <v>599</v>
      </c>
      <c r="H423" s="623">
        <v>110.88</v>
      </c>
      <c r="I423" s="635">
        <v>16200</v>
      </c>
      <c r="J423" s="395">
        <f t="shared" si="61"/>
        <v>200</v>
      </c>
      <c r="K423" s="396">
        <f t="shared" si="62"/>
        <v>0</v>
      </c>
      <c r="L423" s="396">
        <f t="shared" si="63"/>
        <v>0</v>
      </c>
      <c r="M423" s="396">
        <f t="shared" si="64"/>
        <v>0</v>
      </c>
      <c r="N423" s="396">
        <f t="shared" si="65"/>
        <v>0</v>
      </c>
      <c r="O423" s="396">
        <f t="shared" si="66"/>
        <v>0</v>
      </c>
      <c r="P423" s="396">
        <f t="shared" si="69"/>
        <v>0</v>
      </c>
      <c r="Q423" s="397" t="str">
        <f t="shared" si="67"/>
        <v>L</v>
      </c>
      <c r="R423" s="394"/>
      <c r="S423" s="394"/>
      <c r="T423" s="394"/>
      <c r="V423" s="16">
        <f t="shared" si="68"/>
        <v>22176</v>
      </c>
    </row>
    <row r="424" spans="1:22" ht="14.1" customHeight="1">
      <c r="A424" s="377">
        <v>425</v>
      </c>
      <c r="B424" s="622" t="s">
        <v>595</v>
      </c>
      <c r="C424" s="618" t="s">
        <v>669</v>
      </c>
      <c r="D424" s="619" t="s">
        <v>596</v>
      </c>
      <c r="E424" s="622" t="s">
        <v>398</v>
      </c>
      <c r="F424" s="621" t="str">
        <f t="shared" si="60"/>
        <v>Gangen en hallen</v>
      </c>
      <c r="G424" s="622" t="s">
        <v>599</v>
      </c>
      <c r="H424" s="623">
        <v>66.040000000000006</v>
      </c>
      <c r="I424" s="635">
        <v>3200</v>
      </c>
      <c r="J424" s="395">
        <f t="shared" si="61"/>
        <v>200</v>
      </c>
      <c r="K424" s="396">
        <f t="shared" si="62"/>
        <v>0</v>
      </c>
      <c r="L424" s="396">
        <f t="shared" si="63"/>
        <v>0</v>
      </c>
      <c r="M424" s="396">
        <f t="shared" si="64"/>
        <v>0</v>
      </c>
      <c r="N424" s="396">
        <f t="shared" si="65"/>
        <v>0</v>
      </c>
      <c r="O424" s="396">
        <f t="shared" si="66"/>
        <v>0</v>
      </c>
      <c r="P424" s="396">
        <f t="shared" si="69"/>
        <v>0</v>
      </c>
      <c r="Q424" s="397" t="str">
        <f t="shared" si="67"/>
        <v>V</v>
      </c>
      <c r="R424" s="394"/>
      <c r="S424" s="394"/>
      <c r="T424" s="394"/>
      <c r="V424" s="16">
        <f t="shared" si="68"/>
        <v>13208.000000000002</v>
      </c>
    </row>
    <row r="425" spans="1:22" ht="14.1" customHeight="1">
      <c r="A425" s="377">
        <v>426</v>
      </c>
      <c r="B425" s="622" t="s">
        <v>595</v>
      </c>
      <c r="C425" s="618" t="s">
        <v>669</v>
      </c>
      <c r="D425" s="619" t="s">
        <v>596</v>
      </c>
      <c r="E425" s="622" t="s">
        <v>688</v>
      </c>
      <c r="F425" s="621" t="str">
        <f t="shared" si="60"/>
        <v>Administratieve ruimten</v>
      </c>
      <c r="G425" s="622" t="s">
        <v>599</v>
      </c>
      <c r="H425" s="623">
        <v>114.6</v>
      </c>
      <c r="I425" s="635">
        <v>1126</v>
      </c>
      <c r="J425" s="395">
        <f t="shared" si="61"/>
        <v>126</v>
      </c>
      <c r="K425" s="396">
        <f t="shared" si="62"/>
        <v>0</v>
      </c>
      <c r="L425" s="396">
        <f t="shared" si="63"/>
        <v>0</v>
      </c>
      <c r="M425" s="396">
        <f t="shared" si="64"/>
        <v>0</v>
      </c>
      <c r="N425" s="396">
        <f t="shared" si="65"/>
        <v>0</v>
      </c>
      <c r="O425" s="396">
        <f t="shared" si="66"/>
        <v>0</v>
      </c>
      <c r="P425" s="396">
        <f t="shared" si="69"/>
        <v>0</v>
      </c>
      <c r="Q425" s="397" t="str">
        <f t="shared" si="67"/>
        <v>B</v>
      </c>
      <c r="R425" s="394"/>
      <c r="S425" s="394"/>
      <c r="T425" s="394"/>
      <c r="V425" s="16">
        <f t="shared" si="68"/>
        <v>14439.599999999999</v>
      </c>
    </row>
    <row r="426" spans="1:22" ht="14.1" customHeight="1">
      <c r="A426" s="377">
        <v>427</v>
      </c>
      <c r="B426" s="622" t="s">
        <v>595</v>
      </c>
      <c r="C426" s="618" t="s">
        <v>669</v>
      </c>
      <c r="D426" s="619" t="s">
        <v>596</v>
      </c>
      <c r="E426" s="622" t="s">
        <v>688</v>
      </c>
      <c r="F426" s="621" t="str">
        <f t="shared" si="60"/>
        <v>Administratieve ruimten</v>
      </c>
      <c r="G426" s="622" t="s">
        <v>465</v>
      </c>
      <c r="H426" s="623">
        <v>27.73</v>
      </c>
      <c r="I426" s="635">
        <v>1126</v>
      </c>
      <c r="J426" s="395">
        <f t="shared" si="61"/>
        <v>126</v>
      </c>
      <c r="K426" s="396">
        <f t="shared" si="62"/>
        <v>0</v>
      </c>
      <c r="L426" s="396">
        <f t="shared" si="63"/>
        <v>0</v>
      </c>
      <c r="M426" s="396">
        <f t="shared" si="64"/>
        <v>0</v>
      </c>
      <c r="N426" s="396">
        <f t="shared" si="65"/>
        <v>0</v>
      </c>
      <c r="O426" s="396">
        <f t="shared" si="66"/>
        <v>0</v>
      </c>
      <c r="P426" s="396">
        <f t="shared" si="69"/>
        <v>0</v>
      </c>
      <c r="Q426" s="397" t="str">
        <f t="shared" si="67"/>
        <v>B</v>
      </c>
      <c r="R426" s="394"/>
      <c r="S426" s="394"/>
      <c r="T426" s="394"/>
      <c r="V426" s="16">
        <f t="shared" si="68"/>
        <v>3493.98</v>
      </c>
    </row>
    <row r="427" spans="1:22" ht="14.1" customHeight="1">
      <c r="A427" s="377">
        <v>428</v>
      </c>
      <c r="B427" s="622" t="s">
        <v>595</v>
      </c>
      <c r="C427" s="618" t="s">
        <v>669</v>
      </c>
      <c r="D427" s="619" t="s">
        <v>596</v>
      </c>
      <c r="E427" s="622" t="s">
        <v>689</v>
      </c>
      <c r="F427" s="621" t="str">
        <f t="shared" si="60"/>
        <v>Gangen en hallen</v>
      </c>
      <c r="G427" s="622" t="s">
        <v>599</v>
      </c>
      <c r="H427" s="623">
        <v>16.72</v>
      </c>
      <c r="I427" s="635">
        <v>3200</v>
      </c>
      <c r="J427" s="395">
        <f t="shared" si="61"/>
        <v>200</v>
      </c>
      <c r="K427" s="396">
        <f t="shared" si="62"/>
        <v>0</v>
      </c>
      <c r="L427" s="396">
        <f t="shared" si="63"/>
        <v>0</v>
      </c>
      <c r="M427" s="396">
        <f t="shared" si="64"/>
        <v>0</v>
      </c>
      <c r="N427" s="396">
        <f t="shared" si="65"/>
        <v>0</v>
      </c>
      <c r="O427" s="396">
        <f t="shared" si="66"/>
        <v>0</v>
      </c>
      <c r="P427" s="396">
        <f t="shared" si="69"/>
        <v>0</v>
      </c>
      <c r="Q427" s="397" t="str">
        <f t="shared" si="67"/>
        <v>V</v>
      </c>
      <c r="R427" s="394"/>
      <c r="S427" s="394"/>
      <c r="T427" s="394"/>
      <c r="V427" s="16">
        <f t="shared" si="68"/>
        <v>3344</v>
      </c>
    </row>
    <row r="428" spans="1:22" ht="14.1" customHeight="1">
      <c r="A428" s="377">
        <v>429</v>
      </c>
      <c r="B428" s="622" t="s">
        <v>595</v>
      </c>
      <c r="C428" s="618" t="s">
        <v>669</v>
      </c>
      <c r="D428" s="619" t="s">
        <v>596</v>
      </c>
      <c r="E428" s="622" t="s">
        <v>476</v>
      </c>
      <c r="F428" s="621" t="str">
        <f t="shared" si="60"/>
        <v>Rookruimten</v>
      </c>
      <c r="G428" s="622" t="s">
        <v>599</v>
      </c>
      <c r="H428" s="623">
        <v>16.72</v>
      </c>
      <c r="I428" s="635">
        <v>12200</v>
      </c>
      <c r="J428" s="395">
        <f t="shared" si="61"/>
        <v>200</v>
      </c>
      <c r="K428" s="396">
        <f t="shared" si="62"/>
        <v>0</v>
      </c>
      <c r="L428" s="396">
        <f t="shared" si="63"/>
        <v>0</v>
      </c>
      <c r="M428" s="396">
        <f t="shared" si="64"/>
        <v>0</v>
      </c>
      <c r="N428" s="396">
        <f t="shared" si="65"/>
        <v>0</v>
      </c>
      <c r="O428" s="396">
        <f t="shared" si="66"/>
        <v>0</v>
      </c>
      <c r="P428" s="396">
        <f t="shared" si="69"/>
        <v>0</v>
      </c>
      <c r="Q428" s="397" t="str">
        <f t="shared" si="67"/>
        <v>V</v>
      </c>
      <c r="R428" s="394"/>
      <c r="S428" s="394"/>
      <c r="T428" s="394"/>
      <c r="V428" s="16">
        <f t="shared" si="68"/>
        <v>3344</v>
      </c>
    </row>
    <row r="429" spans="1:22" ht="14.1" customHeight="1">
      <c r="A429" s="377">
        <v>430</v>
      </c>
      <c r="B429" s="622" t="s">
        <v>595</v>
      </c>
      <c r="C429" s="618" t="s">
        <v>669</v>
      </c>
      <c r="D429" s="619" t="s">
        <v>596</v>
      </c>
      <c r="E429" s="622" t="s">
        <v>398</v>
      </c>
      <c r="F429" s="621" t="str">
        <f t="shared" si="60"/>
        <v>Gangen en hallen</v>
      </c>
      <c r="G429" s="622" t="s">
        <v>599</v>
      </c>
      <c r="H429" s="623">
        <v>16.12</v>
      </c>
      <c r="I429" s="635">
        <v>3200</v>
      </c>
      <c r="J429" s="395">
        <f t="shared" si="61"/>
        <v>200</v>
      </c>
      <c r="K429" s="396">
        <f t="shared" si="62"/>
        <v>0</v>
      </c>
      <c r="L429" s="396">
        <f t="shared" si="63"/>
        <v>0</v>
      </c>
      <c r="M429" s="396">
        <f t="shared" si="64"/>
        <v>0</v>
      </c>
      <c r="N429" s="396">
        <f t="shared" si="65"/>
        <v>0</v>
      </c>
      <c r="O429" s="396">
        <f t="shared" si="66"/>
        <v>0</v>
      </c>
      <c r="P429" s="396">
        <f t="shared" si="69"/>
        <v>0</v>
      </c>
      <c r="Q429" s="397" t="str">
        <f t="shared" si="67"/>
        <v>V</v>
      </c>
      <c r="R429" s="394"/>
      <c r="S429" s="394"/>
      <c r="T429" s="394"/>
      <c r="V429" s="16">
        <f t="shared" si="68"/>
        <v>3224</v>
      </c>
    </row>
    <row r="430" spans="1:22" ht="14.1" customHeight="1">
      <c r="A430" s="377">
        <v>431</v>
      </c>
      <c r="B430" s="622" t="s">
        <v>595</v>
      </c>
      <c r="C430" s="618" t="s">
        <v>669</v>
      </c>
      <c r="D430" s="619" t="s">
        <v>596</v>
      </c>
      <c r="E430" s="622" t="s">
        <v>526</v>
      </c>
      <c r="F430" s="621" t="str">
        <f t="shared" si="60"/>
        <v>Leslokalen</v>
      </c>
      <c r="G430" s="622" t="s">
        <v>599</v>
      </c>
      <c r="H430" s="623">
        <v>51.59</v>
      </c>
      <c r="I430" s="635">
        <v>13120</v>
      </c>
      <c r="J430" s="395">
        <f t="shared" si="61"/>
        <v>120</v>
      </c>
      <c r="K430" s="396">
        <f t="shared" si="62"/>
        <v>0</v>
      </c>
      <c r="L430" s="396">
        <f t="shared" si="63"/>
        <v>0</v>
      </c>
      <c r="M430" s="396">
        <f t="shared" si="64"/>
        <v>0</v>
      </c>
      <c r="N430" s="396">
        <f t="shared" si="65"/>
        <v>0</v>
      </c>
      <c r="O430" s="396">
        <f t="shared" si="66"/>
        <v>0</v>
      </c>
      <c r="P430" s="396">
        <f t="shared" si="69"/>
        <v>0</v>
      </c>
      <c r="Q430" s="397" t="str">
        <f t="shared" si="67"/>
        <v>L</v>
      </c>
      <c r="R430" s="394"/>
      <c r="S430" s="394"/>
      <c r="T430" s="394"/>
      <c r="V430" s="16">
        <f t="shared" si="68"/>
        <v>6190.8</v>
      </c>
    </row>
    <row r="431" spans="1:22" ht="14.1" customHeight="1">
      <c r="A431" s="377">
        <v>432</v>
      </c>
      <c r="B431" s="622" t="s">
        <v>595</v>
      </c>
      <c r="C431" s="618" t="s">
        <v>669</v>
      </c>
      <c r="D431" s="619" t="s">
        <v>596</v>
      </c>
      <c r="E431" s="622" t="s">
        <v>604</v>
      </c>
      <c r="F431" s="621" t="str">
        <f t="shared" si="60"/>
        <v>Sanitaire ruimten</v>
      </c>
      <c r="G431" s="622" t="s">
        <v>377</v>
      </c>
      <c r="H431" s="623">
        <v>7</v>
      </c>
      <c r="I431" s="635">
        <v>2400</v>
      </c>
      <c r="J431" s="395">
        <f t="shared" si="61"/>
        <v>400</v>
      </c>
      <c r="K431" s="396">
        <f t="shared" si="62"/>
        <v>0</v>
      </c>
      <c r="L431" s="396">
        <f t="shared" si="63"/>
        <v>0</v>
      </c>
      <c r="M431" s="396">
        <f t="shared" si="64"/>
        <v>0</v>
      </c>
      <c r="N431" s="396">
        <f t="shared" si="65"/>
        <v>0</v>
      </c>
      <c r="O431" s="396">
        <f t="shared" si="66"/>
        <v>0</v>
      </c>
      <c r="P431" s="396">
        <f t="shared" si="69"/>
        <v>0</v>
      </c>
      <c r="Q431" s="397" t="str">
        <f t="shared" si="67"/>
        <v>S</v>
      </c>
      <c r="R431" s="610"/>
      <c r="S431" s="394"/>
      <c r="T431" s="394"/>
      <c r="V431" s="16">
        <f t="shared" si="68"/>
        <v>2800</v>
      </c>
    </row>
    <row r="432" spans="1:22" ht="14.1" customHeight="1">
      <c r="A432" s="377">
        <v>433</v>
      </c>
      <c r="B432" s="622" t="s">
        <v>595</v>
      </c>
      <c r="C432" s="618" t="s">
        <v>669</v>
      </c>
      <c r="D432" s="619" t="s">
        <v>596</v>
      </c>
      <c r="E432" s="622" t="s">
        <v>414</v>
      </c>
      <c r="F432" s="621" t="str">
        <f t="shared" si="60"/>
        <v>Pantry/keuken</v>
      </c>
      <c r="G432" s="622" t="s">
        <v>690</v>
      </c>
      <c r="H432" s="623">
        <v>16.899999999999999</v>
      </c>
      <c r="I432" s="635">
        <v>6200</v>
      </c>
      <c r="J432" s="395">
        <f t="shared" si="61"/>
        <v>200</v>
      </c>
      <c r="K432" s="396">
        <f t="shared" si="62"/>
        <v>0</v>
      </c>
      <c r="L432" s="396">
        <f t="shared" si="63"/>
        <v>0</v>
      </c>
      <c r="M432" s="396">
        <f t="shared" si="64"/>
        <v>0</v>
      </c>
      <c r="N432" s="396">
        <f t="shared" si="65"/>
        <v>0</v>
      </c>
      <c r="O432" s="396">
        <f t="shared" si="66"/>
        <v>0</v>
      </c>
      <c r="P432" s="396">
        <f t="shared" si="69"/>
        <v>0</v>
      </c>
      <c r="Q432" s="397" t="str">
        <f t="shared" si="67"/>
        <v>V</v>
      </c>
      <c r="R432" s="394"/>
      <c r="S432" s="394"/>
      <c r="T432" s="394"/>
      <c r="V432" s="16">
        <f t="shared" si="68"/>
        <v>3379.9999999999995</v>
      </c>
    </row>
    <row r="433" spans="1:22" ht="14.1" customHeight="1">
      <c r="A433" s="377">
        <v>434</v>
      </c>
      <c r="B433" s="622" t="s">
        <v>595</v>
      </c>
      <c r="C433" s="618" t="s">
        <v>669</v>
      </c>
      <c r="D433" s="619">
        <v>229</v>
      </c>
      <c r="E433" s="622" t="s">
        <v>691</v>
      </c>
      <c r="F433" s="621" t="str">
        <f t="shared" si="60"/>
        <v>Leslokalen</v>
      </c>
      <c r="G433" s="622" t="s">
        <v>599</v>
      </c>
      <c r="H433" s="623">
        <v>68.680000000000007</v>
      </c>
      <c r="I433" s="635">
        <v>13120</v>
      </c>
      <c r="J433" s="395">
        <f t="shared" si="61"/>
        <v>120</v>
      </c>
      <c r="K433" s="396">
        <f t="shared" si="62"/>
        <v>0</v>
      </c>
      <c r="L433" s="396">
        <f t="shared" si="63"/>
        <v>0</v>
      </c>
      <c r="M433" s="396">
        <f t="shared" si="64"/>
        <v>0</v>
      </c>
      <c r="N433" s="396">
        <f t="shared" si="65"/>
        <v>0</v>
      </c>
      <c r="O433" s="396">
        <f t="shared" si="66"/>
        <v>0</v>
      </c>
      <c r="P433" s="396">
        <f t="shared" si="69"/>
        <v>0</v>
      </c>
      <c r="Q433" s="397" t="str">
        <f t="shared" si="67"/>
        <v>L</v>
      </c>
      <c r="R433" s="394"/>
      <c r="S433" s="394"/>
      <c r="T433" s="394"/>
      <c r="V433" s="16">
        <f t="shared" si="68"/>
        <v>8241.6</v>
      </c>
    </row>
    <row r="434" spans="1:22" ht="14.1" customHeight="1">
      <c r="A434" s="377">
        <v>435</v>
      </c>
      <c r="B434" s="622" t="s">
        <v>595</v>
      </c>
      <c r="C434" s="618" t="s">
        <v>669</v>
      </c>
      <c r="D434" s="619" t="s">
        <v>596</v>
      </c>
      <c r="E434" s="622" t="s">
        <v>692</v>
      </c>
      <c r="F434" s="621" t="str">
        <f t="shared" si="60"/>
        <v>Leslokalen</v>
      </c>
      <c r="G434" s="622" t="s">
        <v>599</v>
      </c>
      <c r="H434" s="623">
        <v>85.85</v>
      </c>
      <c r="I434" s="635">
        <v>13120</v>
      </c>
      <c r="J434" s="395">
        <f t="shared" si="61"/>
        <v>120</v>
      </c>
      <c r="K434" s="396">
        <f t="shared" si="62"/>
        <v>0</v>
      </c>
      <c r="L434" s="396">
        <f t="shared" si="63"/>
        <v>0</v>
      </c>
      <c r="M434" s="396">
        <f t="shared" si="64"/>
        <v>0</v>
      </c>
      <c r="N434" s="396">
        <f t="shared" si="65"/>
        <v>0</v>
      </c>
      <c r="O434" s="396">
        <f t="shared" si="66"/>
        <v>0</v>
      </c>
      <c r="P434" s="396">
        <f t="shared" si="69"/>
        <v>0</v>
      </c>
      <c r="Q434" s="397" t="str">
        <f t="shared" si="67"/>
        <v>L</v>
      </c>
      <c r="R434" s="394"/>
      <c r="S434" s="394"/>
      <c r="T434" s="394"/>
      <c r="V434" s="16">
        <f t="shared" si="68"/>
        <v>10302</v>
      </c>
    </row>
    <row r="435" spans="1:22" ht="14.1" customHeight="1">
      <c r="A435" s="377">
        <v>436</v>
      </c>
      <c r="B435" s="622" t="s">
        <v>595</v>
      </c>
      <c r="C435" s="618" t="s">
        <v>669</v>
      </c>
      <c r="D435" s="619" t="s">
        <v>693</v>
      </c>
      <c r="E435" s="622" t="s">
        <v>692</v>
      </c>
      <c r="F435" s="621" t="str">
        <f t="shared" si="60"/>
        <v>Leslokalen</v>
      </c>
      <c r="G435" s="622" t="s">
        <v>599</v>
      </c>
      <c r="H435" s="623">
        <v>47.57</v>
      </c>
      <c r="I435" s="635">
        <v>13120</v>
      </c>
      <c r="J435" s="395">
        <f t="shared" si="61"/>
        <v>120</v>
      </c>
      <c r="K435" s="396">
        <f t="shared" si="62"/>
        <v>0</v>
      </c>
      <c r="L435" s="396">
        <f t="shared" si="63"/>
        <v>0</v>
      </c>
      <c r="M435" s="396">
        <f t="shared" si="64"/>
        <v>0</v>
      </c>
      <c r="N435" s="396">
        <f t="shared" si="65"/>
        <v>0</v>
      </c>
      <c r="O435" s="396">
        <f t="shared" si="66"/>
        <v>0</v>
      </c>
      <c r="P435" s="396">
        <f t="shared" si="69"/>
        <v>0</v>
      </c>
      <c r="Q435" s="397" t="str">
        <f t="shared" si="67"/>
        <v>L</v>
      </c>
      <c r="R435" s="394"/>
      <c r="S435" s="394"/>
      <c r="T435" s="394"/>
      <c r="V435" s="16">
        <f t="shared" si="68"/>
        <v>5708.4</v>
      </c>
    </row>
    <row r="436" spans="1:22" ht="14.1" customHeight="1">
      <c r="A436" s="377">
        <v>437</v>
      </c>
      <c r="B436" s="622" t="s">
        <v>595</v>
      </c>
      <c r="C436" s="618" t="s">
        <v>669</v>
      </c>
      <c r="D436" s="619" t="s">
        <v>596</v>
      </c>
      <c r="E436" s="622" t="s">
        <v>398</v>
      </c>
      <c r="F436" s="621" t="str">
        <f t="shared" si="60"/>
        <v>Gangen en hallen</v>
      </c>
      <c r="G436" s="622" t="s">
        <v>599</v>
      </c>
      <c r="H436" s="623">
        <v>9</v>
      </c>
      <c r="I436" s="635">
        <v>3200</v>
      </c>
      <c r="J436" s="395">
        <f t="shared" si="61"/>
        <v>200</v>
      </c>
      <c r="K436" s="396">
        <f t="shared" si="62"/>
        <v>0</v>
      </c>
      <c r="L436" s="396">
        <f t="shared" si="63"/>
        <v>0</v>
      </c>
      <c r="M436" s="396">
        <f t="shared" si="64"/>
        <v>0</v>
      </c>
      <c r="N436" s="396">
        <f t="shared" si="65"/>
        <v>0</v>
      </c>
      <c r="O436" s="396">
        <f t="shared" si="66"/>
        <v>0</v>
      </c>
      <c r="P436" s="396">
        <f t="shared" si="69"/>
        <v>0</v>
      </c>
      <c r="Q436" s="397" t="str">
        <f t="shared" si="67"/>
        <v>V</v>
      </c>
      <c r="R436" s="394"/>
      <c r="S436" s="394"/>
      <c r="T436" s="394"/>
      <c r="V436" s="16">
        <f t="shared" si="68"/>
        <v>1800</v>
      </c>
    </row>
    <row r="437" spans="1:22" ht="14.1" customHeight="1">
      <c r="A437" s="377">
        <v>438</v>
      </c>
      <c r="B437" s="622" t="s">
        <v>595</v>
      </c>
      <c r="C437" s="618" t="s">
        <v>669</v>
      </c>
      <c r="D437" s="619" t="s">
        <v>596</v>
      </c>
      <c r="E437" s="622" t="s">
        <v>398</v>
      </c>
      <c r="F437" s="621" t="str">
        <f t="shared" si="60"/>
        <v>Gangen en hallen</v>
      </c>
      <c r="G437" s="622" t="s">
        <v>599</v>
      </c>
      <c r="H437" s="623">
        <v>71.099999999999994</v>
      </c>
      <c r="I437" s="635">
        <v>3200</v>
      </c>
      <c r="J437" s="395">
        <f t="shared" si="61"/>
        <v>200</v>
      </c>
      <c r="K437" s="396">
        <f t="shared" si="62"/>
        <v>0</v>
      </c>
      <c r="L437" s="396">
        <f t="shared" si="63"/>
        <v>0</v>
      </c>
      <c r="M437" s="396">
        <f t="shared" si="64"/>
        <v>0</v>
      </c>
      <c r="N437" s="396">
        <f t="shared" si="65"/>
        <v>0</v>
      </c>
      <c r="O437" s="396">
        <f t="shared" si="66"/>
        <v>0</v>
      </c>
      <c r="P437" s="396">
        <f t="shared" si="69"/>
        <v>0</v>
      </c>
      <c r="Q437" s="397" t="str">
        <f t="shared" si="67"/>
        <v>V</v>
      </c>
      <c r="R437" s="394"/>
      <c r="S437" s="394"/>
      <c r="T437" s="394"/>
      <c r="V437" s="16">
        <f t="shared" si="68"/>
        <v>14219.999999999998</v>
      </c>
    </row>
    <row r="438" spans="1:22" ht="14.1" customHeight="1">
      <c r="A438" s="377">
        <v>439</v>
      </c>
      <c r="B438" s="622" t="s">
        <v>595</v>
      </c>
      <c r="C438" s="618" t="s">
        <v>669</v>
      </c>
      <c r="D438" s="619" t="s">
        <v>694</v>
      </c>
      <c r="E438" s="622" t="s">
        <v>526</v>
      </c>
      <c r="F438" s="621" t="str">
        <f t="shared" si="60"/>
        <v>Leslokalen</v>
      </c>
      <c r="G438" s="622" t="s">
        <v>599</v>
      </c>
      <c r="H438" s="623">
        <v>48.28</v>
      </c>
      <c r="I438" s="635">
        <v>13120</v>
      </c>
      <c r="J438" s="395">
        <f t="shared" si="61"/>
        <v>120</v>
      </c>
      <c r="K438" s="396">
        <f t="shared" si="62"/>
        <v>0</v>
      </c>
      <c r="L438" s="396">
        <f t="shared" si="63"/>
        <v>0</v>
      </c>
      <c r="M438" s="396">
        <f t="shared" si="64"/>
        <v>0</v>
      </c>
      <c r="N438" s="396">
        <f t="shared" si="65"/>
        <v>0</v>
      </c>
      <c r="O438" s="396">
        <f t="shared" si="66"/>
        <v>0</v>
      </c>
      <c r="P438" s="396">
        <f t="shared" si="69"/>
        <v>0</v>
      </c>
      <c r="Q438" s="397" t="str">
        <f t="shared" si="67"/>
        <v>L</v>
      </c>
      <c r="R438" s="394"/>
      <c r="S438" s="394"/>
      <c r="T438" s="394"/>
      <c r="V438" s="16">
        <f t="shared" si="68"/>
        <v>5793.6</v>
      </c>
    </row>
    <row r="439" spans="1:22" ht="14.1" customHeight="1">
      <c r="A439" s="377">
        <v>440</v>
      </c>
      <c r="B439" s="622" t="s">
        <v>595</v>
      </c>
      <c r="C439" s="618" t="s">
        <v>669</v>
      </c>
      <c r="D439" s="619" t="s">
        <v>695</v>
      </c>
      <c r="E439" s="622" t="s">
        <v>526</v>
      </c>
      <c r="F439" s="621" t="str">
        <f t="shared" si="60"/>
        <v>Leslokalen</v>
      </c>
      <c r="G439" s="622" t="s">
        <v>599</v>
      </c>
      <c r="H439" s="623">
        <v>48.28</v>
      </c>
      <c r="I439" s="635">
        <v>13120</v>
      </c>
      <c r="J439" s="395">
        <f t="shared" si="61"/>
        <v>120</v>
      </c>
      <c r="K439" s="396">
        <f t="shared" si="62"/>
        <v>0</v>
      </c>
      <c r="L439" s="396">
        <f t="shared" si="63"/>
        <v>0</v>
      </c>
      <c r="M439" s="396">
        <f t="shared" si="64"/>
        <v>0</v>
      </c>
      <c r="N439" s="396">
        <f t="shared" si="65"/>
        <v>0</v>
      </c>
      <c r="O439" s="396">
        <f t="shared" si="66"/>
        <v>0</v>
      </c>
      <c r="P439" s="396">
        <f t="shared" si="69"/>
        <v>0</v>
      </c>
      <c r="Q439" s="397" t="str">
        <f t="shared" si="67"/>
        <v>L</v>
      </c>
      <c r="R439" s="394"/>
      <c r="S439" s="394"/>
      <c r="T439" s="394"/>
      <c r="V439" s="16">
        <f t="shared" si="68"/>
        <v>5793.6</v>
      </c>
    </row>
    <row r="440" spans="1:22" ht="14.1" customHeight="1">
      <c r="A440" s="377">
        <v>441</v>
      </c>
      <c r="B440" s="622" t="s">
        <v>595</v>
      </c>
      <c r="C440" s="618" t="s">
        <v>669</v>
      </c>
      <c r="D440" s="619" t="s">
        <v>596</v>
      </c>
      <c r="E440" s="622" t="s">
        <v>423</v>
      </c>
      <c r="F440" s="621" t="str">
        <f t="shared" si="60"/>
        <v>Sanitaire ruimten</v>
      </c>
      <c r="G440" s="622" t="s">
        <v>377</v>
      </c>
      <c r="H440" s="623">
        <v>15.25</v>
      </c>
      <c r="I440" s="635">
        <v>2200</v>
      </c>
      <c r="J440" s="395">
        <f t="shared" si="61"/>
        <v>200</v>
      </c>
      <c r="K440" s="396">
        <f t="shared" si="62"/>
        <v>0</v>
      </c>
      <c r="L440" s="396">
        <f t="shared" si="63"/>
        <v>0</v>
      </c>
      <c r="M440" s="396">
        <f t="shared" si="64"/>
        <v>0</v>
      </c>
      <c r="N440" s="396">
        <f t="shared" si="65"/>
        <v>0</v>
      </c>
      <c r="O440" s="396">
        <f t="shared" si="66"/>
        <v>0</v>
      </c>
      <c r="P440" s="396">
        <f t="shared" si="69"/>
        <v>0</v>
      </c>
      <c r="Q440" s="397" t="str">
        <f t="shared" si="67"/>
        <v>S</v>
      </c>
      <c r="R440" s="394"/>
      <c r="S440" s="394"/>
      <c r="T440" s="394"/>
      <c r="V440" s="16">
        <f t="shared" si="68"/>
        <v>3050</v>
      </c>
    </row>
    <row r="441" spans="1:22" ht="14.1" customHeight="1">
      <c r="A441" s="377">
        <v>442</v>
      </c>
      <c r="B441" s="622" t="s">
        <v>595</v>
      </c>
      <c r="C441" s="618" t="s">
        <v>669</v>
      </c>
      <c r="D441" s="619" t="s">
        <v>696</v>
      </c>
      <c r="E441" s="622" t="s">
        <v>526</v>
      </c>
      <c r="F441" s="621" t="str">
        <f t="shared" si="60"/>
        <v>Leslokalen</v>
      </c>
      <c r="G441" s="622" t="s">
        <v>599</v>
      </c>
      <c r="H441" s="623">
        <v>47.57</v>
      </c>
      <c r="I441" s="635">
        <v>13120</v>
      </c>
      <c r="J441" s="395">
        <f t="shared" si="61"/>
        <v>120</v>
      </c>
      <c r="K441" s="396">
        <f t="shared" si="62"/>
        <v>0</v>
      </c>
      <c r="L441" s="396">
        <f t="shared" si="63"/>
        <v>0</v>
      </c>
      <c r="M441" s="396">
        <f t="shared" si="64"/>
        <v>0</v>
      </c>
      <c r="N441" s="396">
        <f t="shared" si="65"/>
        <v>0</v>
      </c>
      <c r="O441" s="396">
        <f t="shared" si="66"/>
        <v>0</v>
      </c>
      <c r="P441" s="396">
        <f t="shared" si="69"/>
        <v>0</v>
      </c>
      <c r="Q441" s="397" t="str">
        <f t="shared" si="67"/>
        <v>L</v>
      </c>
      <c r="R441" s="394"/>
      <c r="S441" s="394"/>
      <c r="T441" s="394"/>
      <c r="V441" s="16">
        <f t="shared" si="68"/>
        <v>5708.4</v>
      </c>
    </row>
    <row r="442" spans="1:22" ht="14.1" customHeight="1">
      <c r="A442" s="377">
        <v>443</v>
      </c>
      <c r="B442" s="622" t="s">
        <v>595</v>
      </c>
      <c r="C442" s="618" t="s">
        <v>669</v>
      </c>
      <c r="D442" s="619" t="s">
        <v>697</v>
      </c>
      <c r="E442" s="622" t="s">
        <v>526</v>
      </c>
      <c r="F442" s="621" t="str">
        <f t="shared" si="60"/>
        <v>Leslokalen</v>
      </c>
      <c r="G442" s="622" t="s">
        <v>599</v>
      </c>
      <c r="H442" s="623">
        <v>48.28</v>
      </c>
      <c r="I442" s="635">
        <v>13120</v>
      </c>
      <c r="J442" s="395">
        <f t="shared" si="61"/>
        <v>120</v>
      </c>
      <c r="K442" s="396">
        <f t="shared" si="62"/>
        <v>0</v>
      </c>
      <c r="L442" s="396">
        <f t="shared" si="63"/>
        <v>0</v>
      </c>
      <c r="M442" s="396">
        <f t="shared" si="64"/>
        <v>0</v>
      </c>
      <c r="N442" s="396">
        <f t="shared" si="65"/>
        <v>0</v>
      </c>
      <c r="O442" s="396">
        <f t="shared" si="66"/>
        <v>0</v>
      </c>
      <c r="P442" s="396">
        <f t="shared" si="69"/>
        <v>0</v>
      </c>
      <c r="Q442" s="397" t="str">
        <f t="shared" si="67"/>
        <v>L</v>
      </c>
      <c r="R442" s="394"/>
      <c r="S442" s="394"/>
      <c r="T442" s="394"/>
      <c r="V442" s="16">
        <f t="shared" si="68"/>
        <v>5793.6</v>
      </c>
    </row>
    <row r="443" spans="1:22" ht="14.1" customHeight="1">
      <c r="A443" s="377">
        <v>444</v>
      </c>
      <c r="B443" s="622" t="s">
        <v>595</v>
      </c>
      <c r="C443" s="618" t="s">
        <v>669</v>
      </c>
      <c r="D443" s="619" t="s">
        <v>596</v>
      </c>
      <c r="E443" s="622" t="s">
        <v>398</v>
      </c>
      <c r="F443" s="621" t="str">
        <f t="shared" si="60"/>
        <v>Gangen en hallen</v>
      </c>
      <c r="G443" s="622" t="s">
        <v>599</v>
      </c>
      <c r="H443" s="623">
        <v>14.4</v>
      </c>
      <c r="I443" s="635">
        <v>3200</v>
      </c>
      <c r="J443" s="395">
        <f t="shared" si="61"/>
        <v>200</v>
      </c>
      <c r="K443" s="396">
        <f t="shared" si="62"/>
        <v>0</v>
      </c>
      <c r="L443" s="396">
        <f t="shared" si="63"/>
        <v>0</v>
      </c>
      <c r="M443" s="396">
        <f t="shared" si="64"/>
        <v>0</v>
      </c>
      <c r="N443" s="396">
        <f t="shared" si="65"/>
        <v>0</v>
      </c>
      <c r="O443" s="396">
        <f t="shared" si="66"/>
        <v>0</v>
      </c>
      <c r="P443" s="396">
        <f t="shared" si="69"/>
        <v>0</v>
      </c>
      <c r="Q443" s="397" t="str">
        <f t="shared" si="67"/>
        <v>V</v>
      </c>
      <c r="R443" s="394"/>
      <c r="S443" s="394"/>
      <c r="T443" s="394"/>
      <c r="V443" s="16">
        <f t="shared" si="68"/>
        <v>2880</v>
      </c>
    </row>
    <row r="444" spans="1:22" ht="14.1" customHeight="1">
      <c r="A444" s="377">
        <v>445</v>
      </c>
      <c r="B444" s="622" t="s">
        <v>595</v>
      </c>
      <c r="C444" s="618" t="s">
        <v>669</v>
      </c>
      <c r="D444" s="619" t="s">
        <v>596</v>
      </c>
      <c r="E444" s="622" t="s">
        <v>391</v>
      </c>
      <c r="F444" s="621" t="str">
        <f t="shared" si="60"/>
        <v>Liften</v>
      </c>
      <c r="G444" s="622" t="s">
        <v>599</v>
      </c>
      <c r="H444" s="623">
        <v>2</v>
      </c>
      <c r="I444" s="635">
        <v>4200</v>
      </c>
      <c r="J444" s="395">
        <f t="shared" si="61"/>
        <v>200</v>
      </c>
      <c r="K444" s="396">
        <f t="shared" si="62"/>
        <v>0</v>
      </c>
      <c r="L444" s="396">
        <f t="shared" si="63"/>
        <v>0</v>
      </c>
      <c r="M444" s="396">
        <f t="shared" si="64"/>
        <v>0</v>
      </c>
      <c r="N444" s="396">
        <f t="shared" si="65"/>
        <v>0</v>
      </c>
      <c r="O444" s="396">
        <f t="shared" si="66"/>
        <v>0</v>
      </c>
      <c r="P444" s="396">
        <f t="shared" si="69"/>
        <v>0</v>
      </c>
      <c r="Q444" s="397" t="str">
        <f t="shared" si="67"/>
        <v>V</v>
      </c>
      <c r="R444" s="394"/>
      <c r="S444" s="394"/>
      <c r="T444" s="394"/>
      <c r="V444" s="16">
        <f t="shared" si="68"/>
        <v>400</v>
      </c>
    </row>
    <row r="445" spans="1:22" ht="14.1" customHeight="1">
      <c r="A445" s="377">
        <v>446</v>
      </c>
      <c r="B445" s="622" t="s">
        <v>595</v>
      </c>
      <c r="C445" s="618" t="s">
        <v>669</v>
      </c>
      <c r="D445" s="619" t="s">
        <v>596</v>
      </c>
      <c r="E445" s="622" t="s">
        <v>612</v>
      </c>
      <c r="F445" s="621" t="str">
        <f t="shared" si="60"/>
        <v>Opslagruimten</v>
      </c>
      <c r="G445" s="622" t="s">
        <v>599</v>
      </c>
      <c r="H445" s="623">
        <v>1.9</v>
      </c>
      <c r="I445" s="635">
        <v>14012</v>
      </c>
      <c r="J445" s="395">
        <f t="shared" si="61"/>
        <v>12</v>
      </c>
      <c r="K445" s="396">
        <f t="shared" si="62"/>
        <v>0</v>
      </c>
      <c r="L445" s="396">
        <f t="shared" si="63"/>
        <v>0</v>
      </c>
      <c r="M445" s="396">
        <f t="shared" si="64"/>
        <v>0</v>
      </c>
      <c r="N445" s="396">
        <f t="shared" si="65"/>
        <v>0</v>
      </c>
      <c r="O445" s="396">
        <f t="shared" si="66"/>
        <v>0</v>
      </c>
      <c r="P445" s="396">
        <f t="shared" si="69"/>
        <v>0</v>
      </c>
      <c r="Q445" s="397" t="str">
        <f t="shared" si="67"/>
        <v>V</v>
      </c>
      <c r="R445" s="394"/>
      <c r="S445" s="394"/>
      <c r="T445" s="394"/>
      <c r="V445" s="16">
        <f t="shared" si="68"/>
        <v>22.799999999999997</v>
      </c>
    </row>
    <row r="446" spans="1:22" ht="14.1" customHeight="1">
      <c r="A446" s="377">
        <v>447</v>
      </c>
      <c r="B446" s="622" t="s">
        <v>595</v>
      </c>
      <c r="C446" s="618" t="s">
        <v>669</v>
      </c>
      <c r="D446" s="619" t="s">
        <v>596</v>
      </c>
      <c r="E446" s="622" t="s">
        <v>489</v>
      </c>
      <c r="F446" s="621" t="str">
        <f t="shared" si="60"/>
        <v>Trappenhuizen</v>
      </c>
      <c r="G446" s="622" t="s">
        <v>636</v>
      </c>
      <c r="H446" s="623">
        <v>10.23</v>
      </c>
      <c r="I446" s="635">
        <v>5200</v>
      </c>
      <c r="J446" s="395">
        <f t="shared" si="61"/>
        <v>200</v>
      </c>
      <c r="K446" s="396">
        <f t="shared" si="62"/>
        <v>0</v>
      </c>
      <c r="L446" s="396">
        <f t="shared" si="63"/>
        <v>0</v>
      </c>
      <c r="M446" s="396">
        <f t="shared" si="64"/>
        <v>0</v>
      </c>
      <c r="N446" s="396">
        <f t="shared" si="65"/>
        <v>0</v>
      </c>
      <c r="O446" s="396">
        <f t="shared" si="66"/>
        <v>0</v>
      </c>
      <c r="P446" s="396">
        <f t="shared" si="69"/>
        <v>0</v>
      </c>
      <c r="Q446" s="397" t="str">
        <f t="shared" si="67"/>
        <v>V</v>
      </c>
      <c r="R446" s="394"/>
      <c r="S446" s="394"/>
      <c r="T446" s="394"/>
      <c r="V446" s="16">
        <f t="shared" si="68"/>
        <v>2046</v>
      </c>
    </row>
    <row r="447" spans="1:22" ht="14.1" customHeight="1">
      <c r="A447" s="377">
        <v>448</v>
      </c>
      <c r="B447" s="622" t="s">
        <v>595</v>
      </c>
      <c r="C447" s="618" t="s">
        <v>608</v>
      </c>
      <c r="D447" s="619" t="s">
        <v>596</v>
      </c>
      <c r="E447" s="622" t="s">
        <v>608</v>
      </c>
      <c r="F447" s="621" t="str">
        <f t="shared" si="60"/>
        <v>Sportzaal/gymzaal</v>
      </c>
      <c r="G447" s="622" t="s">
        <v>609</v>
      </c>
      <c r="H447" s="623">
        <v>252</v>
      </c>
      <c r="I447" s="635">
        <v>8200</v>
      </c>
      <c r="J447" s="395">
        <f t="shared" si="61"/>
        <v>200</v>
      </c>
      <c r="K447" s="396">
        <f t="shared" si="62"/>
        <v>0</v>
      </c>
      <c r="L447" s="396">
        <f t="shared" si="63"/>
        <v>0</v>
      </c>
      <c r="M447" s="396">
        <f t="shared" si="64"/>
        <v>0</v>
      </c>
      <c r="N447" s="396">
        <f t="shared" si="65"/>
        <v>0</v>
      </c>
      <c r="O447" s="396">
        <f t="shared" si="66"/>
        <v>0</v>
      </c>
      <c r="P447" s="396">
        <f t="shared" si="69"/>
        <v>0</v>
      </c>
      <c r="Q447" s="397" t="str">
        <f t="shared" si="67"/>
        <v>V</v>
      </c>
      <c r="R447" s="394"/>
      <c r="S447" s="394"/>
      <c r="T447" s="394"/>
      <c r="V447" s="16">
        <f t="shared" si="68"/>
        <v>50400</v>
      </c>
    </row>
    <row r="448" spans="1:22" ht="14.1" customHeight="1">
      <c r="A448" s="377">
        <v>449</v>
      </c>
      <c r="B448" s="622" t="s">
        <v>595</v>
      </c>
      <c r="C448" s="618" t="s">
        <v>608</v>
      </c>
      <c r="D448" s="619" t="s">
        <v>596</v>
      </c>
      <c r="E448" s="622" t="s">
        <v>503</v>
      </c>
      <c r="F448" s="621" t="str">
        <f t="shared" si="60"/>
        <v>Opslagruimten</v>
      </c>
      <c r="G448" s="622" t="s">
        <v>609</v>
      </c>
      <c r="H448" s="623">
        <v>28.29</v>
      </c>
      <c r="I448" s="635">
        <v>14012</v>
      </c>
      <c r="J448" s="395">
        <f t="shared" si="61"/>
        <v>12</v>
      </c>
      <c r="K448" s="396">
        <f t="shared" si="62"/>
        <v>0</v>
      </c>
      <c r="L448" s="396">
        <f t="shared" si="63"/>
        <v>0</v>
      </c>
      <c r="M448" s="396">
        <f t="shared" si="64"/>
        <v>0</v>
      </c>
      <c r="N448" s="396">
        <f t="shared" si="65"/>
        <v>0</v>
      </c>
      <c r="O448" s="396">
        <f t="shared" si="66"/>
        <v>0</v>
      </c>
      <c r="P448" s="396">
        <f t="shared" si="69"/>
        <v>0</v>
      </c>
      <c r="Q448" s="397" t="str">
        <f t="shared" si="67"/>
        <v>V</v>
      </c>
      <c r="R448" s="394"/>
      <c r="S448" s="394"/>
      <c r="T448" s="394"/>
      <c r="V448" s="16">
        <f t="shared" si="68"/>
        <v>339.48</v>
      </c>
    </row>
    <row r="449" spans="1:22" ht="14.1" customHeight="1">
      <c r="A449" s="377">
        <v>450</v>
      </c>
      <c r="B449" s="622" t="s">
        <v>595</v>
      </c>
      <c r="C449" s="618" t="s">
        <v>608</v>
      </c>
      <c r="D449" s="619" t="s">
        <v>596</v>
      </c>
      <c r="E449" s="622" t="s">
        <v>606</v>
      </c>
      <c r="F449" s="621" t="str">
        <f t="shared" si="60"/>
        <v>Kleedruimten</v>
      </c>
      <c r="G449" s="622" t="s">
        <v>599</v>
      </c>
      <c r="H449" s="623">
        <v>15.58</v>
      </c>
      <c r="I449" s="635">
        <v>11200</v>
      </c>
      <c r="J449" s="395">
        <f t="shared" si="61"/>
        <v>200</v>
      </c>
      <c r="K449" s="396">
        <f t="shared" si="62"/>
        <v>0</v>
      </c>
      <c r="L449" s="396">
        <f t="shared" si="63"/>
        <v>0</v>
      </c>
      <c r="M449" s="396">
        <f t="shared" si="64"/>
        <v>0</v>
      </c>
      <c r="N449" s="396">
        <f t="shared" si="65"/>
        <v>0</v>
      </c>
      <c r="O449" s="396">
        <f t="shared" si="66"/>
        <v>0</v>
      </c>
      <c r="P449" s="396">
        <f t="shared" si="69"/>
        <v>0</v>
      </c>
      <c r="Q449" s="397" t="str">
        <f t="shared" si="67"/>
        <v>V</v>
      </c>
      <c r="R449" s="394"/>
      <c r="S449" s="394"/>
      <c r="T449" s="394"/>
      <c r="V449" s="16">
        <f t="shared" si="68"/>
        <v>3116</v>
      </c>
    </row>
    <row r="450" spans="1:22" ht="14.1" customHeight="1">
      <c r="A450" s="377">
        <v>451</v>
      </c>
      <c r="B450" s="622" t="s">
        <v>595</v>
      </c>
      <c r="C450" s="618" t="s">
        <v>608</v>
      </c>
      <c r="D450" s="619" t="s">
        <v>596</v>
      </c>
      <c r="E450" s="622" t="s">
        <v>527</v>
      </c>
      <c r="F450" s="621" t="str">
        <f t="shared" si="60"/>
        <v>Sanitaire ruimten</v>
      </c>
      <c r="G450" s="622" t="s">
        <v>377</v>
      </c>
      <c r="H450" s="623">
        <v>18.329999999999998</v>
      </c>
      <c r="I450" s="635">
        <v>2200</v>
      </c>
      <c r="J450" s="395">
        <f t="shared" si="61"/>
        <v>200</v>
      </c>
      <c r="K450" s="396">
        <f t="shared" si="62"/>
        <v>0</v>
      </c>
      <c r="L450" s="396">
        <f t="shared" si="63"/>
        <v>0</v>
      </c>
      <c r="M450" s="396">
        <f t="shared" si="64"/>
        <v>0</v>
      </c>
      <c r="N450" s="396">
        <f t="shared" si="65"/>
        <v>0</v>
      </c>
      <c r="O450" s="396">
        <f t="shared" si="66"/>
        <v>0</v>
      </c>
      <c r="P450" s="396">
        <f t="shared" si="69"/>
        <v>0</v>
      </c>
      <c r="Q450" s="397" t="str">
        <f t="shared" si="67"/>
        <v>S</v>
      </c>
      <c r="R450" s="394"/>
      <c r="S450" s="394"/>
      <c r="T450" s="394"/>
      <c r="V450" s="16">
        <f t="shared" si="68"/>
        <v>3665.9999999999995</v>
      </c>
    </row>
    <row r="451" spans="1:22" ht="14.1" customHeight="1">
      <c r="A451" s="377">
        <v>452</v>
      </c>
      <c r="B451" s="622" t="s">
        <v>595</v>
      </c>
      <c r="C451" s="618" t="s">
        <v>608</v>
      </c>
      <c r="D451" s="619" t="s">
        <v>596</v>
      </c>
      <c r="E451" s="622" t="s">
        <v>462</v>
      </c>
      <c r="F451" s="621" t="str">
        <f t="shared" si="60"/>
        <v>Gangen en hallen</v>
      </c>
      <c r="G451" s="622" t="s">
        <v>377</v>
      </c>
      <c r="H451" s="623">
        <v>5.4</v>
      </c>
      <c r="I451" s="635">
        <v>3200</v>
      </c>
      <c r="J451" s="395">
        <f t="shared" si="61"/>
        <v>200</v>
      </c>
      <c r="K451" s="396">
        <f t="shared" si="62"/>
        <v>0</v>
      </c>
      <c r="L451" s="396">
        <f t="shared" si="63"/>
        <v>0</v>
      </c>
      <c r="M451" s="396">
        <f t="shared" si="64"/>
        <v>0</v>
      </c>
      <c r="N451" s="396">
        <f t="shared" si="65"/>
        <v>0</v>
      </c>
      <c r="O451" s="396">
        <f t="shared" si="66"/>
        <v>0</v>
      </c>
      <c r="P451" s="396">
        <f t="shared" si="69"/>
        <v>0</v>
      </c>
      <c r="Q451" s="397" t="str">
        <f t="shared" si="67"/>
        <v>V</v>
      </c>
      <c r="R451" s="394"/>
      <c r="S451" s="394"/>
      <c r="T451" s="394"/>
      <c r="V451" s="16">
        <f t="shared" si="68"/>
        <v>1080</v>
      </c>
    </row>
    <row r="452" spans="1:22" ht="14.1" customHeight="1">
      <c r="A452" s="377">
        <v>453</v>
      </c>
      <c r="B452" s="622" t="s">
        <v>595</v>
      </c>
      <c r="C452" s="618" t="s">
        <v>608</v>
      </c>
      <c r="D452" s="619" t="s">
        <v>596</v>
      </c>
      <c r="E452" s="622" t="s">
        <v>423</v>
      </c>
      <c r="F452" s="621" t="str">
        <f t="shared" si="60"/>
        <v>Sanitaire ruimten</v>
      </c>
      <c r="G452" s="622" t="s">
        <v>377</v>
      </c>
      <c r="H452" s="623">
        <v>1</v>
      </c>
      <c r="I452" s="635">
        <v>2200</v>
      </c>
      <c r="J452" s="395">
        <f t="shared" si="61"/>
        <v>200</v>
      </c>
      <c r="K452" s="396">
        <f t="shared" si="62"/>
        <v>0</v>
      </c>
      <c r="L452" s="396">
        <f t="shared" si="63"/>
        <v>0</v>
      </c>
      <c r="M452" s="396">
        <f t="shared" si="64"/>
        <v>0</v>
      </c>
      <c r="N452" s="396">
        <f t="shared" si="65"/>
        <v>0</v>
      </c>
      <c r="O452" s="396">
        <f t="shared" si="66"/>
        <v>0</v>
      </c>
      <c r="P452" s="396">
        <f t="shared" si="69"/>
        <v>0</v>
      </c>
      <c r="Q452" s="397" t="str">
        <f t="shared" si="67"/>
        <v>S</v>
      </c>
      <c r="R452" s="394"/>
      <c r="S452" s="394"/>
      <c r="T452" s="394"/>
      <c r="V452" s="16">
        <f t="shared" si="68"/>
        <v>200</v>
      </c>
    </row>
    <row r="453" spans="1:22" ht="14.1" customHeight="1">
      <c r="A453" s="377">
        <v>454</v>
      </c>
      <c r="B453" s="622" t="s">
        <v>595</v>
      </c>
      <c r="C453" s="618" t="s">
        <v>608</v>
      </c>
      <c r="D453" s="619" t="s">
        <v>596</v>
      </c>
      <c r="E453" s="622" t="s">
        <v>606</v>
      </c>
      <c r="F453" s="621" t="str">
        <f t="shared" si="60"/>
        <v>Kleedruimten</v>
      </c>
      <c r="G453" s="622" t="s">
        <v>377</v>
      </c>
      <c r="H453" s="623">
        <v>15.2</v>
      </c>
      <c r="I453" s="635">
        <v>11200</v>
      </c>
      <c r="J453" s="395">
        <f t="shared" si="61"/>
        <v>200</v>
      </c>
      <c r="K453" s="396">
        <f t="shared" si="62"/>
        <v>0</v>
      </c>
      <c r="L453" s="396">
        <f t="shared" si="63"/>
        <v>0</v>
      </c>
      <c r="M453" s="396">
        <f t="shared" si="64"/>
        <v>0</v>
      </c>
      <c r="N453" s="396">
        <f t="shared" si="65"/>
        <v>0</v>
      </c>
      <c r="O453" s="396">
        <f t="shared" si="66"/>
        <v>0</v>
      </c>
      <c r="P453" s="396">
        <f t="shared" si="69"/>
        <v>0</v>
      </c>
      <c r="Q453" s="397" t="str">
        <f t="shared" si="67"/>
        <v>V</v>
      </c>
      <c r="R453" s="394"/>
      <c r="S453" s="394"/>
      <c r="T453" s="394"/>
      <c r="V453" s="16">
        <f t="shared" si="68"/>
        <v>3040</v>
      </c>
    </row>
    <row r="454" spans="1:22" ht="14.1" customHeight="1">
      <c r="A454" s="377">
        <v>455</v>
      </c>
      <c r="B454" s="622" t="s">
        <v>595</v>
      </c>
      <c r="C454" s="618" t="s">
        <v>608</v>
      </c>
      <c r="D454" s="619" t="s">
        <v>596</v>
      </c>
      <c r="E454" s="622" t="s">
        <v>527</v>
      </c>
      <c r="F454" s="621" t="str">
        <f t="shared" si="60"/>
        <v>Sanitaire ruimten</v>
      </c>
      <c r="G454" s="622" t="s">
        <v>377</v>
      </c>
      <c r="H454" s="623">
        <v>18.399999999999999</v>
      </c>
      <c r="I454" s="635">
        <v>2200</v>
      </c>
      <c r="J454" s="395">
        <f t="shared" si="61"/>
        <v>200</v>
      </c>
      <c r="K454" s="396">
        <f t="shared" si="62"/>
        <v>0</v>
      </c>
      <c r="L454" s="396">
        <f t="shared" si="63"/>
        <v>0</v>
      </c>
      <c r="M454" s="396">
        <f t="shared" si="64"/>
        <v>0</v>
      </c>
      <c r="N454" s="396">
        <f t="shared" si="65"/>
        <v>0</v>
      </c>
      <c r="O454" s="396">
        <f t="shared" si="66"/>
        <v>0</v>
      </c>
      <c r="P454" s="396">
        <f t="shared" si="69"/>
        <v>0</v>
      </c>
      <c r="Q454" s="397" t="str">
        <f t="shared" si="67"/>
        <v>S</v>
      </c>
      <c r="R454" s="394"/>
      <c r="S454" s="394"/>
      <c r="T454" s="394"/>
      <c r="V454" s="16">
        <f t="shared" si="68"/>
        <v>3679.9999999999995</v>
      </c>
    </row>
    <row r="455" spans="1:22" ht="14.1" customHeight="1">
      <c r="A455" s="377">
        <v>456</v>
      </c>
      <c r="B455" s="622" t="s">
        <v>595</v>
      </c>
      <c r="C455" s="618" t="s">
        <v>608</v>
      </c>
      <c r="D455" s="619" t="s">
        <v>596</v>
      </c>
      <c r="E455" s="622" t="s">
        <v>389</v>
      </c>
      <c r="F455" s="621" t="str">
        <f t="shared" si="60"/>
        <v>Niet van toepassing</v>
      </c>
      <c r="G455" s="622" t="s">
        <v>377</v>
      </c>
      <c r="H455" s="623">
        <v>4</v>
      </c>
      <c r="I455" s="635" t="s">
        <v>229</v>
      </c>
      <c r="J455" s="395">
        <f t="shared" si="61"/>
        <v>0</v>
      </c>
      <c r="K455" s="396">
        <f t="shared" si="62"/>
        <v>0</v>
      </c>
      <c r="L455" s="396">
        <f t="shared" si="63"/>
        <v>0</v>
      </c>
      <c r="M455" s="396">
        <f t="shared" si="64"/>
        <v>0</v>
      </c>
      <c r="N455" s="396">
        <f t="shared" si="65"/>
        <v>0</v>
      </c>
      <c r="O455" s="396">
        <f t="shared" si="66"/>
        <v>0</v>
      </c>
      <c r="P455" s="396">
        <f t="shared" si="69"/>
        <v>0</v>
      </c>
      <c r="Q455" s="397">
        <f t="shared" si="67"/>
        <v>0</v>
      </c>
      <c r="R455" s="394"/>
      <c r="S455" s="394"/>
      <c r="T455" s="394"/>
      <c r="V455" s="16">
        <f t="shared" si="68"/>
        <v>0</v>
      </c>
    </row>
    <row r="456" spans="1:22" ht="14.1" customHeight="1">
      <c r="A456" s="377">
        <v>457</v>
      </c>
      <c r="B456" s="622" t="s">
        <v>595</v>
      </c>
      <c r="C456" s="618" t="s">
        <v>608</v>
      </c>
      <c r="D456" s="619" t="s">
        <v>596</v>
      </c>
      <c r="E456" s="622" t="s">
        <v>200</v>
      </c>
      <c r="F456" s="621" t="str">
        <f t="shared" si="60"/>
        <v>Administratieve ruimten</v>
      </c>
      <c r="G456" s="622" t="s">
        <v>599</v>
      </c>
      <c r="H456" s="623">
        <v>5.7</v>
      </c>
      <c r="I456" s="635">
        <v>1126</v>
      </c>
      <c r="J456" s="395">
        <f t="shared" si="61"/>
        <v>126</v>
      </c>
      <c r="K456" s="396">
        <f t="shared" si="62"/>
        <v>0</v>
      </c>
      <c r="L456" s="396">
        <f t="shared" si="63"/>
        <v>0</v>
      </c>
      <c r="M456" s="396">
        <f t="shared" si="64"/>
        <v>0</v>
      </c>
      <c r="N456" s="396">
        <f t="shared" si="65"/>
        <v>0</v>
      </c>
      <c r="O456" s="396">
        <f t="shared" si="66"/>
        <v>0</v>
      </c>
      <c r="P456" s="396">
        <f t="shared" si="69"/>
        <v>0</v>
      </c>
      <c r="Q456" s="397" t="str">
        <f t="shared" si="67"/>
        <v>B</v>
      </c>
      <c r="R456" s="394"/>
      <c r="S456" s="394"/>
      <c r="T456" s="394"/>
      <c r="V456" s="16">
        <f t="shared" si="68"/>
        <v>718.2</v>
      </c>
    </row>
    <row r="457" spans="1:22" ht="14.1" customHeight="1">
      <c r="A457" s="377">
        <v>458</v>
      </c>
      <c r="B457" s="622" t="s">
        <v>595</v>
      </c>
      <c r="C457" s="618" t="s">
        <v>701</v>
      </c>
      <c r="D457" s="619"/>
      <c r="E457" s="622" t="s">
        <v>702</v>
      </c>
      <c r="F457" s="621" t="str">
        <f t="shared" si="60"/>
        <v>Sanitaire ruimten</v>
      </c>
      <c r="G457" s="622" t="s">
        <v>550</v>
      </c>
      <c r="H457" s="623">
        <v>2.4</v>
      </c>
      <c r="I457" s="635">
        <v>2105</v>
      </c>
      <c r="J457" s="395">
        <f t="shared" ref="J457:J458" si="70">SUM(IF(I457="",0,VLOOKUP(I457,Kengetal,2)))</f>
        <v>105</v>
      </c>
      <c r="K457" s="396">
        <f t="shared" si="62"/>
        <v>0</v>
      </c>
      <c r="L457" s="396">
        <f t="shared" si="63"/>
        <v>0</v>
      </c>
      <c r="M457" s="396">
        <f t="shared" si="64"/>
        <v>0</v>
      </c>
      <c r="N457" s="396">
        <f t="shared" ref="N457:N458" si="71">IF($I457="",0,VLOOKUP($I457,Kengetal,5,FALSE))</f>
        <v>0</v>
      </c>
      <c r="O457" s="396">
        <f t="shared" ref="O457:O458" si="72">IF($I457="",0,VLOOKUP($I457,Kengetal,6,FALSE))</f>
        <v>0</v>
      </c>
      <c r="P457" s="396">
        <f t="shared" si="69"/>
        <v>0</v>
      </c>
      <c r="Q457" s="397" t="str">
        <f t="shared" ref="Q457:Q458" si="73">IF(I457="","",VLOOKUP(I457,Kengetal,12,FALSE))</f>
        <v>S</v>
      </c>
      <c r="R457" s="610"/>
      <c r="S457" s="394"/>
      <c r="T457" s="394"/>
      <c r="V457" s="16">
        <f t="shared" si="68"/>
        <v>252</v>
      </c>
    </row>
    <row r="458" spans="1:22" ht="14.1" customHeight="1">
      <c r="A458" s="377">
        <v>459</v>
      </c>
      <c r="B458" s="622" t="s">
        <v>595</v>
      </c>
      <c r="C458" s="618" t="s">
        <v>371</v>
      </c>
      <c r="D458" s="619"/>
      <c r="E458" s="622" t="s">
        <v>710</v>
      </c>
      <c r="F458" s="621" t="str">
        <f t="shared" si="60"/>
        <v>Kantine</v>
      </c>
      <c r="G458" s="622"/>
      <c r="H458" s="623">
        <v>380</v>
      </c>
      <c r="I458" s="635">
        <v>7200</v>
      </c>
      <c r="J458" s="395">
        <f t="shared" si="70"/>
        <v>200</v>
      </c>
      <c r="K458" s="396">
        <f t="shared" si="62"/>
        <v>0</v>
      </c>
      <c r="L458" s="396">
        <f t="shared" si="63"/>
        <v>0</v>
      </c>
      <c r="M458" s="396">
        <f t="shared" si="64"/>
        <v>0</v>
      </c>
      <c r="N458" s="396">
        <f t="shared" si="71"/>
        <v>0</v>
      </c>
      <c r="O458" s="396">
        <f t="shared" si="72"/>
        <v>0</v>
      </c>
      <c r="P458" s="396">
        <f t="shared" ref="P458" si="74">IF($I458="",0,VLOOKUP($I458,Kengetal,7,FALSE))</f>
        <v>0</v>
      </c>
      <c r="Q458" s="397" t="str">
        <f t="shared" si="73"/>
        <v>V</v>
      </c>
      <c r="R458" s="394"/>
      <c r="S458" s="394"/>
      <c r="T458" s="394"/>
      <c r="V458" s="16">
        <f t="shared" si="68"/>
        <v>76000</v>
      </c>
    </row>
    <row r="459" spans="1:22" ht="14.1" customHeight="1">
      <c r="H459" s="375"/>
    </row>
    <row r="460" spans="1:22" ht="14.1" customHeight="1">
      <c r="H460" s="375"/>
      <c r="V460" s="35">
        <f>SUM(V10:V459)</f>
        <v>3608334.6499999985</v>
      </c>
    </row>
    <row r="461" spans="1:22" ht="14.1" customHeight="1">
      <c r="H461" s="375"/>
      <c r="T461" s="35" t="s">
        <v>734</v>
      </c>
      <c r="V461" s="607">
        <f>SUM(K10:K458)+SUM(L10:L458)</f>
        <v>0</v>
      </c>
    </row>
    <row r="462" spans="1:22" ht="14.1" customHeight="1">
      <c r="H462" s="375"/>
      <c r="T462" s="35" t="s">
        <v>735</v>
      </c>
      <c r="V462" s="608" t="e">
        <f>V460/V461</f>
        <v>#DIV/0!</v>
      </c>
    </row>
    <row r="463" spans="1:22" ht="14.1" customHeight="1">
      <c r="H463" s="375"/>
    </row>
    <row r="464" spans="1:22" ht="14.1" customHeight="1">
      <c r="H464" s="375"/>
    </row>
    <row r="465" spans="8:8" ht="14.1" customHeight="1">
      <c r="H465" s="375"/>
    </row>
    <row r="466" spans="8:8" ht="14.1" customHeight="1">
      <c r="H466" s="375"/>
    </row>
    <row r="467" spans="8:8" ht="14.1" customHeight="1">
      <c r="H467" s="375"/>
    </row>
    <row r="468" spans="8:8" ht="14.1" customHeight="1">
      <c r="H468" s="375"/>
    </row>
    <row r="469" spans="8:8" ht="14.1" customHeight="1">
      <c r="H469" s="375"/>
    </row>
    <row r="470" spans="8:8" ht="14.1" customHeight="1">
      <c r="H470" s="375"/>
    </row>
    <row r="471" spans="8:8" ht="14.1" customHeight="1">
      <c r="H471" s="375"/>
    </row>
    <row r="472" spans="8:8" ht="14.1" customHeight="1">
      <c r="H472" s="375"/>
    </row>
    <row r="473" spans="8:8" ht="14.1" customHeight="1">
      <c r="H473" s="375"/>
    </row>
  </sheetData>
  <autoFilter ref="A9:W458"/>
  <phoneticPr fontId="8"/>
  <printOptions horizontalCentered="1" gridLinesSet="0"/>
  <pageMargins left="0.19685039370078741" right="0.19685039370078741" top="0.59055118110236227" bottom="0.78740157480314965" header="0.39370078740157483" footer="0.19685039370078741"/>
  <headerFooter alignWithMargins="0">
    <oddFooter>&amp;L&amp;"Verdana,Regular"&amp;F-&amp;A
Atir b.v. ©&amp;C&amp;R&amp;"Verdana,Regular"printversie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showGridLines="0" showZeros="0" showOutlineSymbols="0" zoomScaleSheetLayoutView="100" workbookViewId="0">
      <pane ySplit="8" topLeftCell="A9" activePane="bottomLeft" state="frozen"/>
      <selection sqref="A1:XFD1048576"/>
      <selection pane="bottomLeft" activeCell="D48" sqref="D48"/>
    </sheetView>
  </sheetViews>
  <sheetFormatPr defaultColWidth="9.28515625" defaultRowHeight="12.75"/>
  <cols>
    <col min="1" max="1" width="45.5703125" style="35" customWidth="1"/>
    <col min="2" max="2" width="16.140625" style="35" customWidth="1"/>
    <col min="3" max="3" width="18.42578125" style="35" customWidth="1"/>
    <col min="4" max="4" width="10.7109375" style="35" customWidth="1"/>
    <col min="5" max="5" width="11.140625" style="35" customWidth="1"/>
    <col min="6" max="6" width="2.140625" style="35" customWidth="1"/>
    <col min="7" max="7" width="7.85546875" style="35" customWidth="1"/>
    <col min="8" max="8" width="27" style="35" bestFit="1" customWidth="1"/>
    <col min="9" max="16384" width="9.28515625" style="35"/>
  </cols>
  <sheetData>
    <row r="1" spans="1:9">
      <c r="A1" s="361" t="s">
        <v>103</v>
      </c>
      <c r="B1" s="362"/>
      <c r="C1" s="69"/>
      <c r="D1" s="69"/>
      <c r="E1" s="69"/>
      <c r="F1" s="34"/>
      <c r="G1" s="34"/>
      <c r="H1" s="70"/>
    </row>
    <row r="2" spans="1:9">
      <c r="A2" s="33"/>
      <c r="B2" s="33"/>
      <c r="C2" s="33"/>
      <c r="D2" s="33"/>
      <c r="E2" s="33"/>
      <c r="F2" s="34"/>
      <c r="G2" s="34"/>
    </row>
    <row r="3" spans="1:9" ht="15">
      <c r="A3" s="71" t="s">
        <v>108</v>
      </c>
      <c r="B3" s="72" t="str">
        <f>'1-Contractblad perceel 1 SMO'!B3</f>
        <v>CSG het Noordik</v>
      </c>
      <c r="C3" s="33"/>
      <c r="D3" s="33"/>
      <c r="E3" s="33"/>
      <c r="F3" s="34"/>
      <c r="G3" s="34"/>
    </row>
    <row r="4" spans="1:9" ht="15">
      <c r="A4" s="71" t="s">
        <v>53</v>
      </c>
      <c r="B4" s="72" t="s">
        <v>92</v>
      </c>
      <c r="C4" s="310"/>
      <c r="D4" s="184"/>
      <c r="E4" s="311"/>
      <c r="F4" s="36"/>
      <c r="G4" s="36"/>
    </row>
    <row r="5" spans="1:9" ht="15">
      <c r="A5" s="71" t="s">
        <v>260</v>
      </c>
      <c r="B5" s="72" t="str">
        <f>'1-Contractblad perceel 1 SMO'!B5</f>
        <v>Diversen</v>
      </c>
      <c r="C5" s="71"/>
      <c r="D5" s="312"/>
      <c r="E5" s="313"/>
      <c r="F5" s="39"/>
      <c r="G5" s="36"/>
    </row>
    <row r="6" spans="1:9" ht="15">
      <c r="A6" s="71" t="s">
        <v>137</v>
      </c>
      <c r="B6" s="72" t="str">
        <f>'1-Contractblad perceel 1 SMO'!B6</f>
        <v>CSGN-EA-RT-2014</v>
      </c>
      <c r="C6" s="314"/>
      <c r="D6" s="312"/>
      <c r="E6" s="313"/>
      <c r="F6" s="39"/>
      <c r="G6" s="36"/>
    </row>
    <row r="7" spans="1:9" ht="15">
      <c r="A7" s="71" t="s">
        <v>198</v>
      </c>
      <c r="B7" s="72">
        <f>'1-Contractblad perceel 1 SMO'!B7</f>
        <v>0</v>
      </c>
      <c r="C7" s="315"/>
      <c r="D7" s="48"/>
      <c r="E7" s="316"/>
      <c r="F7" s="39"/>
      <c r="G7" s="36"/>
      <c r="H7" s="10"/>
      <c r="I7" s="10"/>
    </row>
    <row r="8" spans="1:9" ht="15">
      <c r="A8" s="71" t="s">
        <v>43</v>
      </c>
      <c r="B8" s="317">
        <f>'1-Contractblad perceel 1 SMO'!B8</f>
        <v>2015</v>
      </c>
      <c r="C8" s="313"/>
      <c r="D8" s="313"/>
      <c r="E8" s="313"/>
      <c r="F8" s="39"/>
      <c r="G8" s="36"/>
    </row>
    <row r="9" spans="1:9" ht="15">
      <c r="A9" s="318"/>
      <c r="B9" s="313"/>
      <c r="C9" s="313"/>
      <c r="D9" s="313"/>
      <c r="E9" s="313"/>
      <c r="F9" s="39"/>
      <c r="G9" s="36"/>
    </row>
    <row r="10" spans="1:9" ht="18">
      <c r="A10" s="319" t="s">
        <v>9</v>
      </c>
      <c r="B10" s="25"/>
      <c r="C10" s="25"/>
      <c r="D10" s="25"/>
      <c r="E10" s="320"/>
      <c r="F10" s="39"/>
      <c r="G10" s="36"/>
    </row>
    <row r="11" spans="1:9">
      <c r="A11" s="321"/>
      <c r="B11" s="26"/>
      <c r="C11" s="26"/>
      <c r="D11" s="26"/>
      <c r="E11" s="26"/>
      <c r="F11" s="36"/>
      <c r="G11" s="36"/>
    </row>
    <row r="12" spans="1:9">
      <c r="A12" s="322"/>
      <c r="B12" s="323"/>
      <c r="C12" s="324" t="s">
        <v>136</v>
      </c>
      <c r="D12" s="26"/>
      <c r="E12" s="26"/>
      <c r="F12" s="39"/>
      <c r="G12" s="36"/>
    </row>
    <row r="13" spans="1:9">
      <c r="A13" s="325" t="s">
        <v>307</v>
      </c>
      <c r="B13" s="326"/>
      <c r="C13" s="20"/>
      <c r="D13" s="26"/>
      <c r="E13" s="26"/>
      <c r="F13" s="552"/>
      <c r="G13" s="36"/>
    </row>
    <row r="14" spans="1:9">
      <c r="A14" s="325" t="s">
        <v>308</v>
      </c>
      <c r="B14" s="326"/>
      <c r="C14" s="20"/>
      <c r="D14" s="26"/>
      <c r="E14" s="26"/>
      <c r="F14" s="552"/>
      <c r="G14" s="36"/>
      <c r="H14" s="70"/>
    </row>
    <row r="15" spans="1:9">
      <c r="A15" s="325" t="s">
        <v>309</v>
      </c>
      <c r="B15" s="326"/>
      <c r="C15" s="20"/>
      <c r="D15" s="26"/>
      <c r="E15" s="26"/>
      <c r="F15" s="552"/>
      <c r="G15" s="36"/>
      <c r="H15" s="70"/>
    </row>
    <row r="16" spans="1:9">
      <c r="A16" s="325" t="s">
        <v>310</v>
      </c>
      <c r="B16" s="326"/>
      <c r="C16" s="20"/>
      <c r="D16" s="26"/>
      <c r="E16" s="26"/>
      <c r="F16" s="552"/>
      <c r="G16" s="36"/>
      <c r="H16" s="70"/>
    </row>
    <row r="17" spans="1:8">
      <c r="A17" s="327" t="s">
        <v>34</v>
      </c>
      <c r="B17" s="328"/>
      <c r="C17" s="21">
        <f>SUM(C13:C16)</f>
        <v>0</v>
      </c>
      <c r="D17" s="26"/>
      <c r="E17" s="26"/>
      <c r="F17" s="36"/>
      <c r="G17" s="70"/>
    </row>
    <row r="18" spans="1:8">
      <c r="A18" s="327"/>
      <c r="B18" s="328"/>
      <c r="C18" s="21"/>
      <c r="D18" s="26"/>
      <c r="E18" s="38"/>
      <c r="F18" s="36"/>
      <c r="G18" s="70"/>
    </row>
    <row r="19" spans="1:8">
      <c r="A19" s="660" t="s">
        <v>222</v>
      </c>
      <c r="B19" s="661"/>
      <c r="C19" s="20"/>
      <c r="D19" s="26"/>
      <c r="E19" s="38"/>
      <c r="F19" s="36"/>
    </row>
    <row r="20" spans="1:8">
      <c r="A20" s="660" t="s">
        <v>123</v>
      </c>
      <c r="B20" s="661"/>
      <c r="C20" s="20"/>
      <c r="D20" s="26"/>
      <c r="E20" s="38"/>
      <c r="F20" s="36"/>
    </row>
    <row r="21" spans="1:8">
      <c r="A21" s="660" t="s">
        <v>124</v>
      </c>
      <c r="B21" s="661"/>
      <c r="C21" s="20"/>
      <c r="D21" s="26"/>
      <c r="E21" s="38"/>
      <c r="F21" s="36"/>
    </row>
    <row r="22" spans="1:8">
      <c r="A22" s="660" t="s">
        <v>125</v>
      </c>
      <c r="B22" s="661"/>
      <c r="C22" s="20"/>
      <c r="D22" s="26"/>
      <c r="E22" s="38"/>
      <c r="F22" s="36"/>
    </row>
    <row r="23" spans="1:8">
      <c r="A23" s="660" t="s">
        <v>126</v>
      </c>
      <c r="B23" s="661"/>
      <c r="C23" s="20"/>
      <c r="D23" s="26"/>
      <c r="E23" s="38"/>
      <c r="F23" s="36"/>
    </row>
    <row r="24" spans="1:8">
      <c r="A24" s="660" t="s">
        <v>223</v>
      </c>
      <c r="B24" s="661"/>
      <c r="C24" s="20"/>
      <c r="D24" s="26"/>
      <c r="E24" s="38"/>
      <c r="F24" s="36"/>
    </row>
    <row r="25" spans="1:8">
      <c r="A25" s="660" t="s">
        <v>220</v>
      </c>
      <c r="B25" s="661"/>
      <c r="C25" s="20"/>
      <c r="D25" s="26"/>
      <c r="E25" s="38"/>
      <c r="F25" s="36"/>
    </row>
    <row r="26" spans="1:8">
      <c r="A26" s="662" t="s">
        <v>221</v>
      </c>
      <c r="B26" s="663"/>
      <c r="C26" s="22">
        <f>SUM(C17:C25)</f>
        <v>0</v>
      </c>
      <c r="D26" s="313"/>
      <c r="E26" s="36"/>
      <c r="F26" s="36"/>
    </row>
    <row r="27" spans="1:8">
      <c r="A27" s="56"/>
      <c r="B27" s="124"/>
      <c r="C27" s="23"/>
      <c r="D27" s="313"/>
      <c r="E27" s="36"/>
      <c r="F27" s="36"/>
    </row>
    <row r="28" spans="1:8">
      <c r="A28" s="56"/>
      <c r="B28" s="124"/>
      <c r="C28" s="23"/>
      <c r="D28" s="313"/>
      <c r="E28" s="36"/>
      <c r="F28" s="36"/>
    </row>
    <row r="29" spans="1:8">
      <c r="A29" s="329"/>
      <c r="B29" s="184"/>
      <c r="C29" s="24"/>
      <c r="D29" s="47"/>
      <c r="E29" s="47"/>
      <c r="F29" s="47"/>
      <c r="G29" s="36"/>
    </row>
    <row r="30" spans="1:8" ht="18">
      <c r="A30" s="319" t="s">
        <v>208</v>
      </c>
      <c r="B30" s="25"/>
      <c r="C30" s="25"/>
      <c r="D30" s="25"/>
      <c r="E30" s="320"/>
      <c r="F30" s="39"/>
      <c r="G30" s="36"/>
    </row>
    <row r="31" spans="1:8">
      <c r="A31" s="321"/>
      <c r="B31" s="26"/>
      <c r="C31" s="26"/>
      <c r="D31" s="313"/>
      <c r="E31" s="313"/>
      <c r="F31" s="36"/>
      <c r="G31" s="36"/>
      <c r="H31" s="70"/>
    </row>
    <row r="32" spans="1:8">
      <c r="A32" s="26"/>
      <c r="B32" s="26"/>
      <c r="C32" s="27" t="s">
        <v>63</v>
      </c>
      <c r="E32" s="330"/>
      <c r="F32" s="36"/>
      <c r="G32" s="36"/>
      <c r="H32" s="70"/>
    </row>
    <row r="33" spans="1:9">
      <c r="A33" s="325" t="s">
        <v>80</v>
      </c>
      <c r="B33" s="323"/>
      <c r="C33" s="28"/>
      <c r="E33" s="331"/>
      <c r="F33" s="70"/>
      <c r="G33" s="36"/>
      <c r="H33" s="70"/>
      <c r="I33" s="70"/>
    </row>
    <row r="34" spans="1:9">
      <c r="A34" s="325" t="s">
        <v>171</v>
      </c>
      <c r="B34" s="323"/>
      <c r="C34" s="28"/>
      <c r="E34" s="331"/>
      <c r="F34" s="39"/>
      <c r="G34" s="36"/>
      <c r="H34" s="70"/>
      <c r="I34" s="70"/>
    </row>
    <row r="35" spans="1:9">
      <c r="A35" s="325" t="s">
        <v>158</v>
      </c>
      <c r="B35" s="323"/>
      <c r="C35" s="29">
        <f>C33+C34</f>
        <v>0</v>
      </c>
      <c r="E35" s="331"/>
      <c r="F35" s="39"/>
      <c r="G35" s="36"/>
      <c r="H35" s="70"/>
      <c r="I35" s="70"/>
    </row>
    <row r="36" spans="1:9">
      <c r="A36" s="332" t="s">
        <v>1</v>
      </c>
      <c r="B36" s="333"/>
      <c r="C36" s="30"/>
      <c r="E36" s="334"/>
      <c r="F36" s="39"/>
      <c r="G36" s="36"/>
      <c r="H36" s="70"/>
    </row>
    <row r="37" spans="1:9">
      <c r="A37" s="321"/>
      <c r="B37" s="335"/>
      <c r="C37" s="554"/>
      <c r="E37" s="26"/>
      <c r="F37" s="36"/>
      <c r="G37" s="36"/>
      <c r="H37" s="70"/>
    </row>
    <row r="38" spans="1:9">
      <c r="A38" s="336" t="s">
        <v>159</v>
      </c>
      <c r="B38" s="335"/>
      <c r="C38" s="31" t="e">
        <f>(C35/C33)*C36</f>
        <v>#DIV/0!</v>
      </c>
      <c r="E38" s="337"/>
      <c r="F38" s="39"/>
      <c r="G38" s="338"/>
      <c r="H38" s="70"/>
    </row>
    <row r="39" spans="1:9">
      <c r="A39" s="56"/>
      <c r="B39" s="124"/>
      <c r="C39" s="339"/>
      <c r="D39" s="340"/>
      <c r="E39" s="337"/>
      <c r="F39" s="39"/>
      <c r="G39" s="36"/>
      <c r="H39" s="70"/>
    </row>
    <row r="40" spans="1:9">
      <c r="A40" s="321"/>
      <c r="B40" s="26"/>
      <c r="C40" s="341"/>
      <c r="D40" s="313"/>
      <c r="E40" s="26"/>
      <c r="F40" s="39"/>
      <c r="G40" s="36"/>
    </row>
    <row r="41" spans="1:9">
      <c r="A41" s="321"/>
      <c r="B41" s="26"/>
      <c r="C41" s="26"/>
      <c r="D41" s="313"/>
      <c r="E41" s="26"/>
      <c r="F41" s="36"/>
      <c r="G41" s="36"/>
    </row>
    <row r="42" spans="1:9" ht="18">
      <c r="A42" s="342" t="s">
        <v>177</v>
      </c>
      <c r="B42" s="343"/>
      <c r="C42" s="344"/>
      <c r="D42" s="345"/>
      <c r="E42" s="346"/>
      <c r="F42" s="47"/>
      <c r="G42" s="36"/>
    </row>
    <row r="43" spans="1:9">
      <c r="A43" s="329"/>
      <c r="B43" s="184"/>
      <c r="C43" s="24"/>
      <c r="D43" s="47"/>
      <c r="E43" s="47"/>
      <c r="F43" s="47"/>
      <c r="G43" s="36"/>
    </row>
    <row r="44" spans="1:9">
      <c r="A44" s="329"/>
      <c r="B44" s="347" t="s">
        <v>237</v>
      </c>
      <c r="C44" s="24"/>
      <c r="D44" s="347" t="s">
        <v>238</v>
      </c>
      <c r="E44" s="348"/>
      <c r="F44" s="45"/>
      <c r="G44" s="36"/>
    </row>
    <row r="45" spans="1:9">
      <c r="A45" s="349" t="s">
        <v>22</v>
      </c>
      <c r="B45" s="350"/>
      <c r="C45" s="351"/>
      <c r="D45" s="350"/>
      <c r="E45" s="352"/>
      <c r="F45" s="45"/>
      <c r="G45" s="49"/>
    </row>
    <row r="46" spans="1:9">
      <c r="A46" s="349" t="s">
        <v>20</v>
      </c>
      <c r="B46" s="353"/>
      <c r="C46" s="352"/>
      <c r="D46" s="353"/>
      <c r="E46" s="351"/>
      <c r="F46" s="45"/>
      <c r="G46" s="49"/>
    </row>
    <row r="47" spans="1:9">
      <c r="A47" s="354" t="s">
        <v>23</v>
      </c>
      <c r="B47" s="352"/>
      <c r="C47" s="355">
        <f>B45-B46</f>
        <v>0</v>
      </c>
      <c r="D47" s="352"/>
      <c r="E47" s="355">
        <f>D45-D46</f>
        <v>0</v>
      </c>
      <c r="F47" s="45"/>
      <c r="G47" s="46"/>
    </row>
    <row r="48" spans="1:9">
      <c r="A48" s="354"/>
      <c r="B48" s="356"/>
      <c r="C48" s="354"/>
      <c r="D48" s="356"/>
      <c r="E48" s="354"/>
      <c r="F48" s="45"/>
      <c r="G48" s="46"/>
    </row>
    <row r="49" spans="1:7">
      <c r="A49" s="349" t="s">
        <v>111</v>
      </c>
      <c r="B49" s="353"/>
      <c r="C49" s="356"/>
      <c r="D49" s="353"/>
      <c r="E49" s="356"/>
      <c r="F49" s="45"/>
      <c r="G49" s="46"/>
    </row>
    <row r="50" spans="1:7">
      <c r="A50" s="349" t="s">
        <v>79</v>
      </c>
      <c r="B50" s="353"/>
      <c r="C50" s="356"/>
      <c r="D50" s="353"/>
      <c r="E50" s="356"/>
      <c r="F50" s="45"/>
      <c r="G50" s="46"/>
    </row>
    <row r="51" spans="1:7">
      <c r="A51" s="349" t="s">
        <v>147</v>
      </c>
      <c r="B51" s="353"/>
      <c r="C51" s="356"/>
      <c r="D51" s="353"/>
      <c r="E51" s="356"/>
      <c r="F51" s="45"/>
      <c r="G51" s="46"/>
    </row>
    <row r="52" spans="1:7">
      <c r="A52" s="349" t="s">
        <v>167</v>
      </c>
      <c r="B52" s="353"/>
      <c r="C52" s="356"/>
      <c r="D52" s="353"/>
      <c r="E52" s="356"/>
      <c r="F52" s="45"/>
      <c r="G52" s="46"/>
    </row>
    <row r="53" spans="1:7">
      <c r="A53" s="354" t="s">
        <v>105</v>
      </c>
      <c r="B53" s="356"/>
      <c r="C53" s="355">
        <f>C47-SUM(B49:B52)</f>
        <v>0</v>
      </c>
      <c r="D53" s="356"/>
      <c r="E53" s="355">
        <f>E47-SUM(D49:D52)</f>
        <v>0</v>
      </c>
      <c r="F53" s="45"/>
      <c r="G53" s="46"/>
    </row>
    <row r="54" spans="1:7">
      <c r="A54" s="357"/>
      <c r="B54" s="356"/>
      <c r="C54" s="357"/>
      <c r="D54" s="356"/>
      <c r="E54" s="357"/>
      <c r="F54" s="45"/>
      <c r="G54" s="46"/>
    </row>
    <row r="55" spans="1:7">
      <c r="A55" s="358" t="s">
        <v>210</v>
      </c>
      <c r="B55" s="359">
        <f>IF(B49=0,0,B49/$C$53)</f>
        <v>0</v>
      </c>
      <c r="C55" s="356"/>
      <c r="D55" s="359">
        <f>IF(D49=0,0,D49/$E$53)</f>
        <v>0</v>
      </c>
      <c r="E55" s="356"/>
      <c r="F55" s="45"/>
      <c r="G55" s="46"/>
    </row>
    <row r="56" spans="1:7">
      <c r="A56" s="358" t="s">
        <v>79</v>
      </c>
      <c r="B56" s="359">
        <f>IF(B50=0,0,B50/$C$53)</f>
        <v>0</v>
      </c>
      <c r="C56" s="356"/>
      <c r="D56" s="359">
        <f>IF(D50=0,0,D50/$E$53)</f>
        <v>0</v>
      </c>
      <c r="E56" s="356"/>
      <c r="F56" s="45"/>
      <c r="G56" s="46"/>
    </row>
    <row r="57" spans="1:7">
      <c r="A57" s="358" t="s">
        <v>184</v>
      </c>
      <c r="B57" s="359">
        <f>IF(B51=0,0,B51/$C$53)</f>
        <v>0</v>
      </c>
      <c r="C57" s="356"/>
      <c r="D57" s="359">
        <f>IF(D51=0,0,D51/$E$53)</f>
        <v>0</v>
      </c>
      <c r="E57" s="356"/>
      <c r="F57" s="45"/>
      <c r="G57" s="46"/>
    </row>
    <row r="58" spans="1:7">
      <c r="A58" s="358" t="s">
        <v>167</v>
      </c>
      <c r="B58" s="359">
        <f>IF(B52=0,0,B52/$C$53)</f>
        <v>0</v>
      </c>
      <c r="C58" s="356"/>
      <c r="D58" s="359">
        <f>IF(D52=0,0,D52/$E$53)</f>
        <v>0</v>
      </c>
      <c r="E58" s="356"/>
      <c r="F58" s="53"/>
      <c r="G58" s="55"/>
    </row>
    <row r="59" spans="1:7">
      <c r="A59" s="354" t="s">
        <v>224</v>
      </c>
      <c r="B59" s="356"/>
      <c r="C59" s="360">
        <f>SUM(B55:B58)</f>
        <v>0</v>
      </c>
      <c r="D59" s="356"/>
      <c r="E59" s="360">
        <f>SUM(D55:D58)</f>
        <v>0</v>
      </c>
      <c r="F59" s="53"/>
      <c r="G59" s="59"/>
    </row>
    <row r="60" spans="1:7">
      <c r="A60" s="63"/>
      <c r="B60" s="63"/>
      <c r="C60" s="63"/>
      <c r="D60" s="63"/>
      <c r="E60" s="63"/>
      <c r="F60" s="34"/>
      <c r="G60" s="34"/>
    </row>
    <row r="61" spans="1:7">
      <c r="A61" s="67"/>
      <c r="B61" s="68"/>
      <c r="C61" s="68"/>
      <c r="D61" s="69"/>
      <c r="E61" s="69"/>
      <c r="F61" s="34"/>
      <c r="G61" s="34"/>
    </row>
    <row r="62" spans="1:7" s="70" customFormat="1"/>
    <row r="63" spans="1:7" s="70" customFormat="1"/>
    <row r="64" spans="1:7" s="70" customFormat="1" ht="14.25">
      <c r="A64" s="363"/>
      <c r="B64" s="364"/>
    </row>
    <row r="65" spans="1:3" s="70" customFormat="1" ht="14.25">
      <c r="A65" s="363"/>
      <c r="B65" s="364"/>
    </row>
    <row r="66" spans="1:3" s="70" customFormat="1" ht="14.25">
      <c r="A66" s="363"/>
      <c r="B66" s="364"/>
    </row>
    <row r="67" spans="1:3" s="70" customFormat="1" ht="14.25">
      <c r="A67" s="363"/>
      <c r="B67" s="364"/>
    </row>
    <row r="68" spans="1:3" s="70" customFormat="1" ht="14.25">
      <c r="A68" s="365"/>
      <c r="B68" s="364"/>
    </row>
    <row r="69" spans="1:3" s="70" customFormat="1" ht="14.25">
      <c r="A69" s="364"/>
      <c r="B69" s="364"/>
    </row>
    <row r="70" spans="1:3" s="70" customFormat="1" ht="14.25">
      <c r="A70" s="364"/>
      <c r="B70" s="364"/>
    </row>
    <row r="71" spans="1:3" s="70" customFormat="1" ht="14.25">
      <c r="A71" s="364"/>
      <c r="B71" s="364"/>
    </row>
    <row r="72" spans="1:3" s="70" customFormat="1" ht="14.25">
      <c r="A72" s="364"/>
      <c r="B72" s="364"/>
    </row>
    <row r="73" spans="1:3" s="70" customFormat="1" ht="14.25">
      <c r="A73" s="364"/>
      <c r="B73" s="364"/>
    </row>
    <row r="74" spans="1:3" s="70" customFormat="1" ht="14.25">
      <c r="A74" s="364"/>
      <c r="B74" s="364"/>
    </row>
    <row r="75" spans="1:3" s="70" customFormat="1" ht="14.25">
      <c r="A75" s="364"/>
      <c r="B75" s="364"/>
    </row>
    <row r="76" spans="1:3" s="70" customFormat="1" ht="14.25">
      <c r="A76" s="364"/>
      <c r="B76" s="366"/>
    </row>
    <row r="77" spans="1:3" s="70" customFormat="1" ht="14.25">
      <c r="A77" s="364"/>
      <c r="B77" s="364"/>
    </row>
    <row r="78" spans="1:3" s="70" customFormat="1" ht="14.25">
      <c r="B78" s="364"/>
    </row>
    <row r="79" spans="1:3" s="70" customFormat="1" ht="14.25">
      <c r="A79" s="364"/>
      <c r="B79" s="364"/>
      <c r="C79" s="364"/>
    </row>
    <row r="80" spans="1:3" s="70" customFormat="1" ht="14.25">
      <c r="A80" s="367"/>
      <c r="B80" s="364"/>
      <c r="C80" s="367"/>
    </row>
    <row r="81" spans="1:3" s="70" customFormat="1" ht="14.25">
      <c r="A81" s="364"/>
      <c r="B81" s="364"/>
      <c r="C81" s="364"/>
    </row>
    <row r="82" spans="1:3" s="70" customFormat="1" ht="14.25">
      <c r="A82" s="364"/>
      <c r="B82" s="364"/>
      <c r="C82" s="364"/>
    </row>
    <row r="83" spans="1:3" s="70" customFormat="1" ht="14.25">
      <c r="A83" s="364"/>
      <c r="B83" s="364"/>
      <c r="C83" s="364"/>
    </row>
    <row r="84" spans="1:3" s="70" customFormat="1" ht="14.25">
      <c r="A84" s="367"/>
      <c r="B84" s="364"/>
      <c r="C84" s="367"/>
    </row>
    <row r="85" spans="1:3" s="70" customFormat="1" ht="14.25">
      <c r="A85" s="367"/>
      <c r="B85" s="364"/>
      <c r="C85" s="367"/>
    </row>
    <row r="86" spans="1:3" s="70" customFormat="1" ht="14.25">
      <c r="A86" s="367"/>
      <c r="B86" s="364"/>
      <c r="C86" s="367"/>
    </row>
    <row r="87" spans="1:3" s="70" customFormat="1" ht="14.25">
      <c r="A87" s="364"/>
      <c r="B87" s="364"/>
    </row>
    <row r="88" spans="1:3" s="70" customFormat="1" ht="14.25">
      <c r="A88" s="364"/>
      <c r="B88" s="364"/>
    </row>
    <row r="89" spans="1:3" s="70" customFormat="1" ht="14.25">
      <c r="A89" s="364"/>
      <c r="B89" s="364"/>
    </row>
  </sheetData>
  <dataConsolidate/>
  <mergeCells count="8">
    <mergeCell ref="A19:B19"/>
    <mergeCell ref="A20:B20"/>
    <mergeCell ref="A26:B26"/>
    <mergeCell ref="A22:B22"/>
    <mergeCell ref="A21:B21"/>
    <mergeCell ref="A25:B25"/>
    <mergeCell ref="A24:B24"/>
    <mergeCell ref="A23:B23"/>
  </mergeCells>
  <phoneticPr fontId="8"/>
  <pageMargins left="0.59055118110236227" right="0.59055118110236227" top="0.59055118110236227" bottom="0.78740157480314965" header="0.39370078740157483" footer="0.19685039370078741"/>
  <headerFooter alignWithMargins="0">
    <oddFooter>&amp;L&amp;"Verdana,Regular"&amp;F-&amp;A
Atir b.v. ©&amp;C&amp;R&amp;"Verdana,Regular"printversie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7"/>
  <sheetViews>
    <sheetView showGridLines="0" showZeros="0" showOutlineSymbols="0" zoomScale="80" zoomScaleNormal="80" workbookViewId="0">
      <pane xSplit="4" ySplit="10" topLeftCell="E11" activePane="bottomRight" state="frozen"/>
      <selection pane="topRight" activeCell="E1" sqref="E1"/>
      <selection pane="bottomLeft" activeCell="A11" sqref="A11"/>
      <selection pane="bottomRight" activeCell="A46" sqref="A46"/>
    </sheetView>
  </sheetViews>
  <sheetFormatPr defaultColWidth="11.42578125" defaultRowHeight="12.75"/>
  <cols>
    <col min="1" max="1" width="35.85546875" style="35" customWidth="1"/>
    <col min="2" max="2" width="16.140625" style="35" customWidth="1"/>
    <col min="3" max="3" width="19.28515625" style="35" bestFit="1" customWidth="1"/>
    <col min="4" max="4" width="2" style="35" customWidth="1"/>
    <col min="5" max="5" width="14.42578125" style="35" customWidth="1"/>
    <col min="6" max="6" width="10.7109375" style="35" customWidth="1"/>
    <col min="7" max="7" width="2" style="35" customWidth="1"/>
    <col min="8" max="8" width="15.28515625" style="35" bestFit="1" customWidth="1"/>
    <col min="9" max="9" width="10" style="35" bestFit="1" customWidth="1"/>
    <col min="10" max="10" width="2.140625" style="35" customWidth="1"/>
    <col min="11" max="11" width="15.28515625" style="35" bestFit="1" customWidth="1"/>
    <col min="12" max="12" width="10.42578125" style="70" bestFit="1" customWidth="1"/>
    <col min="13" max="13" width="4.85546875" style="35" bestFit="1" customWidth="1"/>
    <col min="14" max="14" width="15.28515625" style="35" bestFit="1" customWidth="1"/>
    <col min="15" max="15" width="10" style="35" customWidth="1"/>
    <col min="16" max="16" width="4.5703125" style="35" bestFit="1" customWidth="1"/>
    <col min="17" max="17" width="15.5703125" style="35" bestFit="1" customWidth="1"/>
    <col min="18" max="18" width="10.28515625" style="35" bestFit="1" customWidth="1"/>
    <col min="19" max="19" width="4.5703125" style="35" bestFit="1" customWidth="1"/>
    <col min="20" max="20" width="15.28515625" style="35" bestFit="1" customWidth="1"/>
    <col min="21" max="21" width="9.85546875" style="35" bestFit="1" customWidth="1"/>
    <col min="22" max="22" width="5.5703125" style="35" bestFit="1" customWidth="1"/>
    <col min="23" max="23" width="15.85546875" style="35" bestFit="1" customWidth="1"/>
    <col min="24" max="24" width="11.7109375" style="35" bestFit="1" customWidth="1"/>
    <col min="25" max="25" width="5.42578125" style="35" bestFit="1" customWidth="1"/>
    <col min="26" max="26" width="15.7109375" style="35" bestFit="1" customWidth="1"/>
    <col min="27" max="27" width="11.28515625" style="35" bestFit="1" customWidth="1"/>
    <col min="28" max="28" width="5.7109375" style="35" bestFit="1" customWidth="1"/>
    <col min="29" max="29" width="15.5703125" style="35" bestFit="1" customWidth="1"/>
    <col min="30" max="30" width="11.140625" style="35" bestFit="1" customWidth="1"/>
    <col min="31" max="31" width="5.5703125" style="35" bestFit="1" customWidth="1"/>
    <col min="32" max="32" width="15.7109375" style="35" bestFit="1" customWidth="1"/>
    <col min="33" max="33" width="11.28515625" style="35" bestFit="1" customWidth="1"/>
    <col min="34" max="34" width="5.5703125" style="35" bestFit="1" customWidth="1"/>
    <col min="35" max="35" width="15.85546875" style="35" bestFit="1" customWidth="1"/>
    <col min="36" max="36" width="12" style="35" customWidth="1"/>
    <col min="37" max="37" width="8" style="35" customWidth="1"/>
    <col min="38" max="38" width="15.28515625" style="35" bestFit="1" customWidth="1"/>
    <col min="39" max="39" width="9.85546875" style="35" bestFit="1" customWidth="1"/>
    <col min="40" max="42" width="1.140625" style="35" bestFit="1" customWidth="1"/>
    <col min="43" max="16384" width="11.42578125" style="35"/>
  </cols>
  <sheetData>
    <row r="1" spans="1:39">
      <c r="A1" s="361" t="s">
        <v>103</v>
      </c>
      <c r="B1" s="362"/>
      <c r="C1" s="69"/>
      <c r="D1" s="69"/>
      <c r="E1" s="69"/>
      <c r="F1" s="34"/>
      <c r="G1" s="34"/>
      <c r="H1" s="70"/>
      <c r="L1" s="35"/>
    </row>
    <row r="2" spans="1:39">
      <c r="A2" s="235"/>
      <c r="B2" s="236"/>
      <c r="C2" s="237"/>
      <c r="D2" s="236"/>
      <c r="E2" s="238"/>
      <c r="F2" s="239"/>
      <c r="H2" s="238"/>
      <c r="I2" s="239"/>
      <c r="K2" s="238"/>
      <c r="L2" s="239"/>
      <c r="M2" s="238"/>
      <c r="N2" s="238"/>
      <c r="O2" s="239"/>
      <c r="P2" s="236"/>
      <c r="Q2" s="238"/>
      <c r="R2" s="239"/>
      <c r="S2" s="238"/>
      <c r="T2" s="238"/>
      <c r="U2" s="239"/>
      <c r="V2" s="238"/>
      <c r="W2" s="238"/>
      <c r="X2" s="239"/>
      <c r="Y2" s="236"/>
      <c r="Z2" s="238"/>
      <c r="AA2" s="239"/>
      <c r="AB2" s="238"/>
      <c r="AC2" s="238"/>
      <c r="AD2" s="239"/>
      <c r="AE2" s="238"/>
      <c r="AF2" s="238"/>
      <c r="AG2" s="239"/>
      <c r="AH2" s="238"/>
      <c r="AI2" s="238"/>
      <c r="AJ2" s="239"/>
      <c r="AK2" s="238"/>
    </row>
    <row r="3" spans="1:39" ht="18">
      <c r="A3" s="240" t="s">
        <v>108</v>
      </c>
      <c r="B3" s="241" t="str">
        <f>'1-Contractblad perceel 1 SMO'!B3</f>
        <v>CSG het Noordik</v>
      </c>
      <c r="C3" s="237"/>
      <c r="D3" s="236"/>
      <c r="E3" s="242"/>
      <c r="F3" s="243"/>
      <c r="H3" s="242"/>
      <c r="I3" s="243"/>
      <c r="K3" s="242"/>
      <c r="L3" s="243"/>
      <c r="M3" s="238"/>
      <c r="N3" s="242"/>
      <c r="O3" s="243"/>
      <c r="P3" s="236"/>
      <c r="Q3" s="242"/>
      <c r="R3" s="243"/>
      <c r="S3" s="238"/>
      <c r="T3" s="242"/>
      <c r="U3" s="243"/>
      <c r="V3" s="238"/>
      <c r="W3" s="242"/>
      <c r="X3" s="243"/>
      <c r="Y3" s="236"/>
      <c r="Z3" s="242"/>
      <c r="AA3" s="243"/>
      <c r="AB3" s="238"/>
      <c r="AC3" s="242"/>
      <c r="AD3" s="243"/>
      <c r="AE3" s="238"/>
      <c r="AF3" s="242"/>
      <c r="AG3" s="243"/>
      <c r="AH3" s="238"/>
      <c r="AI3" s="242"/>
      <c r="AJ3" s="243"/>
      <c r="AK3" s="238"/>
    </row>
    <row r="4" spans="1:39" ht="15">
      <c r="A4" s="240" t="s">
        <v>53</v>
      </c>
      <c r="B4" s="140" t="s">
        <v>58</v>
      </c>
      <c r="C4" s="244"/>
      <c r="D4" s="245"/>
    </row>
    <row r="5" spans="1:39" ht="15">
      <c r="A5" s="240" t="s">
        <v>260</v>
      </c>
      <c r="B5" s="241" t="str">
        <f>'1-Contractblad perceel 1 SMO'!B5</f>
        <v>Diversen</v>
      </c>
      <c r="C5" s="244"/>
      <c r="D5" s="245"/>
    </row>
    <row r="6" spans="1:39" ht="15">
      <c r="A6" s="240" t="s">
        <v>137</v>
      </c>
      <c r="B6" s="241" t="str">
        <f>'1-Contractblad perceel 1 SMO'!B6</f>
        <v>CSGN-EA-RT-2014</v>
      </c>
      <c r="C6" s="244"/>
      <c r="D6" s="245"/>
    </row>
    <row r="7" spans="1:39" s="10" customFormat="1" ht="15">
      <c r="A7" s="240" t="s">
        <v>198</v>
      </c>
      <c r="B7" s="241">
        <f>'1-Contractblad perceel 1 SMO'!B7</f>
        <v>0</v>
      </c>
      <c r="C7" s="244"/>
      <c r="D7" s="245"/>
      <c r="H7" s="35"/>
      <c r="I7" s="35"/>
      <c r="J7" s="35"/>
      <c r="K7" s="35"/>
    </row>
    <row r="8" spans="1:39" ht="15">
      <c r="A8" s="240" t="s">
        <v>43</v>
      </c>
      <c r="B8" s="188">
        <f>'1-Contractblad perceel 1 SMO'!B8</f>
        <v>2015</v>
      </c>
      <c r="C8" s="244"/>
      <c r="D8" s="245"/>
    </row>
    <row r="9" spans="1:39" ht="15">
      <c r="A9" s="240"/>
      <c r="B9" s="140"/>
      <c r="C9" s="244"/>
      <c r="D9" s="245"/>
      <c r="E9" s="246"/>
      <c r="F9" s="247"/>
      <c r="H9" s="246"/>
      <c r="I9" s="247"/>
      <c r="K9" s="248"/>
      <c r="L9" s="247"/>
      <c r="M9" s="238"/>
      <c r="N9" s="248"/>
      <c r="O9" s="247"/>
      <c r="P9" s="245"/>
      <c r="Q9" s="246"/>
      <c r="R9" s="247"/>
      <c r="S9" s="238"/>
      <c r="T9" s="248"/>
      <c r="U9" s="247"/>
      <c r="V9" s="238"/>
      <c r="W9" s="248"/>
      <c r="X9" s="247"/>
      <c r="Y9" s="245"/>
      <c r="Z9" s="246"/>
      <c r="AA9" s="247"/>
      <c r="AB9" s="238"/>
      <c r="AC9" s="248"/>
      <c r="AD9" s="247"/>
      <c r="AE9" s="238"/>
      <c r="AF9" s="248"/>
      <c r="AG9" s="247"/>
      <c r="AH9" s="238"/>
      <c r="AI9" s="248"/>
      <c r="AJ9" s="247"/>
      <c r="AK9" s="238"/>
    </row>
    <row r="10" spans="1:39" s="253" customFormat="1" ht="30.75" customHeight="1">
      <c r="A10" s="249" t="s">
        <v>94</v>
      </c>
      <c r="B10" s="250"/>
      <c r="C10" s="251"/>
      <c r="D10" s="252"/>
      <c r="E10" s="664" t="s">
        <v>119</v>
      </c>
      <c r="F10" s="665"/>
      <c r="H10" s="664" t="s">
        <v>83</v>
      </c>
      <c r="I10" s="665"/>
      <c r="K10" s="664" t="s">
        <v>51</v>
      </c>
      <c r="L10" s="665"/>
      <c r="M10" s="254"/>
      <c r="N10" s="664" t="s">
        <v>40</v>
      </c>
      <c r="O10" s="666"/>
      <c r="P10" s="252"/>
      <c r="Q10" s="664" t="s">
        <v>128</v>
      </c>
      <c r="R10" s="665"/>
      <c r="S10" s="254"/>
      <c r="T10" s="664" t="s">
        <v>130</v>
      </c>
      <c r="U10" s="666"/>
      <c r="V10" s="254"/>
      <c r="W10" s="664" t="s">
        <v>131</v>
      </c>
      <c r="X10" s="666"/>
      <c r="Y10" s="252"/>
      <c r="Z10" s="664" t="s">
        <v>91</v>
      </c>
      <c r="AA10" s="665"/>
      <c r="AB10" s="254"/>
      <c r="AC10" s="664" t="s">
        <v>114</v>
      </c>
      <c r="AD10" s="666"/>
      <c r="AE10" s="254"/>
      <c r="AF10" s="664" t="s">
        <v>115</v>
      </c>
      <c r="AG10" s="666"/>
      <c r="AH10" s="254"/>
      <c r="AI10" s="664" t="s">
        <v>60</v>
      </c>
      <c r="AJ10" s="666"/>
      <c r="AK10" s="254"/>
      <c r="AL10" s="664" t="s">
        <v>264</v>
      </c>
      <c r="AM10" s="666"/>
    </row>
    <row r="11" spans="1:39">
      <c r="A11" s="255"/>
      <c r="B11" s="256" t="s">
        <v>186</v>
      </c>
      <c r="C11" s="257" t="s">
        <v>186</v>
      </c>
      <c r="D11" s="245"/>
      <c r="E11" s="7"/>
      <c r="F11" s="258"/>
      <c r="H11" s="7"/>
      <c r="I11" s="258"/>
      <c r="K11" s="1"/>
      <c r="L11" s="258"/>
      <c r="M11" s="238"/>
      <c r="N11" s="1"/>
      <c r="O11" s="258"/>
      <c r="P11" s="245"/>
      <c r="Q11" s="7"/>
      <c r="R11" s="258"/>
      <c r="S11" s="238"/>
      <c r="T11" s="1"/>
      <c r="U11" s="258"/>
      <c r="V11" s="238"/>
      <c r="W11" s="1"/>
      <c r="X11" s="258"/>
      <c r="Y11" s="245"/>
      <c r="Z11" s="7"/>
      <c r="AA11" s="258"/>
      <c r="AB11" s="238"/>
      <c r="AC11" s="1"/>
      <c r="AD11" s="258"/>
      <c r="AE11" s="238"/>
      <c r="AF11" s="1"/>
      <c r="AG11" s="258"/>
      <c r="AH11" s="238"/>
      <c r="AI11" s="1"/>
      <c r="AJ11" s="258"/>
      <c r="AK11" s="238"/>
      <c r="AL11" s="1"/>
      <c r="AM11" s="258"/>
    </row>
    <row r="12" spans="1:39">
      <c r="A12" s="255" t="s">
        <v>135</v>
      </c>
      <c r="B12" s="259"/>
      <c r="C12" s="260"/>
      <c r="D12" s="245"/>
      <c r="E12" s="261">
        <f>6.68*102%*102%*102%</f>
        <v>7.0888694399999999</v>
      </c>
      <c r="F12" s="3"/>
      <c r="H12" s="261">
        <f>9*102%*102%*102%</f>
        <v>9.550872</v>
      </c>
      <c r="I12" s="3"/>
      <c r="K12" s="553">
        <f>10.695312*102%</f>
        <v>10.90921824</v>
      </c>
      <c r="L12" s="3"/>
      <c r="M12" s="238"/>
      <c r="N12" s="261">
        <f>10.59*102%*102%*102%</f>
        <v>11.238192720000001</v>
      </c>
      <c r="O12" s="3"/>
      <c r="P12" s="245"/>
      <c r="Q12" s="261">
        <f>9.89*102%*102%*102%</f>
        <v>10.495347120000002</v>
      </c>
      <c r="R12" s="3"/>
      <c r="S12" s="238"/>
      <c r="T12" s="261">
        <f>11.33*102%*102%*102%</f>
        <v>12.02348664</v>
      </c>
      <c r="U12" s="3"/>
      <c r="V12" s="238"/>
      <c r="W12" s="261">
        <f>11.64*102%*102%*102%</f>
        <v>12.352461120000001</v>
      </c>
      <c r="X12" s="3"/>
      <c r="Y12" s="245"/>
      <c r="Z12" s="261">
        <f>10.8*102%*102%*102%</f>
        <v>11.461046400000003</v>
      </c>
      <c r="AA12" s="3"/>
      <c r="AB12" s="238"/>
      <c r="AC12" s="261">
        <f>12.38*102%*102%*102%</f>
        <v>13.137755040000002</v>
      </c>
      <c r="AD12" s="3"/>
      <c r="AE12" s="238"/>
      <c r="AF12" s="261">
        <f>12.7*102%*102%*102%</f>
        <v>13.477341600000001</v>
      </c>
      <c r="AG12" s="3"/>
      <c r="AH12" s="238"/>
      <c r="AI12" s="262">
        <f>11.33*102%*102%*102%</f>
        <v>12.02348664</v>
      </c>
      <c r="AJ12" s="3"/>
      <c r="AK12" s="238"/>
      <c r="AL12" s="2">
        <f>K12</f>
        <v>10.90921824</v>
      </c>
      <c r="AM12" s="3"/>
    </row>
    <row r="13" spans="1:39">
      <c r="A13" s="255" t="s">
        <v>61</v>
      </c>
      <c r="B13" s="263"/>
      <c r="C13" s="264" t="s">
        <v>205</v>
      </c>
      <c r="D13" s="245"/>
      <c r="E13" s="4"/>
      <c r="F13" s="3"/>
      <c r="H13" s="4"/>
      <c r="I13" s="3"/>
      <c r="K13" s="4"/>
      <c r="L13" s="3"/>
      <c r="M13" s="238"/>
      <c r="N13" s="4"/>
      <c r="O13" s="3"/>
      <c r="P13" s="245"/>
      <c r="Q13" s="4"/>
      <c r="R13" s="3"/>
      <c r="S13" s="238"/>
      <c r="T13" s="4"/>
      <c r="U13" s="3"/>
      <c r="V13" s="238"/>
      <c r="W13" s="4"/>
      <c r="X13" s="3"/>
      <c r="Y13" s="245"/>
      <c r="Z13" s="4"/>
      <c r="AA13" s="3"/>
      <c r="AB13" s="238"/>
      <c r="AC13" s="4"/>
      <c r="AD13" s="3"/>
      <c r="AE13" s="238"/>
      <c r="AF13" s="4"/>
      <c r="AG13" s="3"/>
      <c r="AH13" s="238"/>
      <c r="AI13" s="265"/>
      <c r="AJ13" s="3"/>
      <c r="AK13" s="238"/>
      <c r="AL13" s="4"/>
      <c r="AM13" s="3"/>
    </row>
    <row r="14" spans="1:39">
      <c r="A14" s="255" t="s">
        <v>151</v>
      </c>
      <c r="B14" s="263"/>
      <c r="C14" s="264" t="s">
        <v>205</v>
      </c>
      <c r="D14" s="245"/>
      <c r="E14" s="4"/>
      <c r="F14" s="3"/>
      <c r="H14" s="4"/>
      <c r="I14" s="3"/>
      <c r="K14" s="4"/>
      <c r="L14" s="3"/>
      <c r="M14" s="238"/>
      <c r="N14" s="4"/>
      <c r="O14" s="3"/>
      <c r="P14" s="245"/>
      <c r="Q14" s="4"/>
      <c r="R14" s="3"/>
      <c r="S14" s="238"/>
      <c r="T14" s="4"/>
      <c r="U14" s="3"/>
      <c r="V14" s="238"/>
      <c r="W14" s="4"/>
      <c r="X14" s="3"/>
      <c r="Y14" s="245"/>
      <c r="Z14" s="4"/>
      <c r="AA14" s="3"/>
      <c r="AB14" s="238"/>
      <c r="AC14" s="4"/>
      <c r="AD14" s="3"/>
      <c r="AE14" s="238"/>
      <c r="AF14" s="4"/>
      <c r="AG14" s="3"/>
      <c r="AH14" s="238"/>
      <c r="AI14" s="265"/>
      <c r="AJ14" s="3"/>
      <c r="AK14" s="238"/>
      <c r="AL14" s="4"/>
      <c r="AM14" s="3"/>
    </row>
    <row r="15" spans="1:39" s="70" customFormat="1">
      <c r="A15" s="266" t="s">
        <v>116</v>
      </c>
      <c r="B15" s="267"/>
      <c r="C15" s="268"/>
      <c r="D15" s="245"/>
      <c r="E15" s="5"/>
      <c r="F15" s="3"/>
      <c r="H15" s="5"/>
      <c r="I15" s="3"/>
      <c r="K15" s="5"/>
      <c r="L15" s="3"/>
      <c r="M15" s="238"/>
      <c r="N15" s="5"/>
      <c r="O15" s="3"/>
      <c r="P15" s="245"/>
      <c r="Q15" s="5"/>
      <c r="R15" s="3"/>
      <c r="S15" s="238"/>
      <c r="T15" s="5"/>
      <c r="U15" s="3"/>
      <c r="V15" s="238"/>
      <c r="W15" s="5"/>
      <c r="X15" s="3"/>
      <c r="Y15" s="245"/>
      <c r="Z15" s="5"/>
      <c r="AA15" s="3"/>
      <c r="AB15" s="238"/>
      <c r="AC15" s="5"/>
      <c r="AD15" s="3"/>
      <c r="AE15" s="238"/>
      <c r="AF15" s="5"/>
      <c r="AG15" s="3"/>
      <c r="AH15" s="238"/>
      <c r="AI15" s="265">
        <f>AI12*10%</f>
        <v>1.2023486640000001</v>
      </c>
      <c r="AJ15" s="3"/>
      <c r="AK15" s="238"/>
      <c r="AL15" s="5"/>
      <c r="AM15" s="3"/>
    </row>
    <row r="16" spans="1:39">
      <c r="A16" s="269" t="s">
        <v>52</v>
      </c>
      <c r="B16" s="267"/>
      <c r="C16" s="268"/>
      <c r="D16" s="245"/>
      <c r="E16" s="6">
        <f>SUM(E12:E15)</f>
        <v>7.0888694399999999</v>
      </c>
      <c r="F16" s="3"/>
      <c r="H16" s="6">
        <f>SUM(H12:H15)</f>
        <v>9.550872</v>
      </c>
      <c r="I16" s="3"/>
      <c r="K16" s="6">
        <f>SUM(K12:K15)</f>
        <v>10.90921824</v>
      </c>
      <c r="L16" s="3"/>
      <c r="M16" s="238"/>
      <c r="N16" s="6">
        <f>SUM(N12:N15)</f>
        <v>11.238192720000001</v>
      </c>
      <c r="O16" s="3"/>
      <c r="P16" s="245"/>
      <c r="Q16" s="6">
        <f>SUM(Q12:Q15)</f>
        <v>10.495347120000002</v>
      </c>
      <c r="R16" s="3"/>
      <c r="S16" s="238"/>
      <c r="T16" s="6">
        <f>SUM(T12:T15)</f>
        <v>12.02348664</v>
      </c>
      <c r="U16" s="3"/>
      <c r="V16" s="238"/>
      <c r="W16" s="6">
        <f>SUM(W12:W15)</f>
        <v>12.352461120000001</v>
      </c>
      <c r="X16" s="3"/>
      <c r="Y16" s="245"/>
      <c r="Z16" s="6">
        <f>SUM(Z12:Z15)</f>
        <v>11.461046400000003</v>
      </c>
      <c r="AA16" s="3"/>
      <c r="AB16" s="238"/>
      <c r="AC16" s="6">
        <f>SUM(AC12:AC15)</f>
        <v>13.137755040000002</v>
      </c>
      <c r="AD16" s="3"/>
      <c r="AE16" s="238"/>
      <c r="AF16" s="6">
        <f>SUM(AF12:AF15)</f>
        <v>13.477341600000001</v>
      </c>
      <c r="AG16" s="3"/>
      <c r="AH16" s="238"/>
      <c r="AI16" s="6">
        <f>SUM(AI12:AI15)</f>
        <v>13.225835304</v>
      </c>
      <c r="AJ16" s="3"/>
      <c r="AK16" s="238"/>
      <c r="AL16" s="6">
        <f>SUM(AL12:AL15)</f>
        <v>10.90921824</v>
      </c>
      <c r="AM16" s="3"/>
    </row>
    <row r="17" spans="1:39">
      <c r="A17" s="266"/>
      <c r="B17" s="270"/>
      <c r="C17" s="271"/>
      <c r="D17" s="245"/>
      <c r="E17" s="1"/>
      <c r="F17" s="3"/>
      <c r="H17" s="1"/>
      <c r="I17" s="3"/>
      <c r="K17" s="1"/>
      <c r="L17" s="3"/>
      <c r="M17" s="238"/>
      <c r="N17" s="1"/>
      <c r="O17" s="3"/>
      <c r="P17" s="245"/>
      <c r="Q17" s="1"/>
      <c r="R17" s="3"/>
      <c r="S17" s="238"/>
      <c r="T17" s="1"/>
      <c r="U17" s="3"/>
      <c r="V17" s="238"/>
      <c r="W17" s="1"/>
      <c r="X17" s="3"/>
      <c r="Y17" s="245"/>
      <c r="Z17" s="1"/>
      <c r="AA17" s="3"/>
      <c r="AB17" s="238"/>
      <c r="AC17" s="1"/>
      <c r="AD17" s="3"/>
      <c r="AE17" s="238"/>
      <c r="AF17" s="1"/>
      <c r="AG17" s="3"/>
      <c r="AH17" s="238"/>
      <c r="AI17" s="1"/>
      <c r="AJ17" s="3"/>
      <c r="AK17" s="238"/>
      <c r="AL17" s="1"/>
      <c r="AM17" s="3"/>
    </row>
    <row r="18" spans="1:39">
      <c r="A18" s="272" t="s">
        <v>179</v>
      </c>
      <c r="B18" s="273"/>
      <c r="C18" s="274"/>
      <c r="D18" s="245"/>
      <c r="E18" s="5">
        <f>$C18*E16</f>
        <v>0</v>
      </c>
      <c r="F18" s="3"/>
      <c r="H18" s="5">
        <f>$C18*H16</f>
        <v>0</v>
      </c>
      <c r="I18" s="3"/>
      <c r="K18" s="5">
        <f>$C18*K16</f>
        <v>0</v>
      </c>
      <c r="L18" s="3"/>
      <c r="M18" s="238"/>
      <c r="N18" s="5">
        <f>$C18*N16</f>
        <v>0</v>
      </c>
      <c r="O18" s="3"/>
      <c r="P18" s="245"/>
      <c r="Q18" s="5">
        <f>$C18*Q16</f>
        <v>0</v>
      </c>
      <c r="R18" s="3"/>
      <c r="S18" s="238"/>
      <c r="T18" s="5">
        <f>$C18*T16</f>
        <v>0</v>
      </c>
      <c r="U18" s="3"/>
      <c r="V18" s="238"/>
      <c r="W18" s="5">
        <f>$C18*W16</f>
        <v>0</v>
      </c>
      <c r="X18" s="3"/>
      <c r="Y18" s="245"/>
      <c r="Z18" s="5">
        <f>$C18*Z16</f>
        <v>0</v>
      </c>
      <c r="AA18" s="3"/>
      <c r="AB18" s="238"/>
      <c r="AC18" s="5">
        <f>$C18*AC16</f>
        <v>0</v>
      </c>
      <c r="AD18" s="3"/>
      <c r="AE18" s="238"/>
      <c r="AF18" s="5">
        <f>$C18*AF16</f>
        <v>0</v>
      </c>
      <c r="AG18" s="3"/>
      <c r="AH18" s="238"/>
      <c r="AI18" s="5">
        <f>$C18*AI16</f>
        <v>0</v>
      </c>
      <c r="AJ18" s="3"/>
      <c r="AK18" s="238"/>
      <c r="AL18" s="5">
        <f>$C18*AL16</f>
        <v>0</v>
      </c>
      <c r="AM18" s="3"/>
    </row>
    <row r="19" spans="1:39" s="70" customFormat="1">
      <c r="A19" s="272" t="s">
        <v>263</v>
      </c>
      <c r="B19" s="273"/>
      <c r="C19" s="274"/>
      <c r="D19" s="245"/>
      <c r="E19" s="5">
        <f>$C19*E16</f>
        <v>0</v>
      </c>
      <c r="F19" s="3"/>
      <c r="H19" s="5">
        <f>$C19*H16</f>
        <v>0</v>
      </c>
      <c r="I19" s="3"/>
      <c r="K19" s="5">
        <f>$C19*K16</f>
        <v>0</v>
      </c>
      <c r="L19" s="3"/>
      <c r="M19" s="238"/>
      <c r="N19" s="5">
        <f>$C19*N16</f>
        <v>0</v>
      </c>
      <c r="O19" s="3"/>
      <c r="P19" s="245"/>
      <c r="Q19" s="5">
        <f>$C19*Q16</f>
        <v>0</v>
      </c>
      <c r="R19" s="3"/>
      <c r="S19" s="238"/>
      <c r="T19" s="5">
        <f>$C19*T16</f>
        <v>0</v>
      </c>
      <c r="U19" s="3"/>
      <c r="V19" s="238"/>
      <c r="W19" s="5">
        <f>$C19*W16</f>
        <v>0</v>
      </c>
      <c r="X19" s="3"/>
      <c r="Y19" s="245"/>
      <c r="Z19" s="5">
        <f>$C19*Z16</f>
        <v>0</v>
      </c>
      <c r="AA19" s="3"/>
      <c r="AB19" s="238"/>
      <c r="AC19" s="5">
        <f>$C19*AC16</f>
        <v>0</v>
      </c>
      <c r="AD19" s="3"/>
      <c r="AE19" s="238"/>
      <c r="AF19" s="5">
        <f>$C19*AF16</f>
        <v>0</v>
      </c>
      <c r="AG19" s="3"/>
      <c r="AH19" s="238"/>
      <c r="AI19" s="5">
        <f>$C19*AI16</f>
        <v>0</v>
      </c>
      <c r="AJ19" s="3"/>
      <c r="AK19" s="238"/>
      <c r="AL19" s="5">
        <f>$C19*AL16</f>
        <v>0</v>
      </c>
      <c r="AM19" s="3"/>
    </row>
    <row r="20" spans="1:39">
      <c r="A20" s="269" t="s">
        <v>170</v>
      </c>
      <c r="B20" s="275"/>
      <c r="C20" s="268"/>
      <c r="D20" s="245"/>
      <c r="E20" s="6">
        <f>SUM(E16:E19)</f>
        <v>7.0888694399999999</v>
      </c>
      <c r="F20" s="276">
        <f>IF(E20=0,0,E20/E$48)</f>
        <v>1</v>
      </c>
      <c r="H20" s="6">
        <f>SUM(H16:H19)</f>
        <v>9.550872</v>
      </c>
      <c r="I20" s="276">
        <f>IF(H20=0,0,H20/H$48)</f>
        <v>1</v>
      </c>
      <c r="K20" s="6">
        <f>SUM(K16:K19)</f>
        <v>10.90921824</v>
      </c>
      <c r="L20" s="276">
        <f>IF(K20=0,0,K20/K$48)</f>
        <v>1</v>
      </c>
      <c r="M20" s="238"/>
      <c r="N20" s="6">
        <f>SUM(N16:N19)</f>
        <v>11.238192720000001</v>
      </c>
      <c r="O20" s="276">
        <f>IF(N20=0,0,N20/N$48)</f>
        <v>1</v>
      </c>
      <c r="P20" s="245"/>
      <c r="Q20" s="6">
        <f>SUM(Q16:Q19)</f>
        <v>10.495347120000002</v>
      </c>
      <c r="R20" s="276">
        <f>IF(Q20=0,0,Q20/Q$48)</f>
        <v>1</v>
      </c>
      <c r="S20" s="238"/>
      <c r="T20" s="6">
        <f>SUM(T16:T19)</f>
        <v>12.02348664</v>
      </c>
      <c r="U20" s="276">
        <f>IF(T20=0,0,T20/T$48)</f>
        <v>1</v>
      </c>
      <c r="V20" s="238"/>
      <c r="W20" s="6">
        <f>SUM(W16:W19)</f>
        <v>12.352461120000001</v>
      </c>
      <c r="X20" s="276">
        <f>IF(W20=0,0,W20/W$48)</f>
        <v>1</v>
      </c>
      <c r="Y20" s="245"/>
      <c r="Z20" s="6">
        <f>SUM(Z16:Z19)</f>
        <v>11.461046400000003</v>
      </c>
      <c r="AA20" s="276">
        <f>IF(Z20=0,0,Z20/Z$48)</f>
        <v>1</v>
      </c>
      <c r="AB20" s="238"/>
      <c r="AC20" s="6">
        <f>SUM(AC16:AC19)</f>
        <v>13.137755040000002</v>
      </c>
      <c r="AD20" s="276">
        <f>IF(AC20=0,0,AC20/AC$48)</f>
        <v>1</v>
      </c>
      <c r="AE20" s="238"/>
      <c r="AF20" s="6">
        <f>SUM(AF16:AF19)</f>
        <v>13.477341600000001</v>
      </c>
      <c r="AG20" s="276">
        <f>IF(AF20=0,0,AF20/AF$48)</f>
        <v>1</v>
      </c>
      <c r="AH20" s="238"/>
      <c r="AI20" s="6">
        <f>SUM(AI16:AI19)</f>
        <v>13.225835304</v>
      </c>
      <c r="AJ20" s="276">
        <f>IF(AI20=0,0,AI20/AI$48)</f>
        <v>1</v>
      </c>
      <c r="AK20" s="238"/>
      <c r="AL20" s="6">
        <f>SUM(AL16:AL19)</f>
        <v>10.90921824</v>
      </c>
      <c r="AM20" s="276">
        <f>IF(AL20=0,0,AL20/AL$48)</f>
        <v>1</v>
      </c>
    </row>
    <row r="21" spans="1:39">
      <c r="A21" s="266"/>
      <c r="B21" s="270"/>
      <c r="C21" s="271"/>
      <c r="D21" s="245"/>
      <c r="E21" s="1"/>
      <c r="F21" s="3"/>
      <c r="H21" s="1"/>
      <c r="I21" s="3"/>
      <c r="K21" s="1"/>
      <c r="L21" s="3"/>
      <c r="M21" s="238"/>
      <c r="N21" s="1"/>
      <c r="O21" s="3"/>
      <c r="P21" s="245"/>
      <c r="Q21" s="1"/>
      <c r="R21" s="3"/>
      <c r="S21" s="238"/>
      <c r="T21" s="1"/>
      <c r="U21" s="3"/>
      <c r="V21" s="238"/>
      <c r="W21" s="1"/>
      <c r="X21" s="3"/>
      <c r="Y21" s="245"/>
      <c r="Z21" s="1"/>
      <c r="AA21" s="3"/>
      <c r="AB21" s="238"/>
      <c r="AC21" s="1"/>
      <c r="AD21" s="3"/>
      <c r="AE21" s="238"/>
      <c r="AF21" s="1"/>
      <c r="AG21" s="3"/>
      <c r="AH21" s="238"/>
      <c r="AI21" s="1"/>
      <c r="AJ21" s="3"/>
      <c r="AK21" s="238"/>
      <c r="AL21" s="1"/>
      <c r="AM21" s="3"/>
    </row>
    <row r="22" spans="1:39" s="233" customFormat="1">
      <c r="A22" s="277" t="s">
        <v>181</v>
      </c>
      <c r="B22" s="273"/>
      <c r="C22" s="271"/>
      <c r="D22" s="278"/>
      <c r="E22" s="279"/>
      <c r="F22" s="280"/>
      <c r="H22" s="279"/>
      <c r="I22" s="280"/>
      <c r="K22" s="279"/>
      <c r="L22" s="280"/>
      <c r="M22" s="281"/>
      <c r="N22" s="279"/>
      <c r="O22" s="280"/>
      <c r="P22" s="278"/>
      <c r="Q22" s="279"/>
      <c r="R22" s="280"/>
      <c r="S22" s="281"/>
      <c r="T22" s="279"/>
      <c r="U22" s="280"/>
      <c r="V22" s="281"/>
      <c r="W22" s="279"/>
      <c r="X22" s="280"/>
      <c r="Y22" s="278"/>
      <c r="Z22" s="279"/>
      <c r="AA22" s="280"/>
      <c r="AB22" s="281"/>
      <c r="AC22" s="279"/>
      <c r="AD22" s="280"/>
      <c r="AE22" s="281"/>
      <c r="AF22" s="279"/>
      <c r="AG22" s="280"/>
      <c r="AH22" s="281"/>
      <c r="AI22" s="279"/>
      <c r="AJ22" s="280"/>
      <c r="AK22" s="281"/>
      <c r="AL22" s="279"/>
      <c r="AM22" s="280"/>
    </row>
    <row r="23" spans="1:39">
      <c r="A23" s="272" t="s">
        <v>211</v>
      </c>
      <c r="B23" s="273"/>
      <c r="C23" s="282" t="s">
        <v>152</v>
      </c>
      <c r="D23" s="245"/>
      <c r="E23" s="5">
        <f>E22*'4-Premies en opslagen'!$C26</f>
        <v>0</v>
      </c>
      <c r="F23" s="3"/>
      <c r="H23" s="5">
        <f>H22*'4-Premies en opslagen'!$C26</f>
        <v>0</v>
      </c>
      <c r="I23" s="3"/>
      <c r="K23" s="5">
        <f>K22*'4-Premies en opslagen'!$C26</f>
        <v>0</v>
      </c>
      <c r="L23" s="3"/>
      <c r="M23" s="238"/>
      <c r="N23" s="5">
        <f>N22*'4-Premies en opslagen'!$C26</f>
        <v>0</v>
      </c>
      <c r="O23" s="3"/>
      <c r="P23" s="245"/>
      <c r="Q23" s="5">
        <f>Q22*'4-Premies en opslagen'!$C26</f>
        <v>0</v>
      </c>
      <c r="R23" s="3"/>
      <c r="S23" s="238"/>
      <c r="T23" s="5">
        <f>T22*'4-Premies en opslagen'!$C26</f>
        <v>0</v>
      </c>
      <c r="U23" s="3"/>
      <c r="V23" s="238"/>
      <c r="W23" s="5">
        <f>W22*'4-Premies en opslagen'!$C26</f>
        <v>0</v>
      </c>
      <c r="X23" s="3"/>
      <c r="Y23" s="245"/>
      <c r="Z23" s="5">
        <f>Z22*'4-Premies en opslagen'!$C26</f>
        <v>0</v>
      </c>
      <c r="AA23" s="3"/>
      <c r="AB23" s="238"/>
      <c r="AC23" s="5">
        <f>AC22*'4-Premies en opslagen'!$C26</f>
        <v>0</v>
      </c>
      <c r="AD23" s="3"/>
      <c r="AE23" s="238"/>
      <c r="AF23" s="5">
        <f>AF22*'4-Premies en opslagen'!$C26</f>
        <v>0</v>
      </c>
      <c r="AG23" s="3"/>
      <c r="AH23" s="238"/>
      <c r="AI23" s="5">
        <f>AI22*'4-Premies en opslagen'!$C26</f>
        <v>0</v>
      </c>
      <c r="AJ23" s="3"/>
      <c r="AK23" s="238"/>
      <c r="AL23" s="5">
        <f>AL22*'4-Premies en opslagen'!$C26</f>
        <v>0</v>
      </c>
      <c r="AM23" s="3"/>
    </row>
    <row r="24" spans="1:39">
      <c r="A24" s="269" t="s">
        <v>206</v>
      </c>
      <c r="B24" s="275"/>
      <c r="C24" s="268"/>
      <c r="D24" s="245"/>
      <c r="E24" s="6">
        <f>E23+E20</f>
        <v>7.0888694399999999</v>
      </c>
      <c r="F24" s="276">
        <f>IF(E24=0,0,E24/E$48)</f>
        <v>1</v>
      </c>
      <c r="H24" s="6">
        <f>H23+H20</f>
        <v>9.550872</v>
      </c>
      <c r="I24" s="276">
        <f>IF(H24=0,0,H24/H$48)</f>
        <v>1</v>
      </c>
      <c r="K24" s="6">
        <f>K23+K20</f>
        <v>10.90921824</v>
      </c>
      <c r="L24" s="276">
        <f>IF(K24=0,0,K24/K$48)</f>
        <v>1</v>
      </c>
      <c r="M24" s="238"/>
      <c r="N24" s="6">
        <f>N23+N20</f>
        <v>11.238192720000001</v>
      </c>
      <c r="O24" s="276">
        <f>IF(N24=0,0,N24/N$48)</f>
        <v>1</v>
      </c>
      <c r="P24" s="245"/>
      <c r="Q24" s="6">
        <f>Q23+Q20</f>
        <v>10.495347120000002</v>
      </c>
      <c r="R24" s="276">
        <f>IF(Q24=0,0,Q24/Q$48)</f>
        <v>1</v>
      </c>
      <c r="S24" s="238"/>
      <c r="T24" s="6">
        <f>T23+T20</f>
        <v>12.02348664</v>
      </c>
      <c r="U24" s="276">
        <f>IF(T24=0,0,T24/T$48)</f>
        <v>1</v>
      </c>
      <c r="V24" s="238"/>
      <c r="W24" s="6">
        <f>W23+W20</f>
        <v>12.352461120000001</v>
      </c>
      <c r="X24" s="276">
        <f>IF(W24=0,0,W24/W$48)</f>
        <v>1</v>
      </c>
      <c r="Y24" s="245"/>
      <c r="Z24" s="6">
        <f>Z23+Z20</f>
        <v>11.461046400000003</v>
      </c>
      <c r="AA24" s="276">
        <f>IF(Z24=0,0,Z24/Z$48)</f>
        <v>1</v>
      </c>
      <c r="AB24" s="238"/>
      <c r="AC24" s="6">
        <f>AC23+AC20</f>
        <v>13.137755040000002</v>
      </c>
      <c r="AD24" s="276">
        <f>IF(AC24=0,0,AC24/AC$48)</f>
        <v>1</v>
      </c>
      <c r="AE24" s="238"/>
      <c r="AF24" s="6">
        <f>AF23+AF20</f>
        <v>13.477341600000001</v>
      </c>
      <c r="AG24" s="276">
        <f>IF(AF24=0,0,AF24/AF$48)</f>
        <v>1</v>
      </c>
      <c r="AH24" s="238"/>
      <c r="AI24" s="6">
        <f>AI23+AI20</f>
        <v>13.225835304</v>
      </c>
      <c r="AJ24" s="276">
        <f>IF(AI24=0,0,AI24/AI$48)</f>
        <v>1</v>
      </c>
      <c r="AK24" s="238"/>
      <c r="AL24" s="6">
        <f>AL23+AL20</f>
        <v>10.90921824</v>
      </c>
      <c r="AM24" s="276">
        <f>IF(AL24=0,0,AL24/AL$48)</f>
        <v>1</v>
      </c>
    </row>
    <row r="25" spans="1:39">
      <c r="A25" s="266"/>
      <c r="B25" s="275"/>
      <c r="C25" s="268"/>
      <c r="D25" s="245"/>
      <c r="E25" s="7"/>
      <c r="F25" s="3"/>
      <c r="H25" s="7"/>
      <c r="I25" s="3"/>
      <c r="K25" s="7"/>
      <c r="L25" s="3"/>
      <c r="M25" s="238"/>
      <c r="N25" s="7"/>
      <c r="O25" s="3"/>
      <c r="P25" s="245"/>
      <c r="Q25" s="7"/>
      <c r="R25" s="3"/>
      <c r="S25" s="238"/>
      <c r="T25" s="7"/>
      <c r="U25" s="3"/>
      <c r="V25" s="238"/>
      <c r="W25" s="7"/>
      <c r="X25" s="3"/>
      <c r="Y25" s="245"/>
      <c r="Z25" s="7"/>
      <c r="AA25" s="3"/>
      <c r="AB25" s="238"/>
      <c r="AC25" s="7"/>
      <c r="AD25" s="3"/>
      <c r="AE25" s="238"/>
      <c r="AF25" s="7"/>
      <c r="AG25" s="3"/>
      <c r="AH25" s="238"/>
      <c r="AI25" s="7"/>
      <c r="AJ25" s="3"/>
      <c r="AK25" s="238"/>
      <c r="AL25" s="7"/>
      <c r="AM25" s="3"/>
    </row>
    <row r="26" spans="1:39">
      <c r="A26" s="272" t="s">
        <v>120</v>
      </c>
      <c r="B26" s="273"/>
      <c r="C26" s="282" t="s">
        <v>152</v>
      </c>
      <c r="D26" s="245"/>
      <c r="E26" s="5">
        <f>E24*'4-Premies en opslagen'!$C59</f>
        <v>0</v>
      </c>
      <c r="F26" s="3"/>
      <c r="H26" s="5">
        <f>H24*'4-Premies en opslagen'!$C59</f>
        <v>0</v>
      </c>
      <c r="I26" s="3"/>
      <c r="K26" s="5">
        <f>K24*'4-Premies en opslagen'!$C59</f>
        <v>0</v>
      </c>
      <c r="L26" s="3"/>
      <c r="M26" s="238"/>
      <c r="N26" s="5">
        <f>N24*'4-Premies en opslagen'!$C59</f>
        <v>0</v>
      </c>
      <c r="O26" s="3"/>
      <c r="P26" s="245"/>
      <c r="Q26" s="5">
        <f>Q24*'4-Premies en opslagen'!$C59</f>
        <v>0</v>
      </c>
      <c r="R26" s="3"/>
      <c r="S26" s="238"/>
      <c r="T26" s="5">
        <f>T24*'4-Premies en opslagen'!$C59</f>
        <v>0</v>
      </c>
      <c r="U26" s="3"/>
      <c r="V26" s="238"/>
      <c r="W26" s="5">
        <f>W24*'4-Premies en opslagen'!$C59</f>
        <v>0</v>
      </c>
      <c r="X26" s="3"/>
      <c r="Y26" s="245"/>
      <c r="Z26" s="5">
        <f>Z24*'4-Premies en opslagen'!$C59</f>
        <v>0</v>
      </c>
      <c r="AA26" s="3"/>
      <c r="AB26" s="238"/>
      <c r="AC26" s="5">
        <f>AC24*'4-Premies en opslagen'!$C59</f>
        <v>0</v>
      </c>
      <c r="AD26" s="3"/>
      <c r="AE26" s="238"/>
      <c r="AF26" s="5">
        <f>AF24*'4-Premies en opslagen'!$C59</f>
        <v>0</v>
      </c>
      <c r="AG26" s="3"/>
      <c r="AH26" s="238"/>
      <c r="AI26" s="5">
        <f>AI24*'4-Premies en opslagen'!$E59</f>
        <v>0</v>
      </c>
      <c r="AJ26" s="3"/>
      <c r="AK26" s="238"/>
      <c r="AL26" s="5">
        <f>AL24*'4-Premies en opslagen'!$C59</f>
        <v>0</v>
      </c>
      <c r="AM26" s="3"/>
    </row>
    <row r="27" spans="1:39">
      <c r="A27" s="269" t="s">
        <v>225</v>
      </c>
      <c r="B27" s="275"/>
      <c r="C27" s="268"/>
      <c r="D27" s="245"/>
      <c r="E27" s="6">
        <f>SUM(E24:E26)</f>
        <v>7.0888694399999999</v>
      </c>
      <c r="F27" s="276">
        <f>IF(E27=0,0,E27/E$48)</f>
        <v>1</v>
      </c>
      <c r="H27" s="6">
        <f>SUM(H24:H26)</f>
        <v>9.550872</v>
      </c>
      <c r="I27" s="276">
        <f>IF(H27=0,0,H27/H$48)</f>
        <v>1</v>
      </c>
      <c r="K27" s="6">
        <f>SUM(K24:K26)</f>
        <v>10.90921824</v>
      </c>
      <c r="L27" s="276">
        <f>IF(K27=0,0,K27/K$48)</f>
        <v>1</v>
      </c>
      <c r="M27" s="238"/>
      <c r="N27" s="6">
        <f>SUM(N24:N26)</f>
        <v>11.238192720000001</v>
      </c>
      <c r="O27" s="276">
        <f>IF(N27=0,0,N27/N$48)</f>
        <v>1</v>
      </c>
      <c r="P27" s="245"/>
      <c r="Q27" s="6">
        <f>SUM(Q24:Q26)</f>
        <v>10.495347120000002</v>
      </c>
      <c r="R27" s="276">
        <f>IF(Q27=0,0,Q27/Q$48)</f>
        <v>1</v>
      </c>
      <c r="S27" s="238"/>
      <c r="T27" s="6">
        <f>SUM(T24:T26)</f>
        <v>12.02348664</v>
      </c>
      <c r="U27" s="276">
        <f>IF(T27=0,0,T27/T$48)</f>
        <v>1</v>
      </c>
      <c r="V27" s="238"/>
      <c r="W27" s="6">
        <f>SUM(W24:W26)</f>
        <v>12.352461120000001</v>
      </c>
      <c r="X27" s="276">
        <f>IF(W27=0,0,W27/W$48)</f>
        <v>1</v>
      </c>
      <c r="Y27" s="245"/>
      <c r="Z27" s="6">
        <f>SUM(Z24:Z26)</f>
        <v>11.461046400000003</v>
      </c>
      <c r="AA27" s="276">
        <f>IF(Z27=0,0,Z27/Z$48)</f>
        <v>1</v>
      </c>
      <c r="AB27" s="238"/>
      <c r="AC27" s="6">
        <f>SUM(AC24:AC26)</f>
        <v>13.137755040000002</v>
      </c>
      <c r="AD27" s="276">
        <f>IF(AC27=0,0,AC27/AC$48)</f>
        <v>1</v>
      </c>
      <c r="AE27" s="238"/>
      <c r="AF27" s="6">
        <f>SUM(AF24:AF26)</f>
        <v>13.477341600000001</v>
      </c>
      <c r="AG27" s="276">
        <f>IF(AF27=0,0,AF27/AF$48)</f>
        <v>1</v>
      </c>
      <c r="AH27" s="238"/>
      <c r="AI27" s="6">
        <f>SUM(AI24:AI26)</f>
        <v>13.225835304</v>
      </c>
      <c r="AJ27" s="276">
        <f>IF(AI27=0,0,AI27/AI$48)</f>
        <v>1</v>
      </c>
      <c r="AK27" s="238"/>
      <c r="AL27" s="6">
        <f>SUM(AL24:AL26)</f>
        <v>10.90921824</v>
      </c>
      <c r="AM27" s="276">
        <f>IF(AL27=0,0,AL27/AL$48)</f>
        <v>1</v>
      </c>
    </row>
    <row r="28" spans="1:39">
      <c r="A28" s="266"/>
      <c r="B28" s="275"/>
      <c r="C28" s="268"/>
      <c r="D28" s="245"/>
      <c r="E28" s="7"/>
      <c r="F28" s="3"/>
      <c r="H28" s="7"/>
      <c r="I28" s="3"/>
      <c r="K28" s="7"/>
      <c r="L28" s="3"/>
      <c r="M28" s="238"/>
      <c r="N28" s="7"/>
      <c r="O28" s="3"/>
      <c r="P28" s="245"/>
      <c r="Q28" s="7"/>
      <c r="R28" s="3"/>
      <c r="S28" s="238"/>
      <c r="T28" s="7"/>
      <c r="U28" s="3"/>
      <c r="V28" s="238"/>
      <c r="W28" s="7"/>
      <c r="X28" s="3"/>
      <c r="Y28" s="245"/>
      <c r="Z28" s="7"/>
      <c r="AA28" s="3"/>
      <c r="AB28" s="238"/>
      <c r="AC28" s="7"/>
      <c r="AD28" s="3"/>
      <c r="AE28" s="238"/>
      <c r="AF28" s="7"/>
      <c r="AG28" s="3"/>
      <c r="AH28" s="238"/>
      <c r="AI28" s="7"/>
      <c r="AJ28" s="3"/>
      <c r="AK28" s="238"/>
      <c r="AL28" s="7"/>
      <c r="AM28" s="3"/>
    </row>
    <row r="29" spans="1:39">
      <c r="A29" s="266" t="s">
        <v>182</v>
      </c>
      <c r="B29" s="283"/>
      <c r="C29" s="264" t="s">
        <v>205</v>
      </c>
      <c r="D29" s="245"/>
      <c r="E29" s="4"/>
      <c r="F29" s="3"/>
      <c r="H29" s="4"/>
      <c r="I29" s="3"/>
      <c r="K29" s="4"/>
      <c r="L29" s="3"/>
      <c r="M29" s="238"/>
      <c r="N29" s="4"/>
      <c r="O29" s="3"/>
      <c r="P29" s="245"/>
      <c r="Q29" s="4"/>
      <c r="R29" s="3"/>
      <c r="S29" s="238"/>
      <c r="T29" s="4"/>
      <c r="U29" s="3"/>
      <c r="V29" s="238"/>
      <c r="W29" s="4"/>
      <c r="X29" s="3"/>
      <c r="Y29" s="245"/>
      <c r="Z29" s="4"/>
      <c r="AA29" s="3"/>
      <c r="AB29" s="238"/>
      <c r="AC29" s="4"/>
      <c r="AD29" s="3"/>
      <c r="AE29" s="238"/>
      <c r="AF29" s="4"/>
      <c r="AG29" s="3"/>
      <c r="AH29" s="238"/>
      <c r="AI29" s="4"/>
      <c r="AJ29" s="3"/>
      <c r="AK29" s="284"/>
      <c r="AL29" s="4"/>
      <c r="AM29" s="3"/>
    </row>
    <row r="30" spans="1:39">
      <c r="A30" s="266" t="s">
        <v>194</v>
      </c>
      <c r="B30" s="285"/>
      <c r="C30" s="264" t="s">
        <v>205</v>
      </c>
      <c r="D30" s="245"/>
      <c r="E30" s="4"/>
      <c r="F30" s="3"/>
      <c r="H30" s="4"/>
      <c r="I30" s="3"/>
      <c r="K30" s="4"/>
      <c r="L30" s="3"/>
      <c r="M30" s="238"/>
      <c r="N30" s="4"/>
      <c r="O30" s="3"/>
      <c r="P30" s="245"/>
      <c r="Q30" s="4"/>
      <c r="R30" s="3"/>
      <c r="S30" s="238"/>
      <c r="T30" s="4"/>
      <c r="U30" s="3"/>
      <c r="V30" s="238"/>
      <c r="W30" s="4"/>
      <c r="X30" s="3"/>
      <c r="Y30" s="245"/>
      <c r="Z30" s="4"/>
      <c r="AA30" s="3"/>
      <c r="AB30" s="238"/>
      <c r="AC30" s="4"/>
      <c r="AD30" s="3"/>
      <c r="AE30" s="238"/>
      <c r="AF30" s="4"/>
      <c r="AG30" s="3"/>
      <c r="AH30" s="238"/>
      <c r="AI30" s="4"/>
      <c r="AJ30" s="3"/>
      <c r="AK30" s="284"/>
      <c r="AL30" s="4"/>
      <c r="AM30" s="3"/>
    </row>
    <row r="31" spans="1:39" ht="12.75" customHeight="1">
      <c r="A31" s="266" t="s">
        <v>195</v>
      </c>
      <c r="B31" s="275"/>
      <c r="C31" s="268" t="s">
        <v>186</v>
      </c>
      <c r="D31" s="245"/>
      <c r="E31" s="286" t="s">
        <v>66</v>
      </c>
      <c r="F31" s="3"/>
      <c r="H31" s="286" t="s">
        <v>66</v>
      </c>
      <c r="I31" s="3"/>
      <c r="K31" s="286" t="s">
        <v>66</v>
      </c>
      <c r="L31" s="3"/>
      <c r="M31" s="238"/>
      <c r="N31" s="286" t="s">
        <v>66</v>
      </c>
      <c r="O31" s="3"/>
      <c r="P31" s="245"/>
      <c r="Q31" s="286" t="s">
        <v>66</v>
      </c>
      <c r="R31" s="3"/>
      <c r="S31" s="238"/>
      <c r="T31" s="286" t="s">
        <v>66</v>
      </c>
      <c r="U31" s="3"/>
      <c r="V31" s="238"/>
      <c r="W31" s="286" t="s">
        <v>66</v>
      </c>
      <c r="X31" s="3"/>
      <c r="Y31" s="245"/>
      <c r="Z31" s="286" t="s">
        <v>66</v>
      </c>
      <c r="AA31" s="3"/>
      <c r="AB31" s="238"/>
      <c r="AC31" s="286" t="s">
        <v>66</v>
      </c>
      <c r="AD31" s="3"/>
      <c r="AE31" s="238"/>
      <c r="AF31" s="286" t="s">
        <v>66</v>
      </c>
      <c r="AG31" s="3"/>
      <c r="AH31" s="238"/>
      <c r="AI31" s="286" t="s">
        <v>66</v>
      </c>
      <c r="AJ31" s="3"/>
      <c r="AK31" s="238"/>
      <c r="AL31" s="286" t="s">
        <v>66</v>
      </c>
      <c r="AM31" s="3"/>
    </row>
    <row r="32" spans="1:39" ht="12.75" customHeight="1">
      <c r="A32" s="287"/>
      <c r="B32" s="275"/>
      <c r="C32" s="268" t="s">
        <v>186</v>
      </c>
      <c r="D32" s="245"/>
      <c r="E32" s="4"/>
      <c r="F32" s="3"/>
      <c r="H32" s="4"/>
      <c r="I32" s="3"/>
      <c r="K32" s="4"/>
      <c r="L32" s="3"/>
      <c r="M32" s="238"/>
      <c r="N32" s="4"/>
      <c r="O32" s="3"/>
      <c r="P32" s="245"/>
      <c r="Q32" s="4"/>
      <c r="R32" s="3"/>
      <c r="S32" s="238"/>
      <c r="T32" s="4"/>
      <c r="U32" s="3"/>
      <c r="V32" s="238"/>
      <c r="W32" s="4"/>
      <c r="X32" s="3"/>
      <c r="Y32" s="245"/>
      <c r="Z32" s="4"/>
      <c r="AA32" s="3"/>
      <c r="AB32" s="238"/>
      <c r="AC32" s="4"/>
      <c r="AD32" s="3"/>
      <c r="AE32" s="238"/>
      <c r="AF32" s="4"/>
      <c r="AG32" s="3"/>
      <c r="AH32" s="238"/>
      <c r="AI32" s="265"/>
      <c r="AJ32" s="3"/>
      <c r="AK32" s="238"/>
      <c r="AL32" s="4"/>
      <c r="AM32" s="3"/>
    </row>
    <row r="33" spans="1:39" ht="12.75" customHeight="1">
      <c r="A33" s="269" t="s">
        <v>175</v>
      </c>
      <c r="B33" s="275"/>
      <c r="C33" s="268"/>
      <c r="D33" s="245"/>
      <c r="E33" s="6">
        <f>SUM(E27:E32)</f>
        <v>7.0888694399999999</v>
      </c>
      <c r="F33" s="276">
        <f>IF(E33=0,0,E33/E$48)</f>
        <v>1</v>
      </c>
      <c r="H33" s="6">
        <f>SUM(H27:H32)</f>
        <v>9.550872</v>
      </c>
      <c r="I33" s="276">
        <f>IF(H33=0,0,H33/H$48)</f>
        <v>1</v>
      </c>
      <c r="K33" s="6">
        <f>SUM(K27:K32)</f>
        <v>10.90921824</v>
      </c>
      <c r="L33" s="276">
        <f>IF(K33=0,0,K33/K$48)</f>
        <v>1</v>
      </c>
      <c r="M33" s="238"/>
      <c r="N33" s="6">
        <f>SUM(N27:N32)</f>
        <v>11.238192720000001</v>
      </c>
      <c r="O33" s="276">
        <f>IF(N33=0,0,N33/N$48)</f>
        <v>1</v>
      </c>
      <c r="P33" s="245"/>
      <c r="Q33" s="6">
        <f>SUM(Q27:Q32)</f>
        <v>10.495347120000002</v>
      </c>
      <c r="R33" s="276">
        <f>IF(Q33=0,0,Q33/Q$48)</f>
        <v>1</v>
      </c>
      <c r="S33" s="238"/>
      <c r="T33" s="6">
        <f>SUM(T27:T32)</f>
        <v>12.02348664</v>
      </c>
      <c r="U33" s="276">
        <f>IF(T33=0,0,T33/T$48)</f>
        <v>1</v>
      </c>
      <c r="V33" s="238"/>
      <c r="W33" s="6">
        <f>SUM(W27:W32)</f>
        <v>12.352461120000001</v>
      </c>
      <c r="X33" s="276">
        <f>IF(W33=0,0,W33/W$48)</f>
        <v>1</v>
      </c>
      <c r="Y33" s="245"/>
      <c r="Z33" s="6">
        <f>SUM(Z27:Z32)</f>
        <v>11.461046400000003</v>
      </c>
      <c r="AA33" s="276">
        <f>IF(Z33=0,0,Z33/Z$48)</f>
        <v>1</v>
      </c>
      <c r="AB33" s="238"/>
      <c r="AC33" s="6">
        <f>SUM(AC27:AC32)</f>
        <v>13.137755040000002</v>
      </c>
      <c r="AD33" s="276">
        <f>IF(AC33=0,0,AC33/AC$48)</f>
        <v>1</v>
      </c>
      <c r="AE33" s="238"/>
      <c r="AF33" s="6">
        <f>SUM(AF27:AF32)</f>
        <v>13.477341600000001</v>
      </c>
      <c r="AG33" s="276">
        <f>IF(AF33=0,0,AF33/AF$48)</f>
        <v>1</v>
      </c>
      <c r="AH33" s="238"/>
      <c r="AI33" s="6">
        <f>SUM(AI27:AI32)</f>
        <v>13.225835304</v>
      </c>
      <c r="AJ33" s="276">
        <f>IF(AI33=0,0,AI33/AI$48)</f>
        <v>1</v>
      </c>
      <c r="AK33" s="238"/>
      <c r="AL33" s="6">
        <f>SUM(AL27:AL32)</f>
        <v>10.90921824</v>
      </c>
      <c r="AM33" s="276">
        <f>IF(AL33=0,0,AL33/AL$48)</f>
        <v>1</v>
      </c>
    </row>
    <row r="34" spans="1:39" ht="12.75" customHeight="1">
      <c r="A34" s="266"/>
      <c r="B34" s="275"/>
      <c r="C34" s="268"/>
      <c r="D34" s="245"/>
      <c r="E34" s="7"/>
      <c r="F34" s="3"/>
      <c r="H34" s="7"/>
      <c r="I34" s="3"/>
      <c r="K34" s="7"/>
      <c r="L34" s="3"/>
      <c r="M34" s="238"/>
      <c r="N34" s="7"/>
      <c r="O34" s="3"/>
      <c r="P34" s="245"/>
      <c r="Q34" s="7"/>
      <c r="R34" s="3"/>
      <c r="S34" s="238"/>
      <c r="T34" s="7"/>
      <c r="U34" s="3"/>
      <c r="V34" s="238"/>
      <c r="W34" s="7"/>
      <c r="X34" s="3"/>
      <c r="Y34" s="245"/>
      <c r="Z34" s="7"/>
      <c r="AA34" s="3"/>
      <c r="AB34" s="238"/>
      <c r="AC34" s="7"/>
      <c r="AD34" s="3"/>
      <c r="AE34" s="238"/>
      <c r="AF34" s="7"/>
      <c r="AG34" s="3"/>
      <c r="AH34" s="238"/>
      <c r="AI34" s="7"/>
      <c r="AJ34" s="3"/>
      <c r="AK34" s="238"/>
      <c r="AL34" s="7"/>
      <c r="AM34" s="3"/>
    </row>
    <row r="35" spans="1:39" ht="12.75" customHeight="1">
      <c r="A35" s="266" t="s">
        <v>235</v>
      </c>
      <c r="B35" s="275"/>
      <c r="C35" s="288"/>
      <c r="D35" s="245"/>
      <c r="E35" s="4"/>
      <c r="F35" s="3"/>
      <c r="H35" s="4"/>
      <c r="I35" s="289"/>
      <c r="K35" s="4"/>
      <c r="L35" s="3"/>
      <c r="M35" s="238"/>
      <c r="N35" s="4"/>
      <c r="O35" s="3"/>
      <c r="P35" s="245"/>
      <c r="Q35" s="4"/>
      <c r="R35" s="3"/>
      <c r="S35" s="238"/>
      <c r="T35" s="4"/>
      <c r="U35" s="3"/>
      <c r="V35" s="238"/>
      <c r="W35" s="4"/>
      <c r="X35" s="3"/>
      <c r="Y35" s="245"/>
      <c r="Z35" s="4"/>
      <c r="AA35" s="3"/>
      <c r="AB35" s="238"/>
      <c r="AC35" s="4"/>
      <c r="AD35" s="3"/>
      <c r="AE35" s="238"/>
      <c r="AF35" s="4"/>
      <c r="AG35" s="3"/>
      <c r="AH35" s="238"/>
      <c r="AI35" s="4"/>
      <c r="AJ35" s="3"/>
      <c r="AK35" s="238"/>
      <c r="AL35" s="4"/>
      <c r="AM35" s="3"/>
    </row>
    <row r="36" spans="1:39">
      <c r="A36" s="266" t="s">
        <v>118</v>
      </c>
      <c r="B36" s="275"/>
      <c r="C36" s="288"/>
      <c r="D36" s="245"/>
      <c r="E36" s="4"/>
      <c r="F36" s="3"/>
      <c r="H36" s="4"/>
      <c r="I36" s="289"/>
      <c r="K36" s="4"/>
      <c r="L36" s="3"/>
      <c r="M36" s="238"/>
      <c r="N36" s="4"/>
      <c r="O36" s="3"/>
      <c r="P36" s="245"/>
      <c r="Q36" s="4"/>
      <c r="R36" s="3"/>
      <c r="S36" s="238"/>
      <c r="T36" s="4"/>
      <c r="U36" s="3"/>
      <c r="V36" s="238"/>
      <c r="W36" s="4"/>
      <c r="X36" s="3"/>
      <c r="Y36" s="245"/>
      <c r="Z36" s="4"/>
      <c r="AA36" s="3"/>
      <c r="AB36" s="238"/>
      <c r="AC36" s="4"/>
      <c r="AD36" s="3"/>
      <c r="AE36" s="238"/>
      <c r="AF36" s="4"/>
      <c r="AG36" s="3"/>
      <c r="AH36" s="238"/>
      <c r="AI36" s="4"/>
      <c r="AJ36" s="3"/>
      <c r="AK36" s="238"/>
      <c r="AL36" s="4"/>
      <c r="AM36" s="3"/>
    </row>
    <row r="37" spans="1:39">
      <c r="A37" s="266" t="s">
        <v>90</v>
      </c>
      <c r="B37" s="275"/>
      <c r="C37" s="288"/>
      <c r="D37" s="245"/>
      <c r="E37" s="4"/>
      <c r="F37" s="3"/>
      <c r="H37" s="4"/>
      <c r="I37" s="3"/>
      <c r="K37" s="4"/>
      <c r="L37" s="3"/>
      <c r="M37" s="238"/>
      <c r="N37" s="4"/>
      <c r="O37" s="3"/>
      <c r="P37" s="245"/>
      <c r="Q37" s="4"/>
      <c r="R37" s="3"/>
      <c r="S37" s="238"/>
      <c r="T37" s="4"/>
      <c r="U37" s="3"/>
      <c r="V37" s="238"/>
      <c r="W37" s="4"/>
      <c r="X37" s="3"/>
      <c r="Y37" s="245"/>
      <c r="Z37" s="4"/>
      <c r="AA37" s="3"/>
      <c r="AB37" s="238"/>
      <c r="AC37" s="4"/>
      <c r="AD37" s="3"/>
      <c r="AE37" s="238"/>
      <c r="AF37" s="4"/>
      <c r="AG37" s="3"/>
      <c r="AH37" s="238"/>
      <c r="AI37" s="4"/>
      <c r="AJ37" s="3"/>
      <c r="AK37" s="238"/>
      <c r="AL37" s="4"/>
      <c r="AM37" s="3"/>
    </row>
    <row r="38" spans="1:39">
      <c r="A38" s="266" t="s">
        <v>8</v>
      </c>
      <c r="B38" s="275"/>
      <c r="C38" s="290"/>
      <c r="D38" s="245"/>
      <c r="E38" s="4"/>
      <c r="F38" s="3"/>
      <c r="H38" s="4"/>
      <c r="I38" s="3"/>
      <c r="K38" s="4"/>
      <c r="L38" s="3"/>
      <c r="M38" s="238"/>
      <c r="N38" s="4"/>
      <c r="O38" s="3"/>
      <c r="P38" s="245"/>
      <c r="Q38" s="4"/>
      <c r="R38" s="3"/>
      <c r="S38" s="238"/>
      <c r="T38" s="4"/>
      <c r="U38" s="3"/>
      <c r="V38" s="238"/>
      <c r="W38" s="4"/>
      <c r="X38" s="3"/>
      <c r="Y38" s="245"/>
      <c r="Z38" s="4"/>
      <c r="AA38" s="3"/>
      <c r="AB38" s="238"/>
      <c r="AC38" s="4"/>
      <c r="AD38" s="3"/>
      <c r="AE38" s="238"/>
      <c r="AF38" s="4"/>
      <c r="AG38" s="3"/>
      <c r="AH38" s="238"/>
      <c r="AI38" s="4"/>
      <c r="AJ38" s="3"/>
      <c r="AK38" s="238"/>
      <c r="AL38" s="4"/>
      <c r="AM38" s="3"/>
    </row>
    <row r="39" spans="1:39">
      <c r="A39" s="266" t="s">
        <v>112</v>
      </c>
      <c r="B39" s="275"/>
      <c r="C39" s="288"/>
      <c r="D39" s="245"/>
      <c r="E39" s="4"/>
      <c r="F39" s="3"/>
      <c r="H39" s="4"/>
      <c r="I39" s="3"/>
      <c r="K39" s="4"/>
      <c r="L39" s="3"/>
      <c r="M39" s="238"/>
      <c r="N39" s="4"/>
      <c r="O39" s="3"/>
      <c r="P39" s="245"/>
      <c r="Q39" s="4"/>
      <c r="R39" s="3"/>
      <c r="S39" s="238"/>
      <c r="T39" s="4"/>
      <c r="U39" s="3"/>
      <c r="V39" s="238"/>
      <c r="W39" s="4"/>
      <c r="X39" s="3"/>
      <c r="Y39" s="245"/>
      <c r="Z39" s="4"/>
      <c r="AA39" s="3"/>
      <c r="AB39" s="238"/>
      <c r="AC39" s="4"/>
      <c r="AD39" s="3"/>
      <c r="AE39" s="238"/>
      <c r="AF39" s="4"/>
      <c r="AG39" s="3"/>
      <c r="AH39" s="238"/>
      <c r="AI39" s="4"/>
      <c r="AJ39" s="3"/>
      <c r="AK39" s="238"/>
      <c r="AL39" s="4"/>
      <c r="AM39" s="3"/>
    </row>
    <row r="40" spans="1:39">
      <c r="A40" s="266" t="s">
        <v>107</v>
      </c>
      <c r="B40" s="275"/>
      <c r="C40" s="290"/>
      <c r="D40" s="245"/>
      <c r="E40" s="4"/>
      <c r="F40" s="3"/>
      <c r="H40" s="4"/>
      <c r="I40" s="3"/>
      <c r="K40" s="4"/>
      <c r="L40" s="3"/>
      <c r="M40" s="238"/>
      <c r="N40" s="4"/>
      <c r="O40" s="3"/>
      <c r="P40" s="245"/>
      <c r="Q40" s="4"/>
      <c r="R40" s="3"/>
      <c r="S40" s="238"/>
      <c r="T40" s="4"/>
      <c r="U40" s="3"/>
      <c r="V40" s="238"/>
      <c r="W40" s="4"/>
      <c r="X40" s="3"/>
      <c r="Y40" s="245"/>
      <c r="Z40" s="4"/>
      <c r="AA40" s="3"/>
      <c r="AB40" s="238"/>
      <c r="AC40" s="4"/>
      <c r="AD40" s="3"/>
      <c r="AE40" s="238"/>
      <c r="AF40" s="4"/>
      <c r="AG40" s="3"/>
      <c r="AH40" s="238"/>
      <c r="AI40" s="4"/>
      <c r="AJ40" s="3"/>
      <c r="AK40" s="238"/>
      <c r="AL40" s="4"/>
      <c r="AM40" s="3"/>
    </row>
    <row r="41" spans="1:39">
      <c r="A41" s="266" t="s">
        <v>214</v>
      </c>
      <c r="B41" s="275"/>
      <c r="C41" s="264" t="s">
        <v>205</v>
      </c>
      <c r="D41" s="245"/>
      <c r="E41" s="4"/>
      <c r="F41" s="3"/>
      <c r="H41" s="4"/>
      <c r="I41" s="3"/>
      <c r="K41" s="4"/>
      <c r="L41" s="3"/>
      <c r="M41" s="238"/>
      <c r="N41" s="4"/>
      <c r="O41" s="3"/>
      <c r="P41" s="245"/>
      <c r="Q41" s="4"/>
      <c r="R41" s="3"/>
      <c r="S41" s="238"/>
      <c r="T41" s="4"/>
      <c r="U41" s="3"/>
      <c r="V41" s="238"/>
      <c r="W41" s="4"/>
      <c r="X41" s="3"/>
      <c r="Y41" s="245"/>
      <c r="Z41" s="4"/>
      <c r="AA41" s="3"/>
      <c r="AB41" s="238"/>
      <c r="AC41" s="4"/>
      <c r="AD41" s="3"/>
      <c r="AE41" s="238"/>
      <c r="AF41" s="4"/>
      <c r="AG41" s="3"/>
      <c r="AH41" s="238"/>
      <c r="AI41" s="4"/>
      <c r="AJ41" s="3"/>
      <c r="AK41" s="238"/>
      <c r="AL41" s="4"/>
      <c r="AM41" s="3"/>
    </row>
    <row r="42" spans="1:39">
      <c r="A42" s="266" t="s">
        <v>261</v>
      </c>
      <c r="B42" s="275"/>
      <c r="C42" s="264"/>
      <c r="D42" s="245"/>
      <c r="E42" s="4"/>
      <c r="F42" s="3"/>
      <c r="H42" s="4"/>
      <c r="I42" s="3"/>
      <c r="K42" s="4"/>
      <c r="L42" s="3"/>
      <c r="M42" s="238"/>
      <c r="N42" s="4"/>
      <c r="O42" s="3"/>
      <c r="P42" s="245"/>
      <c r="Q42" s="4"/>
      <c r="R42" s="3"/>
      <c r="S42" s="238"/>
      <c r="T42" s="4"/>
      <c r="U42" s="3"/>
      <c r="V42" s="238"/>
      <c r="W42" s="4"/>
      <c r="X42" s="3"/>
      <c r="Y42" s="245"/>
      <c r="Z42" s="4"/>
      <c r="AA42" s="3"/>
      <c r="AB42" s="238"/>
      <c r="AC42" s="4"/>
      <c r="AD42" s="3"/>
      <c r="AE42" s="238"/>
      <c r="AF42" s="4"/>
      <c r="AG42" s="3"/>
      <c r="AH42" s="238"/>
      <c r="AI42" s="4"/>
      <c r="AJ42" s="3"/>
      <c r="AK42" s="238"/>
      <c r="AL42" s="4"/>
      <c r="AM42" s="3"/>
    </row>
    <row r="43" spans="1:39">
      <c r="A43" s="287"/>
      <c r="B43" s="275"/>
      <c r="C43" s="290"/>
      <c r="D43" s="245"/>
      <c r="E43" s="4"/>
      <c r="F43" s="3"/>
      <c r="H43" s="4"/>
      <c r="I43" s="3"/>
      <c r="K43" s="4"/>
      <c r="L43" s="3"/>
      <c r="M43" s="238"/>
      <c r="N43" s="4"/>
      <c r="O43" s="3"/>
      <c r="P43" s="245"/>
      <c r="Q43" s="4"/>
      <c r="R43" s="3"/>
      <c r="S43" s="238"/>
      <c r="T43" s="4"/>
      <c r="U43" s="3"/>
      <c r="V43" s="238"/>
      <c r="W43" s="4"/>
      <c r="X43" s="3"/>
      <c r="Y43" s="245"/>
      <c r="Z43" s="4"/>
      <c r="AA43" s="3"/>
      <c r="AB43" s="238"/>
      <c r="AC43" s="4"/>
      <c r="AD43" s="3"/>
      <c r="AE43" s="238"/>
      <c r="AF43" s="4"/>
      <c r="AG43" s="3"/>
      <c r="AH43" s="238"/>
      <c r="AI43" s="4"/>
      <c r="AJ43" s="3"/>
      <c r="AK43" s="238"/>
      <c r="AL43" s="4"/>
      <c r="AM43" s="3"/>
    </row>
    <row r="44" spans="1:39">
      <c r="A44" s="269" t="s">
        <v>217</v>
      </c>
      <c r="B44" s="275"/>
      <c r="C44" s="268"/>
      <c r="D44" s="245"/>
      <c r="E44" s="6">
        <f>SUM(E33:E43)</f>
        <v>7.0888694399999999</v>
      </c>
      <c r="F44" s="276">
        <f>IF(E44=0,0,E44/E$48)</f>
        <v>1</v>
      </c>
      <c r="H44" s="6">
        <f>SUM(H33:H43)</f>
        <v>9.550872</v>
      </c>
      <c r="I44" s="276">
        <f>IF(H44=0,0,H44/H$48)</f>
        <v>1</v>
      </c>
      <c r="K44" s="6">
        <f>SUM(K33:K43)</f>
        <v>10.90921824</v>
      </c>
      <c r="L44" s="276">
        <f>IF(K44=0,0,K44/K$48)</f>
        <v>1</v>
      </c>
      <c r="M44" s="238"/>
      <c r="N44" s="6">
        <f>SUM(N33:N43)</f>
        <v>11.238192720000001</v>
      </c>
      <c r="O44" s="276">
        <f>IF(N44=0,0,N44/N$48)</f>
        <v>1</v>
      </c>
      <c r="P44" s="245"/>
      <c r="Q44" s="6">
        <f>SUM(Q33:Q43)</f>
        <v>10.495347120000002</v>
      </c>
      <c r="R44" s="276">
        <f>IF(Q44=0,0,Q44/Q$48)</f>
        <v>1</v>
      </c>
      <c r="S44" s="238"/>
      <c r="T44" s="6">
        <f>SUM(T33:T43)</f>
        <v>12.02348664</v>
      </c>
      <c r="U44" s="276">
        <f>IF(T44=0,0,T44/T$48)</f>
        <v>1</v>
      </c>
      <c r="V44" s="238"/>
      <c r="W44" s="6">
        <f>SUM(W33:W43)</f>
        <v>12.352461120000001</v>
      </c>
      <c r="X44" s="276">
        <f>IF(W44=0,0,W44/W$48)</f>
        <v>1</v>
      </c>
      <c r="Y44" s="245"/>
      <c r="Z44" s="6">
        <f>SUM(Z33:Z43)</f>
        <v>11.461046400000003</v>
      </c>
      <c r="AA44" s="276">
        <f>IF(Z44=0,0,Z44/Z$48)</f>
        <v>1</v>
      </c>
      <c r="AB44" s="238"/>
      <c r="AC44" s="6">
        <f>SUM(AC33:AC43)</f>
        <v>13.137755040000002</v>
      </c>
      <c r="AD44" s="276">
        <f>IF(AC44=0,0,AC44/AC$48)</f>
        <v>1</v>
      </c>
      <c r="AE44" s="238"/>
      <c r="AF44" s="6">
        <f>SUM(AF33:AF43)</f>
        <v>13.477341600000001</v>
      </c>
      <c r="AG44" s="276">
        <f>IF(AF44=0,0,AF44/AF$48)</f>
        <v>1</v>
      </c>
      <c r="AH44" s="238"/>
      <c r="AI44" s="6">
        <f>SUM(AI33:AI43)</f>
        <v>13.225835304</v>
      </c>
      <c r="AJ44" s="276">
        <f>IF(AI44=0,0,AI44/AI$48)</f>
        <v>1</v>
      </c>
      <c r="AK44" s="238"/>
      <c r="AL44" s="6">
        <f>SUM(AL33:AL43)</f>
        <v>10.90921824</v>
      </c>
      <c r="AM44" s="276">
        <f>IF(AL44=0,0,AL44/AL$48)</f>
        <v>1</v>
      </c>
    </row>
    <row r="45" spans="1:39">
      <c r="A45" s="266"/>
      <c r="B45" s="275"/>
      <c r="C45" s="268"/>
      <c r="D45" s="245"/>
      <c r="E45" s="7"/>
      <c r="F45" s="291"/>
      <c r="H45" s="7"/>
      <c r="I45" s="291"/>
      <c r="K45" s="7"/>
      <c r="L45" s="292"/>
      <c r="M45" s="238"/>
      <c r="N45" s="7"/>
      <c r="O45" s="291"/>
      <c r="P45" s="245"/>
      <c r="Q45" s="7"/>
      <c r="R45" s="291"/>
      <c r="S45" s="238"/>
      <c r="T45" s="7"/>
      <c r="U45" s="291"/>
      <c r="V45" s="238"/>
      <c r="W45" s="7"/>
      <c r="X45" s="291"/>
      <c r="Y45" s="245"/>
      <c r="Z45" s="7"/>
      <c r="AA45" s="291"/>
      <c r="AB45" s="238"/>
      <c r="AC45" s="7"/>
      <c r="AD45" s="291"/>
      <c r="AE45" s="238"/>
      <c r="AF45" s="7"/>
      <c r="AG45" s="291"/>
      <c r="AH45" s="238"/>
      <c r="AI45" s="7"/>
      <c r="AJ45" s="292"/>
      <c r="AK45" s="238"/>
      <c r="AL45" s="7"/>
      <c r="AM45" s="291"/>
    </row>
    <row r="46" spans="1:39">
      <c r="A46" s="266" t="s">
        <v>218</v>
      </c>
      <c r="B46" s="275"/>
      <c r="C46" s="290"/>
      <c r="D46" s="245"/>
      <c r="E46" s="4"/>
      <c r="F46" s="276">
        <f>(IF(E46=0,0,E46/E$48))</f>
        <v>0</v>
      </c>
      <c r="G46" s="35">
        <v>0</v>
      </c>
      <c r="H46" s="4"/>
      <c r="I46" s="276">
        <f>(IF(H46=0,0,H46/H$48))</f>
        <v>0</v>
      </c>
      <c r="J46" s="35">
        <v>0</v>
      </c>
      <c r="K46" s="4"/>
      <c r="L46" s="276">
        <f>IF(K46=0,0,K46/K$48)</f>
        <v>0</v>
      </c>
      <c r="M46" s="238"/>
      <c r="N46" s="4"/>
      <c r="O46" s="276">
        <f>(IF(N46=0,0,N46/N$48))</f>
        <v>0</v>
      </c>
      <c r="P46" s="245"/>
      <c r="Q46" s="4"/>
      <c r="R46" s="276">
        <f>(IF(Q46=0,0,Q46/Q$48))</f>
        <v>0</v>
      </c>
      <c r="S46" s="238"/>
      <c r="T46" s="4"/>
      <c r="U46" s="276">
        <f>(IF(T46=0,0,T46/T$48))</f>
        <v>0</v>
      </c>
      <c r="V46" s="238"/>
      <c r="W46" s="4"/>
      <c r="X46" s="276">
        <f>(IF(W46=0,0,W46/W$48))</f>
        <v>0</v>
      </c>
      <c r="Y46" s="245"/>
      <c r="Z46" s="4"/>
      <c r="AA46" s="276">
        <f>(IF(Z46=0,0,Z46/Z$48))</f>
        <v>0</v>
      </c>
      <c r="AB46" s="238"/>
      <c r="AC46" s="4"/>
      <c r="AD46" s="276">
        <f>(IF(AC46=0,0,AC46/AC$48))</f>
        <v>0</v>
      </c>
      <c r="AE46" s="238"/>
      <c r="AF46" s="4"/>
      <c r="AG46" s="276">
        <f>(IF(AF46=0,0,AF46/AF$48))</f>
        <v>0</v>
      </c>
      <c r="AH46" s="238"/>
      <c r="AI46" s="265"/>
      <c r="AJ46" s="276">
        <f>(IF(AI46=0,0,AI46/AI$48))</f>
        <v>0</v>
      </c>
      <c r="AK46" s="238"/>
      <c r="AL46" s="4"/>
      <c r="AM46" s="276">
        <f>(IF(AL46=0,0,AL46/AL$48))</f>
        <v>0</v>
      </c>
    </row>
    <row r="47" spans="1:39">
      <c r="A47" s="266"/>
      <c r="B47" s="267"/>
      <c r="C47" s="268"/>
      <c r="D47" s="245"/>
      <c r="E47" s="7"/>
      <c r="F47" s="3"/>
      <c r="H47" s="7"/>
      <c r="I47" s="3"/>
      <c r="K47" s="8"/>
      <c r="L47" s="3"/>
      <c r="M47" s="238"/>
      <c r="N47" s="8"/>
      <c r="O47" s="3"/>
      <c r="P47" s="245"/>
      <c r="Q47" s="7"/>
      <c r="R47" s="3"/>
      <c r="S47" s="238"/>
      <c r="T47" s="8"/>
      <c r="U47" s="3"/>
      <c r="V47" s="238"/>
      <c r="W47" s="8"/>
      <c r="X47" s="3"/>
      <c r="Y47" s="245"/>
      <c r="Z47" s="7"/>
      <c r="AA47" s="3"/>
      <c r="AB47" s="238"/>
      <c r="AC47" s="8"/>
      <c r="AD47" s="3"/>
      <c r="AE47" s="238"/>
      <c r="AF47" s="8"/>
      <c r="AG47" s="3"/>
      <c r="AH47" s="238"/>
      <c r="AI47" s="8"/>
      <c r="AJ47" s="3"/>
      <c r="AK47" s="238"/>
      <c r="AL47" s="8"/>
      <c r="AM47" s="3"/>
    </row>
    <row r="48" spans="1:39">
      <c r="A48" s="269" t="s">
        <v>153</v>
      </c>
      <c r="B48" s="293"/>
      <c r="C48" s="294"/>
      <c r="D48" s="245"/>
      <c r="E48" s="9">
        <f>SUM(E44:E47)</f>
        <v>7.0888694399999999</v>
      </c>
      <c r="F48" s="295">
        <f>SUM(F44:F47)</f>
        <v>1</v>
      </c>
      <c r="H48" s="9">
        <f>SUM(H44:H47)</f>
        <v>9.550872</v>
      </c>
      <c r="I48" s="295">
        <f>SUM(I44:I47)</f>
        <v>1</v>
      </c>
      <c r="K48" s="9">
        <f>SUM(K44:K47)</f>
        <v>10.90921824</v>
      </c>
      <c r="L48" s="295">
        <f>SUM(L44:L47)</f>
        <v>1</v>
      </c>
      <c r="M48" s="238"/>
      <c r="N48" s="9">
        <f>SUM(N44:N47)</f>
        <v>11.238192720000001</v>
      </c>
      <c r="O48" s="295">
        <f>SUM(O44:O47)</f>
        <v>1</v>
      </c>
      <c r="P48" s="245"/>
      <c r="Q48" s="9">
        <f>SUM(Q44:Q47)</f>
        <v>10.495347120000002</v>
      </c>
      <c r="R48" s="295">
        <f>SUM(R44:R47)</f>
        <v>1</v>
      </c>
      <c r="S48" s="238"/>
      <c r="T48" s="9">
        <f>SUM(T44:T47)</f>
        <v>12.02348664</v>
      </c>
      <c r="U48" s="295">
        <f>SUM(U44:U47)</f>
        <v>1</v>
      </c>
      <c r="V48" s="238"/>
      <c r="W48" s="9">
        <f>SUM(W44:W47)</f>
        <v>12.352461120000001</v>
      </c>
      <c r="X48" s="295">
        <f>SUM(X44:X47)</f>
        <v>1</v>
      </c>
      <c r="Y48" s="245"/>
      <c r="Z48" s="9">
        <f>SUM(Z44:Z47)</f>
        <v>11.461046400000003</v>
      </c>
      <c r="AA48" s="295">
        <f>SUM(AA44:AA47)</f>
        <v>1</v>
      </c>
      <c r="AB48" s="238"/>
      <c r="AC48" s="9">
        <f>SUM(AC44:AC47)</f>
        <v>13.137755040000002</v>
      </c>
      <c r="AD48" s="295">
        <f>SUM(AD44:AD47)</f>
        <v>1</v>
      </c>
      <c r="AE48" s="238"/>
      <c r="AF48" s="9">
        <f>SUM(AF44:AF47)</f>
        <v>13.477341600000001</v>
      </c>
      <c r="AG48" s="295">
        <f>SUM(AG44:AG47)</f>
        <v>1</v>
      </c>
      <c r="AH48" s="238"/>
      <c r="AI48" s="9">
        <f>SUM(AI44:AI47)</f>
        <v>13.225835304</v>
      </c>
      <c r="AJ48" s="295">
        <f>SUM(AJ44:AJ47)</f>
        <v>1</v>
      </c>
      <c r="AK48" s="238"/>
      <c r="AL48" s="9">
        <f>SUM(AL44:AL47)</f>
        <v>10.90921824</v>
      </c>
      <c r="AM48" s="295">
        <f>SUM(AM44:AM47)</f>
        <v>1</v>
      </c>
    </row>
    <row r="49" spans="1:40">
      <c r="A49" s="296"/>
      <c r="B49" s="297"/>
      <c r="C49" s="298"/>
      <c r="D49" s="245"/>
      <c r="E49" s="10"/>
      <c r="F49" s="11"/>
      <c r="H49" s="10"/>
      <c r="I49" s="11"/>
      <c r="K49" s="10"/>
      <c r="L49" s="11"/>
      <c r="M49" s="238"/>
      <c r="N49" s="10"/>
      <c r="O49" s="11"/>
      <c r="P49" s="245"/>
      <c r="Q49" s="10"/>
      <c r="R49" s="11"/>
      <c r="S49" s="238"/>
      <c r="T49" s="10"/>
      <c r="U49" s="11"/>
      <c r="V49" s="238"/>
      <c r="W49" s="10"/>
      <c r="X49" s="11"/>
      <c r="Y49" s="245"/>
      <c r="Z49" s="10"/>
      <c r="AA49" s="11"/>
      <c r="AB49" s="238"/>
      <c r="AC49" s="10"/>
      <c r="AD49" s="11"/>
      <c r="AE49" s="238"/>
      <c r="AF49" s="10"/>
      <c r="AG49" s="11"/>
      <c r="AH49" s="238"/>
      <c r="AI49" s="10"/>
      <c r="AJ49" s="11"/>
      <c r="AK49" s="238"/>
      <c r="AL49" s="10"/>
      <c r="AM49" s="11"/>
    </row>
    <row r="50" spans="1:40" s="233" customFormat="1">
      <c r="A50" s="299" t="s">
        <v>166</v>
      </c>
      <c r="B50" s="300"/>
      <c r="C50" s="301"/>
      <c r="E50" s="12">
        <f>(E$27*1.5)+E$54</f>
        <v>10.63330416</v>
      </c>
      <c r="F50" s="13"/>
      <c r="H50" s="12">
        <f>(H$27*1.5)+H$54</f>
        <v>14.326308000000001</v>
      </c>
      <c r="I50" s="13"/>
      <c r="K50" s="12">
        <f>(K$27*1.5)+K$54</f>
        <v>16.363827359999998</v>
      </c>
      <c r="L50" s="13"/>
      <c r="M50" s="281"/>
      <c r="N50" s="12">
        <f>(N$27*1.5)+N$54</f>
        <v>16.857289080000001</v>
      </c>
      <c r="O50" s="13"/>
      <c r="Q50" s="12">
        <f>(Q$27*1.5)+Q$54</f>
        <v>15.743020680000003</v>
      </c>
      <c r="R50" s="13"/>
      <c r="S50" s="281"/>
      <c r="T50" s="12">
        <f>(T$27*1.5)+T$54</f>
        <v>18.035229959999999</v>
      </c>
      <c r="U50" s="13"/>
      <c r="V50" s="281"/>
      <c r="W50" s="12">
        <f>(W$27*1.5)+W$54</f>
        <v>18.528691680000001</v>
      </c>
      <c r="X50" s="13"/>
      <c r="Z50" s="12">
        <f>(Z$27*1.5)+Z$54</f>
        <v>17.191569600000005</v>
      </c>
      <c r="AA50" s="13"/>
      <c r="AB50" s="281"/>
      <c r="AC50" s="12">
        <f>(AC$27*1.5)+AC$54</f>
        <v>19.706632560000003</v>
      </c>
      <c r="AD50" s="13"/>
      <c r="AE50" s="281"/>
      <c r="AF50" s="12">
        <f>(AF$27*1.5)+AF$54</f>
        <v>20.2160124</v>
      </c>
      <c r="AG50" s="13"/>
      <c r="AH50" s="281"/>
      <c r="AI50" s="12">
        <f>(AI$27*1.5)+AI$54</f>
        <v>19.838752956</v>
      </c>
      <c r="AJ50" s="13"/>
      <c r="AK50" s="281"/>
      <c r="AL50" s="12">
        <f>(AL$27*1.5)+AL$54</f>
        <v>16.363827359999998</v>
      </c>
      <c r="AM50" s="13"/>
    </row>
    <row r="51" spans="1:40" s="233" customFormat="1">
      <c r="A51" s="14"/>
      <c r="B51" s="302"/>
      <c r="C51" s="303"/>
      <c r="E51" s="14"/>
      <c r="F51" s="14"/>
      <c r="H51" s="14"/>
      <c r="I51" s="14"/>
      <c r="K51" s="14"/>
      <c r="L51" s="14"/>
      <c r="M51" s="281"/>
      <c r="N51" s="14"/>
      <c r="O51" s="14"/>
      <c r="Q51" s="14"/>
      <c r="R51" s="14"/>
      <c r="S51" s="281"/>
      <c r="T51" s="14"/>
      <c r="U51" s="14"/>
      <c r="V51" s="281"/>
      <c r="W51" s="14"/>
      <c r="X51" s="14"/>
      <c r="Z51" s="14"/>
      <c r="AA51" s="14"/>
      <c r="AB51" s="281"/>
      <c r="AC51" s="14"/>
      <c r="AD51" s="14"/>
      <c r="AE51" s="281"/>
      <c r="AF51" s="14"/>
      <c r="AG51" s="14"/>
      <c r="AH51" s="281"/>
      <c r="AI51" s="14"/>
      <c r="AJ51" s="14"/>
      <c r="AK51" s="281"/>
      <c r="AL51" s="14"/>
      <c r="AM51" s="14"/>
    </row>
    <row r="52" spans="1:40" s="233" customFormat="1">
      <c r="A52" s="299" t="s">
        <v>251</v>
      </c>
      <c r="B52" s="300"/>
      <c r="C52" s="301"/>
      <c r="E52" s="12">
        <f>(E$27*2.5)+E$54</f>
        <v>17.722173599999998</v>
      </c>
      <c r="F52" s="15"/>
      <c r="H52" s="12">
        <f>(H$27*2.5)+H$54</f>
        <v>23.877179999999999</v>
      </c>
      <c r="I52" s="15"/>
      <c r="K52" s="12">
        <f>(K$27*2.5)+K$54</f>
        <v>27.2730456</v>
      </c>
      <c r="L52" s="15"/>
      <c r="M52" s="281"/>
      <c r="N52" s="12">
        <f>(N$27*2.5)+N$54</f>
        <v>28.095481800000002</v>
      </c>
      <c r="O52" s="15"/>
      <c r="Q52" s="12">
        <f>(Q$27*2.5)+Q$54</f>
        <v>26.238367800000006</v>
      </c>
      <c r="R52" s="15"/>
      <c r="S52" s="281"/>
      <c r="T52" s="12">
        <f>(T$27*2.5)+T$54</f>
        <v>30.0587166</v>
      </c>
      <c r="U52" s="15"/>
      <c r="V52" s="281"/>
      <c r="W52" s="12">
        <f>(W$27*2.5)+W$54</f>
        <v>30.881152800000002</v>
      </c>
      <c r="X52" s="15"/>
      <c r="Z52" s="12">
        <f>(Z$27*2.5)+Z$54</f>
        <v>28.652616000000005</v>
      </c>
      <c r="AA52" s="15"/>
      <c r="AB52" s="281"/>
      <c r="AC52" s="12">
        <f>(AC$27*2.5)+AC$54</f>
        <v>32.844387600000005</v>
      </c>
      <c r="AD52" s="15"/>
      <c r="AE52" s="281"/>
      <c r="AF52" s="12">
        <f>(AF$27*2.5)+AF$54</f>
        <v>33.693353999999999</v>
      </c>
      <c r="AG52" s="15"/>
      <c r="AH52" s="281"/>
      <c r="AI52" s="12">
        <f>(AI$27*2.5)+AI$54</f>
        <v>33.064588260000001</v>
      </c>
      <c r="AJ52" s="15"/>
      <c r="AK52" s="281"/>
      <c r="AL52" s="12">
        <f>(AL$27*2.5)+AL$54</f>
        <v>27.2730456</v>
      </c>
      <c r="AM52" s="15"/>
    </row>
    <row r="53" spans="1:40" s="16" customFormat="1">
      <c r="B53" s="304"/>
      <c r="C53" s="305"/>
      <c r="F53" s="555"/>
      <c r="I53" s="555"/>
      <c r="L53" s="555"/>
      <c r="O53" s="555"/>
      <c r="R53" s="555"/>
      <c r="U53" s="555"/>
      <c r="X53" s="555"/>
      <c r="AA53" s="555"/>
      <c r="AD53" s="555"/>
      <c r="AG53" s="555"/>
      <c r="AI53" s="233"/>
      <c r="AJ53" s="555"/>
      <c r="AM53" s="555"/>
      <c r="AN53" s="555"/>
    </row>
    <row r="54" spans="1:40" s="16" customFormat="1">
      <c r="A54" s="19" t="s">
        <v>212</v>
      </c>
      <c r="B54" s="307"/>
      <c r="C54" s="308"/>
      <c r="D54" s="18"/>
      <c r="E54" s="18">
        <f>E48-E27</f>
        <v>0</v>
      </c>
      <c r="F54" s="19"/>
      <c r="H54" s="18">
        <f>H48-H27</f>
        <v>0</v>
      </c>
      <c r="I54" s="19"/>
      <c r="K54" s="18">
        <f>K48-K27</f>
        <v>0</v>
      </c>
      <c r="L54" s="15"/>
      <c r="M54" s="18"/>
      <c r="N54" s="18">
        <f>N48-N27</f>
        <v>0</v>
      </c>
      <c r="O54" s="19"/>
      <c r="P54" s="18"/>
      <c r="Q54" s="18">
        <f>Q48-Q27</f>
        <v>0</v>
      </c>
      <c r="R54" s="19"/>
      <c r="S54" s="18"/>
      <c r="T54" s="18">
        <f>T48-T27</f>
        <v>0</v>
      </c>
      <c r="U54" s="19"/>
      <c r="V54" s="18"/>
      <c r="W54" s="18">
        <f>W48-W27</f>
        <v>0</v>
      </c>
      <c r="X54" s="19"/>
      <c r="Y54" s="18"/>
      <c r="Z54" s="18">
        <f>Z48-Z27</f>
        <v>0</v>
      </c>
      <c r="AA54" s="19"/>
      <c r="AB54" s="18"/>
      <c r="AC54" s="18">
        <f>AC48-AC27</f>
        <v>0</v>
      </c>
      <c r="AD54" s="19"/>
      <c r="AE54" s="18"/>
      <c r="AF54" s="18">
        <f>AF48-AF27</f>
        <v>0</v>
      </c>
      <c r="AG54" s="19"/>
      <c r="AH54" s="18"/>
      <c r="AI54" s="13">
        <f>AI48-AI27</f>
        <v>0</v>
      </c>
      <c r="AJ54" s="15"/>
      <c r="AK54" s="18"/>
      <c r="AL54" s="18">
        <f>AL48-AL27</f>
        <v>0</v>
      </c>
      <c r="AM54" s="19"/>
    </row>
    <row r="55" spans="1:40" s="16" customFormat="1">
      <c r="B55" s="304"/>
      <c r="C55" s="305"/>
      <c r="F55" s="17"/>
      <c r="I55" s="17"/>
      <c r="L55" s="306"/>
      <c r="O55" s="17"/>
      <c r="R55" s="17"/>
      <c r="U55" s="17"/>
      <c r="X55" s="17"/>
      <c r="AA55" s="17"/>
      <c r="AD55" s="17"/>
      <c r="AG55" s="17"/>
      <c r="AI55" s="233"/>
      <c r="AJ55" s="306"/>
    </row>
    <row r="56" spans="1:40" s="16" customFormat="1">
      <c r="B56" s="304"/>
      <c r="C56" s="305"/>
      <c r="F56" s="17"/>
      <c r="I56" s="17"/>
      <c r="L56" s="306"/>
      <c r="O56" s="17"/>
      <c r="R56" s="17"/>
      <c r="U56" s="17"/>
      <c r="X56" s="17"/>
      <c r="AA56" s="17"/>
      <c r="AD56" s="17"/>
      <c r="AG56" s="17"/>
      <c r="AI56" s="233"/>
      <c r="AJ56" s="306"/>
    </row>
    <row r="57" spans="1:40" s="16" customFormat="1">
      <c r="B57" s="304"/>
      <c r="C57" s="305"/>
      <c r="F57" s="17"/>
      <c r="I57" s="17"/>
      <c r="K57" s="309"/>
      <c r="L57" s="306"/>
      <c r="O57" s="17"/>
      <c r="R57" s="17"/>
      <c r="U57" s="17"/>
      <c r="X57" s="17"/>
      <c r="AA57" s="17"/>
      <c r="AD57" s="17"/>
      <c r="AG57" s="17"/>
      <c r="AI57" s="233"/>
      <c r="AJ57" s="306"/>
    </row>
    <row r="58" spans="1:40" s="16" customFormat="1">
      <c r="C58" s="308"/>
      <c r="F58" s="17"/>
      <c r="I58" s="17"/>
      <c r="L58" s="306"/>
      <c r="O58" s="17"/>
      <c r="R58" s="17"/>
      <c r="U58" s="17"/>
      <c r="X58" s="17"/>
      <c r="AA58" s="17"/>
      <c r="AD58" s="17"/>
      <c r="AG58" s="17"/>
      <c r="AI58" s="233"/>
      <c r="AJ58" s="306"/>
    </row>
    <row r="59" spans="1:40" s="16" customFormat="1">
      <c r="C59" s="308"/>
      <c r="F59" s="17"/>
      <c r="I59" s="17"/>
      <c r="L59" s="306"/>
      <c r="O59" s="17"/>
      <c r="R59" s="17"/>
      <c r="U59" s="17"/>
      <c r="X59" s="17"/>
      <c r="AA59" s="17"/>
      <c r="AD59" s="17"/>
      <c r="AG59" s="17"/>
      <c r="AI59" s="233"/>
      <c r="AJ59" s="306"/>
    </row>
    <row r="60" spans="1:40" s="16" customFormat="1">
      <c r="A60" s="70"/>
      <c r="C60" s="308"/>
      <c r="F60" s="17"/>
      <c r="I60" s="17"/>
      <c r="L60" s="306"/>
      <c r="O60" s="17"/>
      <c r="R60" s="17"/>
      <c r="U60" s="17"/>
      <c r="X60" s="17"/>
      <c r="AA60" s="17"/>
      <c r="AD60" s="17"/>
      <c r="AG60" s="17"/>
      <c r="AI60" s="233"/>
      <c r="AJ60" s="306"/>
    </row>
    <row r="61" spans="1:40" s="16" customFormat="1">
      <c r="C61" s="308"/>
      <c r="F61" s="17"/>
      <c r="I61" s="17"/>
      <c r="L61" s="306"/>
      <c r="O61" s="17"/>
      <c r="R61" s="17"/>
      <c r="U61" s="17"/>
      <c r="X61" s="17"/>
      <c r="AA61" s="17"/>
      <c r="AD61" s="17"/>
      <c r="AG61" s="17"/>
      <c r="AI61" s="233"/>
      <c r="AJ61" s="306"/>
    </row>
    <row r="62" spans="1:40" s="16" customFormat="1">
      <c r="C62" s="308"/>
      <c r="F62" s="17"/>
      <c r="I62" s="17"/>
      <c r="L62" s="306"/>
      <c r="O62" s="17"/>
      <c r="R62" s="17"/>
      <c r="U62" s="17"/>
      <c r="X62" s="17"/>
      <c r="AA62" s="17"/>
      <c r="AD62" s="17"/>
      <c r="AG62" s="17"/>
      <c r="AI62" s="233"/>
      <c r="AJ62" s="306"/>
    </row>
    <row r="63" spans="1:40" s="16" customFormat="1">
      <c r="C63" s="308"/>
      <c r="F63" s="17"/>
      <c r="I63" s="17"/>
      <c r="L63" s="306"/>
      <c r="O63" s="17"/>
      <c r="R63" s="17"/>
      <c r="U63" s="17"/>
      <c r="X63" s="17"/>
      <c r="AA63" s="17"/>
      <c r="AD63" s="17"/>
      <c r="AG63" s="17"/>
      <c r="AI63" s="233"/>
      <c r="AJ63" s="306"/>
    </row>
    <row r="64" spans="1:40" s="16" customFormat="1">
      <c r="C64" s="308"/>
      <c r="F64" s="17"/>
      <c r="I64" s="17"/>
      <c r="L64" s="306"/>
      <c r="O64" s="17"/>
      <c r="R64" s="17"/>
      <c r="U64" s="17"/>
      <c r="X64" s="17"/>
      <c r="AA64" s="17"/>
      <c r="AD64" s="17"/>
      <c r="AG64" s="17"/>
      <c r="AI64" s="233"/>
      <c r="AJ64" s="306"/>
    </row>
    <row r="65" spans="3:36" s="16" customFormat="1">
      <c r="C65" s="308"/>
      <c r="F65" s="17"/>
      <c r="I65" s="17"/>
      <c r="L65" s="306"/>
      <c r="O65" s="17"/>
      <c r="R65" s="17"/>
      <c r="U65" s="17"/>
      <c r="X65" s="17"/>
      <c r="AA65" s="17"/>
      <c r="AD65" s="17"/>
      <c r="AG65" s="17"/>
      <c r="AI65" s="233"/>
      <c r="AJ65" s="306"/>
    </row>
    <row r="66" spans="3:36" s="16" customFormat="1">
      <c r="C66" s="308"/>
      <c r="F66" s="17"/>
      <c r="I66" s="17"/>
      <c r="L66" s="306"/>
      <c r="O66" s="17"/>
      <c r="R66" s="17"/>
      <c r="U66" s="17"/>
      <c r="X66" s="17"/>
      <c r="AA66" s="17"/>
      <c r="AD66" s="17"/>
      <c r="AG66" s="17"/>
      <c r="AI66" s="233"/>
      <c r="AJ66" s="306"/>
    </row>
    <row r="67" spans="3:36" s="16" customFormat="1">
      <c r="C67" s="308"/>
      <c r="F67" s="17"/>
      <c r="I67" s="17"/>
      <c r="L67" s="306"/>
      <c r="O67" s="17"/>
      <c r="R67" s="17"/>
      <c r="U67" s="17"/>
      <c r="X67" s="17"/>
      <c r="AA67" s="17"/>
      <c r="AD67" s="17"/>
      <c r="AG67" s="17"/>
      <c r="AI67" s="233"/>
      <c r="AJ67" s="306"/>
    </row>
  </sheetData>
  <dataConsolidate/>
  <mergeCells count="12">
    <mergeCell ref="AL10:AM10"/>
    <mergeCell ref="AI10:AJ10"/>
    <mergeCell ref="AC10:AD10"/>
    <mergeCell ref="AF10:AG10"/>
    <mergeCell ref="T10:U10"/>
    <mergeCell ref="W10:X10"/>
    <mergeCell ref="Z10:AA10"/>
    <mergeCell ref="Q10:R10"/>
    <mergeCell ref="E10:F10"/>
    <mergeCell ref="H10:I10"/>
    <mergeCell ref="K10:L10"/>
    <mergeCell ref="N10:O10"/>
  </mergeCells>
  <phoneticPr fontId="8"/>
  <pageMargins left="0.19685039370078741" right="0.19685039370078741" top="0.59055118110236227" bottom="0.78740157480314965" header="0.39370078740157483" footer="0.19685039370078741"/>
  <pageSetup paperSize="9" scale="60" orientation="landscape" horizontalDpi="4294967292" verticalDpi="4294967292" r:id="rId1"/>
  <headerFooter alignWithMargins="0">
    <oddFooter>&amp;L&amp;"Verdana,Regular"&amp;F-&amp;A
Atir b.v. ©&amp;C&amp;R&amp;"Verdana,Regular"printversie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23</vt:i4>
      </vt:variant>
    </vt:vector>
  </HeadingPairs>
  <TitlesOfParts>
    <vt:vector size="35" baseType="lpstr">
      <vt:lpstr>Toelichting calculatiemodel</vt:lpstr>
      <vt:lpstr>Info blad</vt:lpstr>
      <vt:lpstr>1-Contractblad perceel 1 SMO</vt:lpstr>
      <vt:lpstr>1-Recap per locatie SMO</vt:lpstr>
      <vt:lpstr>1-Contractblad perceel 2 glas</vt:lpstr>
      <vt:lpstr>2-Kengetal</vt:lpstr>
      <vt:lpstr>3-Basis ruimtestaat</vt:lpstr>
      <vt:lpstr>4-Premies en opslagen</vt:lpstr>
      <vt:lpstr>5-Opbouw uurtarieven</vt:lpstr>
      <vt:lpstr>6- toeslagenmatrix</vt:lpstr>
      <vt:lpstr>7-Machine-investeringskosten</vt:lpstr>
      <vt:lpstr>8-Afroepprijs</vt:lpstr>
      <vt:lpstr>'1-Contractblad perceel 1 SMO'!Afdrukbereik</vt:lpstr>
      <vt:lpstr>'1-Contractblad perceel 2 glas'!Afdrukbereik</vt:lpstr>
      <vt:lpstr>'1-Recap per locatie SMO'!Afdrukbereik</vt:lpstr>
      <vt:lpstr>'2-Kengetal'!Afdrukbereik</vt:lpstr>
      <vt:lpstr>'3-Basis ruimtestaat'!Afdrukbereik</vt:lpstr>
      <vt:lpstr>'4-Premies en opslagen'!Afdrukbereik</vt:lpstr>
      <vt:lpstr>'5-Opbouw uurtarieven'!Afdrukbereik</vt:lpstr>
      <vt:lpstr>'7-Machine-investeringskosten'!Afdrukbereik</vt:lpstr>
      <vt:lpstr>'8-Afroepprijs'!Afdrukbereik</vt:lpstr>
      <vt:lpstr>'Info blad'!Afdrukbereik</vt:lpstr>
      <vt:lpstr>'Toelichting calculatiemodel'!Afdrukbereik</vt:lpstr>
      <vt:lpstr>'1-Contractblad perceel 1 SMO'!Afdruktitels</vt:lpstr>
      <vt:lpstr>'1-Contractblad perceel 2 glas'!Afdruktitels</vt:lpstr>
      <vt:lpstr>'1-Recap per locatie SMO'!Afdruktitels</vt:lpstr>
      <vt:lpstr>'2-Kengetal'!Afdruktitels</vt:lpstr>
      <vt:lpstr>'3-Basis ruimtestaat'!Afdruktitels</vt:lpstr>
      <vt:lpstr>'5-Opbouw uurtarieven'!Afdruktitels</vt:lpstr>
      <vt:lpstr>'8-Afroepprijs'!Afdruktitels</vt:lpstr>
      <vt:lpstr>gebouw</vt:lpstr>
      <vt:lpstr>Kengetal</vt:lpstr>
      <vt:lpstr>uren_mavr</vt:lpstr>
      <vt:lpstr>uren_naloop</vt:lpstr>
      <vt:lpstr>uren_zazofe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van der Velde</dc:creator>
  <cp:lastModifiedBy>afke</cp:lastModifiedBy>
  <cp:lastPrinted>2013-11-17T18:44:31Z</cp:lastPrinted>
  <dcterms:created xsi:type="dcterms:W3CDTF">1999-10-05T12:28:40Z</dcterms:created>
  <dcterms:modified xsi:type="dcterms:W3CDTF">2014-12-16T13:07:06Z</dcterms:modified>
</cp:coreProperties>
</file>