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umonet-my.sharepoint.com/personal/s_kooger_fumo_nl/Documents/Bureaublad/Diversen/Aanbesteding Wagenpark/Def/"/>
    </mc:Choice>
  </mc:AlternateContent>
  <xr:revisionPtr revIDLastSave="26" documentId="8_{FBCBADD0-F8AE-49CB-B8BB-F43C6C7E919A}" xr6:coauthVersionLast="47" xr6:coauthVersionMax="47" xr10:uidLastSave="{F453ADF2-64FF-4E73-97E1-D297031813CB}"/>
  <bookViews>
    <workbookView xWindow="57480" yWindow="-3810" windowWidth="29040" windowHeight="15720" xr2:uid="{00000000-000D-0000-FFFF-FFFF00000000}"/>
  </bookViews>
  <sheets>
    <sheet name="Toelichting" sheetId="1" r:id="rId1"/>
    <sheet name="Totaal prijs" sheetId="2" r:id="rId2"/>
    <sheet name="P1 Leasetarieven" sheetId="3" r:id="rId3"/>
    <sheet name="P2 Huurtarieven" sheetId="5" r:id="rId4"/>
    <sheet name="P3 Overige kosten" sheetId="4" r:id="rId5"/>
    <sheet name="P4 Vaste componente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3" l="1"/>
  <c r="O26" i="3"/>
  <c r="O32" i="3"/>
  <c r="O18" i="3"/>
  <c r="J11" i="5"/>
  <c r="I9" i="5"/>
  <c r="K9" i="5" s="1"/>
  <c r="I8" i="5"/>
  <c r="K8" i="5" s="1"/>
  <c r="I7" i="5"/>
  <c r="K7" i="5" s="1"/>
  <c r="I6" i="5"/>
  <c r="K6" i="5" s="1"/>
  <c r="K11" i="5" s="1"/>
  <c r="B6" i="2" s="1"/>
  <c r="D6" i="2" s="1"/>
  <c r="D16" i="4"/>
  <c r="E14" i="4"/>
  <c r="E13" i="4"/>
  <c r="E12" i="4"/>
  <c r="E11" i="4"/>
  <c r="E10" i="4"/>
  <c r="E9" i="4"/>
  <c r="E8" i="4"/>
  <c r="E7" i="4"/>
  <c r="E6" i="4"/>
  <c r="E5" i="4"/>
  <c r="E16" i="4" s="1"/>
  <c r="B7" i="2" s="1"/>
  <c r="D7" i="2" s="1"/>
  <c r="C9" i="2"/>
  <c r="P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P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P18" i="3"/>
  <c r="P26" i="3" s="1"/>
  <c r="N18" i="3"/>
  <c r="N26" i="3" s="1"/>
  <c r="M18" i="3"/>
  <c r="M26" i="3" s="1"/>
  <c r="L18" i="3"/>
  <c r="L26" i="3" s="1"/>
  <c r="K18" i="3"/>
  <c r="K26" i="3" s="1"/>
  <c r="J18" i="3"/>
  <c r="J26" i="3" s="1"/>
  <c r="I18" i="3"/>
  <c r="I26" i="3" s="1"/>
  <c r="H18" i="3"/>
  <c r="H26" i="3" s="1"/>
  <c r="G18" i="3"/>
  <c r="G26" i="3" s="1"/>
  <c r="F18" i="3"/>
  <c r="F26" i="3" s="1"/>
  <c r="E18" i="3"/>
  <c r="E26" i="3" s="1"/>
  <c r="D18" i="3"/>
  <c r="D26" i="3" s="1"/>
  <c r="C18" i="3"/>
  <c r="C26" i="3" s="1"/>
  <c r="B18" i="3"/>
  <c r="B26" i="3" s="1"/>
  <c r="O35" i="3" l="1"/>
  <c r="O48" i="3" s="1"/>
  <c r="O36" i="3"/>
  <c r="P35" i="3"/>
  <c r="P36" i="3"/>
  <c r="N35" i="3"/>
  <c r="N36" i="3"/>
  <c r="M35" i="3"/>
  <c r="M36" i="3"/>
  <c r="L35" i="3"/>
  <c r="L36" i="3"/>
  <c r="K35" i="3"/>
  <c r="K36" i="3"/>
  <c r="J35" i="3"/>
  <c r="J36" i="3"/>
  <c r="I35" i="3"/>
  <c r="I36" i="3"/>
  <c r="H35" i="3"/>
  <c r="H36" i="3"/>
  <c r="G35" i="3"/>
  <c r="G36" i="3"/>
  <c r="F35" i="3"/>
  <c r="F36" i="3"/>
  <c r="E35" i="3"/>
  <c r="E36" i="3"/>
  <c r="D36" i="3"/>
  <c r="D35" i="3"/>
  <c r="D48" i="3" s="1"/>
  <c r="C35" i="3"/>
  <c r="C36" i="3"/>
  <c r="B35" i="3"/>
  <c r="B36" i="3"/>
  <c r="M48" i="3" l="1"/>
  <c r="B48" i="3"/>
  <c r="B50" i="3" s="1"/>
  <c r="B5" i="2" s="1"/>
  <c r="D5" i="2" s="1"/>
  <c r="D9" i="2" s="1"/>
  <c r="L48" i="3"/>
  <c r="K48" i="3"/>
  <c r="P48" i="3"/>
  <c r="N48" i="3"/>
  <c r="J48" i="3"/>
  <c r="I48" i="3"/>
  <c r="H48" i="3"/>
  <c r="G48" i="3"/>
  <c r="F48" i="3"/>
  <c r="E48" i="3"/>
  <c r="C48" i="3"/>
</calcChain>
</file>

<file path=xl/sharedStrings.xml><?xml version="1.0" encoding="utf-8"?>
<sst xmlns="http://schemas.openxmlformats.org/spreadsheetml/2006/main" count="260" uniqueCount="195">
  <si>
    <t>Toelichting prijzenblad autolease FUMO</t>
  </si>
  <si>
    <t>Lees eerst de randvoorwaarden voor het invullen van dit prijzenblad.</t>
  </si>
  <si>
    <t>Gebruik voor de prijzen uitsluitend dit prijzenblad.</t>
  </si>
  <si>
    <t>Neem prijzen en kosten op bij het onderwerp waar zij thuishoren.</t>
  </si>
  <si>
    <t>Negatieve prijzen zijn niet toegestaan.</t>
  </si>
  <si>
    <t>Managementfee en administratiekosten zijn voor alle voertuigen gelijk; differentiatie tussen voertuigen is niet toegestaan.</t>
  </si>
  <si>
    <t>Reken uitsluitend met standaard fleetownerkortingen.</t>
  </si>
  <si>
    <t>Neem subsidies zoals MIA en SEBA niet op in de leasetarieven.</t>
  </si>
  <si>
    <t>Alle prijzen zijn in euro's, exclusief btw en inclusief BPM.</t>
  </si>
  <si>
    <t>Reken voor alle voertuigen met de rentedatum en de prijspeildatum op tabblad P1.</t>
  </si>
  <si>
    <t>Wijzig alleen de groene cellen. Wijzigingen in andere cellen leiden tot uitsluiting.</t>
  </si>
  <si>
    <t>De prijsbeoordeling vindt plaats in dit werkboek. Bedragen worden tussentijds niet afgerond; afronding op hele euro's vindt alleen plaats in de eindscore.</t>
  </si>
  <si>
    <t>P1 Leasetarieven automandje</t>
  </si>
  <si>
    <t>Vul alle groene cellen in. Witte cellen zijn vast of worden berekend.</t>
  </si>
  <si>
    <t>Component</t>
  </si>
  <si>
    <t>Voertuig 1</t>
  </si>
  <si>
    <t>Voertuig 2</t>
  </si>
  <si>
    <t>Voertuig 3</t>
  </si>
  <si>
    <t>Voertuig 4</t>
  </si>
  <si>
    <t>Voertuig 5</t>
  </si>
  <si>
    <t>Voertuig 6</t>
  </si>
  <si>
    <t>Voertuig 7</t>
  </si>
  <si>
    <t>Voertuig 8</t>
  </si>
  <si>
    <t>Voertuig 9</t>
  </si>
  <si>
    <t>Voertuig 10</t>
  </si>
  <si>
    <t>Voertuig 11</t>
  </si>
  <si>
    <t>Voertuig 12</t>
  </si>
  <si>
    <t>Voertuig 13</t>
  </si>
  <si>
    <t>Voertuig 14</t>
  </si>
  <si>
    <t>Voertuig 15</t>
  </si>
  <si>
    <t>Categorie</t>
  </si>
  <si>
    <t>Personenauto, B</t>
  </si>
  <si>
    <t>Personenauto, B-SUV</t>
  </si>
  <si>
    <t>Personenauto, C</t>
  </si>
  <si>
    <t>Personenauto, C-SUV</t>
  </si>
  <si>
    <t>Bedrijfswagen, klein</t>
  </si>
  <si>
    <t>Bedrijfswagen, middel</t>
  </si>
  <si>
    <t>Merk</t>
  </si>
  <si>
    <t>Volkswagen</t>
  </si>
  <si>
    <t>Renault</t>
  </si>
  <si>
    <t>Citroën</t>
  </si>
  <si>
    <t>Kia</t>
  </si>
  <si>
    <t>Suzuki</t>
  </si>
  <si>
    <t xml:space="preserve">Toyota </t>
  </si>
  <si>
    <t>Opel</t>
  </si>
  <si>
    <t>Skoda</t>
  </si>
  <si>
    <t xml:space="preserve">Ford </t>
  </si>
  <si>
    <t>Peugeot</t>
  </si>
  <si>
    <t>Ford</t>
  </si>
  <si>
    <t>Nissan</t>
  </si>
  <si>
    <t>Model</t>
  </si>
  <si>
    <t>ID. Polo</t>
  </si>
  <si>
    <t>5</t>
  </si>
  <si>
    <t>e-C3</t>
  </si>
  <si>
    <t>EV3</t>
  </si>
  <si>
    <t>e-Vitara</t>
  </si>
  <si>
    <t>Urban Cruiser</t>
  </si>
  <si>
    <t>Astra Sports Tourer</t>
  </si>
  <si>
    <t>Elroq</t>
  </si>
  <si>
    <t>e-Niro</t>
  </si>
  <si>
    <t>Explorer</t>
  </si>
  <si>
    <t>e-Partner</t>
  </si>
  <si>
    <t>E-Transit Courier</t>
  </si>
  <si>
    <t>Townstar</t>
  </si>
  <si>
    <t>Caddy</t>
  </si>
  <si>
    <t>ID. Buzz Cargo</t>
  </si>
  <si>
    <t>Uitvoering</t>
  </si>
  <si>
    <t>BEV 52kWh 150 pk Techno comfort range 5D</t>
  </si>
  <si>
    <t>Elektrisch 113pk YOU Urban Range 5D</t>
  </si>
  <si>
    <t>81.4kWh GT-Line Business Edition 5D 150kW</t>
  </si>
  <si>
    <t>61 kWh AllGrip-e Select 5D 135kW</t>
  </si>
  <si>
    <t>Executive AWD 5D 135kW</t>
  </si>
  <si>
    <t>BEV 58kWh Business Edition auto 5D</t>
  </si>
  <si>
    <t>85 Business Edition 5D 210kW</t>
  </si>
  <si>
    <t>64.8kWh Limited Edition 5D 150kW</t>
  </si>
  <si>
    <t>BEV 77kWh Extended Range Select AWD 5D</t>
  </si>
  <si>
    <t>EV 42 kWh 136 Auto L1 Active 4D</t>
  </si>
  <si>
    <t>46,8 kWh Limited 136pk auto 4D</t>
  </si>
  <si>
    <t>45kWh N-CONNECTA L1 automaat 4D 90kW</t>
  </si>
  <si>
    <t>79 kWh 210 kW Economy Business auto 4D</t>
  </si>
  <si>
    <t>Jatocode</t>
  </si>
  <si>
    <t>Brandstofsoort</t>
  </si>
  <si>
    <t>Elektrisch</t>
  </si>
  <si>
    <t>Diesel</t>
  </si>
  <si>
    <t>Looptijd in maanden</t>
  </si>
  <si>
    <t>Jaarkilometrage</t>
  </si>
  <si>
    <t>Catalogusprijs inclusief btw en BPM</t>
  </si>
  <si>
    <t>BPM-bedrag</t>
  </si>
  <si>
    <t>Catalogusprijs exclusief btw en BPM</t>
  </si>
  <si>
    <t>Kortingspercentage</t>
  </si>
  <si>
    <t>Catalogusprijs exclusief btw, inclusief BPM</t>
  </si>
  <si>
    <t>Afleverpakket (zie toelichting)</t>
  </si>
  <si>
    <t>Calculatiekorting</t>
  </si>
  <si>
    <t>Recyclingbijdrage</t>
  </si>
  <si>
    <t>Leges</t>
  </si>
  <si>
    <t>Tenaamstelling</t>
  </si>
  <si>
    <t>Kosten rijklaar maken</t>
  </si>
  <si>
    <t>Totale Investering</t>
  </si>
  <si>
    <t>Rentedatum</t>
  </si>
  <si>
    <t>Rentebasis (naam)</t>
  </si>
  <si>
    <t>Rentebasis (%)</t>
  </si>
  <si>
    <t>Renteopslag (%)</t>
  </si>
  <si>
    <t>Rekenrente (totaal %)</t>
  </si>
  <si>
    <t>Restwaarde exclusief btw, inclusief BPM</t>
  </si>
  <si>
    <t>Afschrijving</t>
  </si>
  <si>
    <t>Rentebedrag</t>
  </si>
  <si>
    <t>Motorrijtuigenbelasting</t>
  </si>
  <si>
    <t>WA-premie exclusief assurantiebelasting</t>
  </si>
  <si>
    <t>Cascopremie exclusief assurantiebelasting</t>
  </si>
  <si>
    <t>SVI</t>
  </si>
  <si>
    <t>Reparatie en onderhoud</t>
  </si>
  <si>
    <t>Banden (all-season)</t>
  </si>
  <si>
    <t>Vervangend vervoer na 24 uur</t>
  </si>
  <si>
    <t>Hulpverlening</t>
  </si>
  <si>
    <t>Administratiekosten</t>
  </si>
  <si>
    <t>Managementfee</t>
  </si>
  <si>
    <t>Brandstof- of laadpas nationaal</t>
  </si>
  <si>
    <t>Totaal Leasetarief per maand</t>
  </si>
  <si>
    <t>Gemiddeld Leasetarief automandje</t>
  </si>
  <si>
    <t>Totaal prijs</t>
  </si>
  <si>
    <t>Prijscomponent</t>
  </si>
  <si>
    <t>Bedrag</t>
  </si>
  <si>
    <t>Weging</t>
  </si>
  <si>
    <t>Gewogen bedrag</t>
  </si>
  <si>
    <t>P1 Gewogen gemiddeld Leasetarief automandje</t>
  </si>
  <si>
    <t>P2 Huurtarieven</t>
  </si>
  <si>
    <t>P3 Overige kosten</t>
  </si>
  <si>
    <t>Inschrijfprijs prijscriterium</t>
  </si>
  <si>
    <t>Vul alle groene cellen in. Witte cellen zijn vast of worden berekend. De huurprijs is per dag, inclusief 100 vrije kilometers per dag.</t>
  </si>
  <si>
    <t>Voertuig of vergelijkbaar</t>
  </si>
  <si>
    <t>Brandstof</t>
  </si>
  <si>
    <t>1–7 dagen</t>
  </si>
  <si>
    <t>8–14 dagen</t>
  </si>
  <si>
    <t>15–30 dagen</t>
  </si>
  <si>
    <t>31–90 dagen</t>
  </si>
  <si>
    <t>3–24 maanden</t>
  </si>
  <si>
    <t>Prijs per meerkilometer</t>
  </si>
  <si>
    <t>Gewogen tarief</t>
  </si>
  <si>
    <t>Weging klasse</t>
  </si>
  <si>
    <t>Score</t>
  </si>
  <si>
    <t>Weging looptijd</t>
  </si>
  <si>
    <t>Peugeot e-208</t>
  </si>
  <si>
    <t>Kia Niro EV</t>
  </si>
  <si>
    <t>Volkswagen Caddy Cargo</t>
  </si>
  <si>
    <t>Volkswagen Caddy Cargo 4Motion</t>
  </si>
  <si>
    <t>Totaalscore huurtarieven</t>
  </si>
  <si>
    <t>De weging per meerkilometer rekent met 100 kilometer.</t>
  </si>
  <si>
    <t>Aanvullende kosten</t>
  </si>
  <si>
    <t>Eenheid</t>
  </si>
  <si>
    <t>Tarief</t>
  </si>
  <si>
    <t>Halen en brengen</t>
  </si>
  <si>
    <t>Per rit</t>
  </si>
  <si>
    <t>Navigatie</t>
  </si>
  <si>
    <t>Per huurperiode</t>
  </si>
  <si>
    <t>Trekhaak</t>
  </si>
  <si>
    <t>Winterbanden</t>
  </si>
  <si>
    <t>Aftanken of opladen, bij minimaal 2,5 liter</t>
  </si>
  <si>
    <t>Per handeling</t>
  </si>
  <si>
    <t>Eigen risico bij niet-verhaalbare schade, geel kenteken</t>
  </si>
  <si>
    <t>Per gebeurtenis</t>
  </si>
  <si>
    <t>Eigen risico bij niet-verhaalbare bovenhoofdse schade boven 1,85 m, grijs kenteken</t>
  </si>
  <si>
    <t>Kostensoort</t>
  </si>
  <si>
    <t>Doorsturen eerste bekeuring, digitaal</t>
  </si>
  <si>
    <t>Doorsturen aanmaning</t>
  </si>
  <si>
    <t>Vervangen kentekenbewijs</t>
  </si>
  <si>
    <t>Vervangen kentekenplaten</t>
  </si>
  <si>
    <t>Vervangen brandstof- of laadpas bij verlies</t>
  </si>
  <si>
    <t>Kosten brandstofcontract</t>
  </si>
  <si>
    <t>Per contract per maand</t>
  </si>
  <si>
    <t>Missende reservesleutel</t>
  </si>
  <si>
    <t>Calculeren innameschades</t>
  </si>
  <si>
    <t>Inname op locatie Opdrachtgever</t>
  </si>
  <si>
    <t>Totaalscore overige kosten</t>
  </si>
  <si>
    <t>P4 Vaste componenten</t>
  </si>
  <si>
    <t>Vul alle groene cellen in. Witte cellen zijn vast of worden berekend. Dit tabblad telt niet mee in de prijsscore.</t>
  </si>
  <si>
    <t>Waarde</t>
  </si>
  <si>
    <t>Rentebasis</t>
  </si>
  <si>
    <t>Naam van de verifieerbare rentebasis</t>
  </si>
  <si>
    <t>Renteopslag</t>
  </si>
  <si>
    <t>Vaste opslag op de rentebasis (%)</t>
  </si>
  <si>
    <t>Brandstofpas nationaal</t>
  </si>
  <si>
    <t>Per voertuig per maand</t>
  </si>
  <si>
    <t>Brandstofpas internationaal</t>
  </si>
  <si>
    <t>Laadpas nationaal</t>
  </si>
  <si>
    <t>Laadpas internationaal</t>
  </si>
  <si>
    <t>Combipas tanken en laden nationaal</t>
  </si>
  <si>
    <t>Combipas tanken en laden internationaal</t>
  </si>
  <si>
    <t>SVI-verzekering</t>
  </si>
  <si>
    <t>POI-verzekering</t>
  </si>
  <si>
    <t>52kWh 155kW Life First Edition auto 5D</t>
  </si>
  <si>
    <t>2.0 TDI 90kW Life 7-DSG Maxi 4D</t>
  </si>
  <si>
    <t>Aftanken of laden</t>
  </si>
  <si>
    <t>Catalogusprijzen en BPM zijn vooraf ingevuld door Opdrachtgever</t>
  </si>
  <si>
    <t>Tabblad P4 telt niet mee in de prijsscore, maar wordt na gunning overgenomen in de PLA.</t>
  </si>
  <si>
    <t>Vul alle groene cellen in. Een lege cel wordt niet als nul gelezen maar als onvolledige Inschrijving. Wanneer een component geen prijs kent of €0,00 kost, vul dan €0,00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</si>
</sst>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0.0%"/>
    <numFmt numFmtId="165" formatCode="\€\ #,##0.00"/>
    <numFmt numFmtId="166" formatCode="dd\-mm\-yyyy"/>
    <numFmt numFmtId="167" formatCode="\€\ #,##0"/>
    <numFmt numFmtId="168" formatCode="&quot;€&quot;\ #,##0.00"/>
  </numFmts>
  <fonts count="8">
    <font>
      <sz val="11"/>
      <color theme="1"/>
      <name val="Helvetica Neue"/>
      <family val="2"/>
      <scheme val="minor"/>
    </font>
    <font>
      <sz val="18"/>
      <color rgb="FF1D1D1B"/>
      <name val="Oswald Medium"/>
    </font>
    <font>
      <sz val="11"/>
      <color rgb="FFFFFFFF"/>
      <name val="Oswald Medium"/>
    </font>
    <font>
      <sz val="10"/>
      <color rgb="FF1D1D1B"/>
      <name val="Helvetica Neue"/>
    </font>
    <font>
      <sz val="10"/>
      <color rgb="FF1D1D1B"/>
      <name val="Oswald Medium"/>
    </font>
    <font>
      <b/>
      <sz val="10"/>
      <color rgb="FF1D1D1B"/>
      <name val="Helvetica Neue"/>
    </font>
    <font>
      <sz val="8"/>
      <name val="Helvetica Neue"/>
      <family val="2"/>
      <scheme val="minor"/>
    </font>
    <font>
      <b/>
      <sz val="11"/>
      <color theme="1"/>
      <name val="Helvetica Neue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9B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9B9B"/>
      </top>
      <bottom/>
      <diagonal/>
    </border>
    <border>
      <left style="thin">
        <color rgb="FF009B9B"/>
      </left>
      <right style="thin">
        <color rgb="FF009B9B"/>
      </right>
      <top style="thin">
        <color rgb="FF009B9B"/>
      </top>
      <bottom style="thin">
        <color rgb="FF009B9B"/>
      </bottom>
      <diagonal/>
    </border>
  </borders>
  <cellStyleXfs count="6">
    <xf numFmtId="0" fontId="0" fillId="0" borderId="1"/>
    <xf numFmtId="0" fontId="1" fillId="0" borderId="1">
      <alignment vertical="center"/>
    </xf>
    <xf numFmtId="0" fontId="2" fillId="2" borderId="1">
      <alignment horizontal="left" vertical="center" indent="1"/>
    </xf>
    <xf numFmtId="167" fontId="3" fillId="0" borderId="1">
      <alignment horizontal="right" vertical="center" indent="1"/>
    </xf>
    <xf numFmtId="0" fontId="4" fillId="0" borderId="2">
      <alignment vertical="center" indent="1"/>
    </xf>
    <xf numFmtId="167" fontId="5" fillId="0" borderId="2">
      <alignment horizontal="right" vertical="center" indent="1"/>
    </xf>
  </cellStyleXfs>
  <cellXfs count="36">
    <xf numFmtId="0" fontId="0" fillId="0" borderId="0" xfId="0" applyBorder="1"/>
    <xf numFmtId="0" fontId="1" fillId="0" borderId="1" xfId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 indent="1"/>
    </xf>
    <xf numFmtId="0" fontId="2" fillId="2" borderId="1" xfId="2" applyAlignment="1">
      <alignment horizontal="left" vertical="center" wrapText="1" indent="1"/>
    </xf>
    <xf numFmtId="0" fontId="3" fillId="0" borderId="3" xfId="0" applyFont="1" applyBorder="1" applyAlignment="1">
      <alignment vertical="center" indent="1"/>
    </xf>
    <xf numFmtId="0" fontId="4" fillId="0" borderId="2" xfId="4">
      <alignment vertical="center" indent="1"/>
    </xf>
    <xf numFmtId="0" fontId="3" fillId="0" borderId="1" xfId="0" applyFont="1" applyAlignment="1">
      <alignment vertical="center" indent="1"/>
    </xf>
    <xf numFmtId="0" fontId="4" fillId="0" borderId="3" xfId="0" applyFont="1" applyBorder="1" applyAlignment="1">
      <alignment vertical="center" indent="1"/>
    </xf>
    <xf numFmtId="0" fontId="0" fillId="0" borderId="0" xfId="0" applyBorder="1" applyAlignment="1">
      <alignment horizontal="center"/>
    </xf>
    <xf numFmtId="0" fontId="2" fillId="2" borderId="1" xfId="2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4" fontId="4" fillId="0" borderId="2" xfId="4" applyNumberFormat="1" applyAlignment="1">
      <alignment horizontal="center" vertical="center"/>
    </xf>
    <xf numFmtId="167" fontId="5" fillId="0" borderId="2" xfId="5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  <protection locked="0"/>
    </xf>
    <xf numFmtId="164" fontId="3" fillId="3" borderId="3" xfId="0" applyNumberFormat="1" applyFont="1" applyFill="1" applyBorder="1" applyAlignment="1" applyProtection="1">
      <alignment horizontal="center" vertical="center"/>
      <protection locked="0"/>
    </xf>
    <xf numFmtId="165" fontId="3" fillId="3" borderId="3" xfId="0" applyNumberFormat="1" applyFont="1" applyFill="1" applyBorder="1" applyAlignment="1" applyProtection="1">
      <alignment horizontal="center" vertical="center"/>
      <protection locked="0"/>
    </xf>
    <xf numFmtId="164" fontId="3" fillId="0" borderId="3" xfId="0" applyNumberFormat="1" applyFont="1" applyBorder="1" applyAlignment="1" applyProtection="1">
      <alignment horizontal="center" vertical="center"/>
      <protection locked="0"/>
    </xf>
    <xf numFmtId="0" fontId="0" fillId="0" borderId="1" xfId="0"/>
    <xf numFmtId="0" fontId="0" fillId="0" borderId="1" xfId="0" applyAlignment="1">
      <alignment horizontal="center"/>
    </xf>
    <xf numFmtId="0" fontId="5" fillId="0" borderId="3" xfId="0" applyFont="1" applyBorder="1" applyAlignment="1">
      <alignment vertical="center" indent="1"/>
    </xf>
    <xf numFmtId="165" fontId="5" fillId="0" borderId="3" xfId="0" applyNumberFormat="1" applyFont="1" applyBorder="1" applyAlignment="1">
      <alignment horizontal="center" vertical="center"/>
    </xf>
    <xf numFmtId="0" fontId="7" fillId="0" borderId="0" xfId="0" applyFont="1" applyBorder="1"/>
    <xf numFmtId="10" fontId="5" fillId="0" borderId="3" xfId="0" applyNumberFormat="1" applyFont="1" applyBorder="1" applyAlignment="1">
      <alignment horizontal="center" vertical="center"/>
    </xf>
    <xf numFmtId="168" fontId="3" fillId="3" borderId="3" xfId="0" applyNumberFormat="1" applyFont="1" applyFill="1" applyBorder="1" applyAlignment="1" applyProtection="1">
      <alignment vertical="center"/>
      <protection locked="0"/>
    </xf>
    <xf numFmtId="168" fontId="3" fillId="3" borderId="3" xfId="0" applyNumberFormat="1" applyFont="1" applyFill="1" applyBorder="1" applyAlignment="1" applyProtection="1">
      <alignment horizontal="center" vertical="center"/>
      <protection locked="0"/>
    </xf>
    <xf numFmtId="9" fontId="3" fillId="0" borderId="3" xfId="0" applyNumberFormat="1" applyFont="1" applyBorder="1" applyAlignment="1">
      <alignment horizontal="center" vertical="center"/>
    </xf>
    <xf numFmtId="44" fontId="3" fillId="3" borderId="3" xfId="0" applyNumberFormat="1" applyFont="1" applyFill="1" applyBorder="1" applyAlignment="1" applyProtection="1">
      <alignment horizontal="center" vertical="center"/>
      <protection locked="0"/>
    </xf>
    <xf numFmtId="10" fontId="3" fillId="3" borderId="3" xfId="0" applyNumberFormat="1" applyFont="1" applyFill="1" applyBorder="1" applyAlignment="1" applyProtection="1">
      <alignment horizontal="center" vertical="center"/>
      <protection locked="0"/>
    </xf>
  </cellXfs>
  <cellStyles count="6">
    <cellStyle name="fumo_cell_eur" xfId="3" xr:uid="{00000000-0005-0000-0000-000003000000}"/>
    <cellStyle name="fumo_header" xfId="2" xr:uid="{00000000-0005-0000-0000-000002000000}"/>
    <cellStyle name="fumo_title" xfId="1" xr:uid="{00000000-0005-0000-0000-000001000000}"/>
    <cellStyle name="fumo_total" xfId="4" xr:uid="{00000000-0005-0000-0000-000004000000}"/>
    <cellStyle name="fumo_total_eur" xfId="5" xr:uid="{00000000-0005-0000-0000-000005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6300000</xdr:colOff>
      <xdr:row>0</xdr:row>
      <xdr:rowOff>40000</xdr:rowOff>
    </xdr:from>
    <xdr:ext cx="1188000" cy="478170"/>
    <xdr:pic>
      <xdr:nvPicPr>
        <xdr:cNvPr id="2" name="FUMO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8000" cy="47817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Oswald Medium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Helvetica Neue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defaultRowHeight="14"/>
  <cols>
    <col min="1" max="1" width="6" customWidth="1"/>
    <col min="2" max="2" width="149.33203125" customWidth="1"/>
  </cols>
  <sheetData>
    <row r="1" spans="1:2" ht="32.15" customHeight="1">
      <c r="A1" s="1" t="s">
        <v>0</v>
      </c>
      <c r="B1" s="25"/>
    </row>
    <row r="3" spans="1:2" ht="30" customHeight="1">
      <c r="A3" s="2">
        <v>1</v>
      </c>
      <c r="B3" s="3" t="s">
        <v>1</v>
      </c>
    </row>
    <row r="4" spans="1:2" ht="30" customHeight="1">
      <c r="A4" s="2">
        <v>2</v>
      </c>
      <c r="B4" s="3" t="s">
        <v>2</v>
      </c>
    </row>
    <row r="5" spans="1:2" ht="30" customHeight="1">
      <c r="A5" s="2">
        <v>3</v>
      </c>
      <c r="B5" s="3" t="s">
        <v>194</v>
      </c>
    </row>
    <row r="6" spans="1:2" ht="30" customHeight="1">
      <c r="A6" s="2">
        <v>4</v>
      </c>
      <c r="B6" s="3" t="s">
        <v>3</v>
      </c>
    </row>
    <row r="7" spans="1:2" ht="30" customHeight="1">
      <c r="A7" s="2">
        <v>5</v>
      </c>
      <c r="B7" s="3" t="s">
        <v>4</v>
      </c>
    </row>
    <row r="8" spans="1:2" ht="30" customHeight="1">
      <c r="A8" s="2">
        <v>6</v>
      </c>
      <c r="B8" s="3" t="s">
        <v>5</v>
      </c>
    </row>
    <row r="9" spans="1:2" ht="30" customHeight="1">
      <c r="A9" s="2">
        <v>7</v>
      </c>
      <c r="B9" s="3" t="s">
        <v>6</v>
      </c>
    </row>
    <row r="10" spans="1:2" ht="30" customHeight="1">
      <c r="A10" s="2">
        <v>8</v>
      </c>
      <c r="B10" s="3" t="s">
        <v>7</v>
      </c>
    </row>
    <row r="11" spans="1:2" ht="30" customHeight="1">
      <c r="A11" s="2">
        <v>9</v>
      </c>
      <c r="B11" s="3" t="s">
        <v>8</v>
      </c>
    </row>
    <row r="12" spans="1:2" ht="30" customHeight="1">
      <c r="A12" s="2">
        <v>10</v>
      </c>
      <c r="B12" s="3" t="s">
        <v>9</v>
      </c>
    </row>
    <row r="13" spans="1:2" ht="30" customHeight="1">
      <c r="A13" s="2">
        <v>11</v>
      </c>
      <c r="B13" s="3" t="s">
        <v>10</v>
      </c>
    </row>
    <row r="14" spans="1:2" ht="30" customHeight="1">
      <c r="A14" s="2">
        <v>12</v>
      </c>
      <c r="B14" s="3" t="s">
        <v>11</v>
      </c>
    </row>
    <row r="15" spans="1:2" ht="30" customHeight="1">
      <c r="A15" s="2">
        <v>13</v>
      </c>
      <c r="B15" s="3" t="s">
        <v>193</v>
      </c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workbookViewId="0"/>
  </sheetViews>
  <sheetFormatPr defaultRowHeight="14"/>
  <cols>
    <col min="1" max="1" width="48" customWidth="1"/>
    <col min="2" max="2" width="12.75" customWidth="1"/>
    <col min="3" max="4" width="18" customWidth="1"/>
  </cols>
  <sheetData>
    <row r="1" spans="1:4" ht="32.15" customHeight="1">
      <c r="A1" s="1" t="s">
        <v>119</v>
      </c>
      <c r="B1" s="25"/>
      <c r="C1" s="25"/>
      <c r="D1" s="25"/>
    </row>
    <row r="3" spans="1:4" ht="12" customHeight="1">
      <c r="A3" s="25"/>
      <c r="B3" s="25"/>
      <c r="C3" s="25"/>
      <c r="D3" s="25"/>
    </row>
    <row r="4" spans="1:4" ht="30" customHeight="1">
      <c r="A4" s="4" t="s">
        <v>120</v>
      </c>
      <c r="B4" s="10" t="s">
        <v>121</v>
      </c>
      <c r="C4" s="10" t="s">
        <v>122</v>
      </c>
      <c r="D4" s="10" t="s">
        <v>123</v>
      </c>
    </row>
    <row r="5" spans="1:4">
      <c r="A5" s="5" t="s">
        <v>124</v>
      </c>
      <c r="B5" s="16">
        <f>'P1 Leasetarieven'!B50</f>
        <v>473.78090185185187</v>
      </c>
      <c r="C5" s="15">
        <v>0.7</v>
      </c>
      <c r="D5" s="16">
        <f>B5*C5</f>
        <v>331.64663129629628</v>
      </c>
    </row>
    <row r="6" spans="1:4">
      <c r="A6" s="5" t="s">
        <v>125</v>
      </c>
      <c r="B6" s="16">
        <f>'P2 Huurtarieven'!K11</f>
        <v>0</v>
      </c>
      <c r="C6" s="15">
        <v>0.15</v>
      </c>
      <c r="D6" s="16">
        <f>B6*C6</f>
        <v>0</v>
      </c>
    </row>
    <row r="7" spans="1:4">
      <c r="A7" s="5" t="s">
        <v>126</v>
      </c>
      <c r="B7" s="16">
        <f>'P3 Overige kosten'!E16</f>
        <v>0</v>
      </c>
      <c r="C7" s="15">
        <v>0.15</v>
      </c>
      <c r="D7" s="16">
        <f>B7*C7</f>
        <v>0</v>
      </c>
    </row>
    <row r="8" spans="1:4">
      <c r="A8" s="25"/>
      <c r="B8" s="26"/>
      <c r="C8" s="26"/>
      <c r="D8" s="26"/>
    </row>
    <row r="9" spans="1:4" ht="21.5">
      <c r="A9" s="6" t="s">
        <v>127</v>
      </c>
      <c r="B9" s="6"/>
      <c r="C9" s="19">
        <f>SUM(C5:C7)</f>
        <v>1</v>
      </c>
      <c r="D9" s="20">
        <f>ROUND(SUM(D5:D7),0)</f>
        <v>332</v>
      </c>
    </row>
  </sheetData>
  <printOptions horizontalCentered="1"/>
  <pageMargins left="0.6" right="0.6" top="0.8" bottom="0.6" header="0.5" footer="0.5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2"/>
  <sheetViews>
    <sheetView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"/>
  <cols>
    <col min="1" max="1" width="44" customWidth="1"/>
    <col min="2" max="16" width="22" style="9" customWidth="1"/>
  </cols>
  <sheetData>
    <row r="1" spans="1:16" ht="32.15" customHeight="1">
      <c r="A1" s="1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>
      <c r="A2" s="7" t="s">
        <v>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2" customHeight="1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30" customHeight="1">
      <c r="A4" s="4" t="s">
        <v>14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  <c r="K4" s="10" t="s">
        <v>24</v>
      </c>
      <c r="L4" s="10" t="s">
        <v>25</v>
      </c>
      <c r="M4" s="10" t="s">
        <v>26</v>
      </c>
      <c r="N4" s="10" t="s">
        <v>27</v>
      </c>
      <c r="O4" s="10" t="s">
        <v>28</v>
      </c>
      <c r="P4" s="10" t="s">
        <v>29</v>
      </c>
    </row>
    <row r="5" spans="1:16">
      <c r="A5" s="5" t="s">
        <v>30</v>
      </c>
      <c r="B5" s="11" t="s">
        <v>31</v>
      </c>
      <c r="C5" s="11" t="s">
        <v>31</v>
      </c>
      <c r="D5" s="11" t="s">
        <v>31</v>
      </c>
      <c r="E5" s="11" t="s">
        <v>32</v>
      </c>
      <c r="F5" s="11" t="s">
        <v>32</v>
      </c>
      <c r="G5" s="11" t="s">
        <v>32</v>
      </c>
      <c r="H5" s="11" t="s">
        <v>33</v>
      </c>
      <c r="I5" s="11" t="s">
        <v>34</v>
      </c>
      <c r="J5" s="11" t="s">
        <v>34</v>
      </c>
      <c r="K5" s="11" t="s">
        <v>34</v>
      </c>
      <c r="L5" s="11" t="s">
        <v>35</v>
      </c>
      <c r="M5" s="11" t="s">
        <v>35</v>
      </c>
      <c r="N5" s="11" t="s">
        <v>35</v>
      </c>
      <c r="O5" s="11" t="s">
        <v>35</v>
      </c>
      <c r="P5" s="11" t="s">
        <v>36</v>
      </c>
    </row>
    <row r="6" spans="1:16">
      <c r="A6" s="5" t="s">
        <v>37</v>
      </c>
      <c r="B6" s="11" t="s">
        <v>38</v>
      </c>
      <c r="C6" s="11" t="s">
        <v>39</v>
      </c>
      <c r="D6" s="11" t="s">
        <v>40</v>
      </c>
      <c r="E6" s="11" t="s">
        <v>41</v>
      </c>
      <c r="F6" s="11" t="s">
        <v>42</v>
      </c>
      <c r="G6" s="11" t="s">
        <v>43</v>
      </c>
      <c r="H6" s="11" t="s">
        <v>44</v>
      </c>
      <c r="I6" s="11" t="s">
        <v>45</v>
      </c>
      <c r="J6" s="11" t="s">
        <v>41</v>
      </c>
      <c r="K6" s="11" t="s">
        <v>46</v>
      </c>
      <c r="L6" s="11" t="s">
        <v>47</v>
      </c>
      <c r="M6" s="11" t="s">
        <v>48</v>
      </c>
      <c r="N6" s="11" t="s">
        <v>49</v>
      </c>
      <c r="O6" s="11" t="s">
        <v>38</v>
      </c>
      <c r="P6" s="11" t="s">
        <v>38</v>
      </c>
    </row>
    <row r="7" spans="1:16">
      <c r="A7" s="5" t="s">
        <v>50</v>
      </c>
      <c r="B7" s="11" t="s">
        <v>51</v>
      </c>
      <c r="C7" s="11" t="s">
        <v>52</v>
      </c>
      <c r="D7" s="11" t="s">
        <v>53</v>
      </c>
      <c r="E7" s="11" t="s">
        <v>54</v>
      </c>
      <c r="F7" s="11" t="s">
        <v>55</v>
      </c>
      <c r="G7" s="11" t="s">
        <v>56</v>
      </c>
      <c r="H7" s="11" t="s">
        <v>57</v>
      </c>
      <c r="I7" s="11" t="s">
        <v>58</v>
      </c>
      <c r="J7" s="11" t="s">
        <v>59</v>
      </c>
      <c r="K7" s="11" t="s">
        <v>60</v>
      </c>
      <c r="L7" s="11" t="s">
        <v>61</v>
      </c>
      <c r="M7" s="11" t="s">
        <v>62</v>
      </c>
      <c r="N7" s="11" t="s">
        <v>63</v>
      </c>
      <c r="O7" s="11" t="s">
        <v>64</v>
      </c>
      <c r="P7" s="11" t="s">
        <v>65</v>
      </c>
    </row>
    <row r="8" spans="1:16" ht="42" customHeight="1">
      <c r="A8" s="5" t="s">
        <v>66</v>
      </c>
      <c r="B8" s="12" t="s">
        <v>189</v>
      </c>
      <c r="C8" s="12" t="s">
        <v>67</v>
      </c>
      <c r="D8" s="12" t="s">
        <v>68</v>
      </c>
      <c r="E8" s="12" t="s">
        <v>69</v>
      </c>
      <c r="F8" s="12" t="s">
        <v>70</v>
      </c>
      <c r="G8" s="12" t="s">
        <v>71</v>
      </c>
      <c r="H8" s="12" t="s">
        <v>72</v>
      </c>
      <c r="I8" s="12" t="s">
        <v>73</v>
      </c>
      <c r="J8" s="12" t="s">
        <v>74</v>
      </c>
      <c r="K8" s="12" t="s">
        <v>75</v>
      </c>
      <c r="L8" s="12" t="s">
        <v>76</v>
      </c>
      <c r="M8" s="12" t="s">
        <v>77</v>
      </c>
      <c r="N8" s="12" t="s">
        <v>78</v>
      </c>
      <c r="O8" s="12" t="s">
        <v>190</v>
      </c>
      <c r="P8" s="12" t="s">
        <v>79</v>
      </c>
    </row>
    <row r="9" spans="1:16">
      <c r="A9" s="5" t="s">
        <v>80</v>
      </c>
      <c r="B9" s="13">
        <v>8525238</v>
      </c>
      <c r="C9" s="13">
        <v>8431036</v>
      </c>
      <c r="D9" s="13">
        <v>8496283</v>
      </c>
      <c r="E9" s="13">
        <v>8486722</v>
      </c>
      <c r="F9" s="13">
        <v>8490880</v>
      </c>
      <c r="G9" s="13">
        <v>8483393</v>
      </c>
      <c r="H9" s="13">
        <v>8432595</v>
      </c>
      <c r="I9" s="13">
        <v>8451084</v>
      </c>
      <c r="J9" s="13">
        <v>8497753</v>
      </c>
      <c r="K9" s="13">
        <v>8418193</v>
      </c>
      <c r="L9" s="13">
        <v>8283060</v>
      </c>
      <c r="M9" s="13">
        <v>8451860</v>
      </c>
      <c r="N9" s="13">
        <v>8351051</v>
      </c>
      <c r="O9" s="13">
        <v>8355350</v>
      </c>
      <c r="P9" s="13">
        <v>8426512</v>
      </c>
    </row>
    <row r="10" spans="1:16">
      <c r="A10" s="5" t="s">
        <v>81</v>
      </c>
      <c r="B10" s="11" t="s">
        <v>82</v>
      </c>
      <c r="C10" s="11" t="s">
        <v>82</v>
      </c>
      <c r="D10" s="11" t="s">
        <v>82</v>
      </c>
      <c r="E10" s="11" t="s">
        <v>82</v>
      </c>
      <c r="F10" s="11" t="s">
        <v>82</v>
      </c>
      <c r="G10" s="11" t="s">
        <v>82</v>
      </c>
      <c r="H10" s="11" t="s">
        <v>82</v>
      </c>
      <c r="I10" s="11" t="s">
        <v>82</v>
      </c>
      <c r="J10" s="11" t="s">
        <v>82</v>
      </c>
      <c r="K10" s="11" t="s">
        <v>82</v>
      </c>
      <c r="L10" s="11" t="s">
        <v>82</v>
      </c>
      <c r="M10" s="11" t="s">
        <v>82</v>
      </c>
      <c r="N10" s="11" t="s">
        <v>82</v>
      </c>
      <c r="O10" s="11" t="s">
        <v>83</v>
      </c>
      <c r="P10" s="11" t="s">
        <v>82</v>
      </c>
    </row>
    <row r="11" spans="1:16">
      <c r="A11" s="5" t="s">
        <v>84</v>
      </c>
      <c r="B11" s="13">
        <v>60</v>
      </c>
      <c r="C11" s="13">
        <v>60</v>
      </c>
      <c r="D11" s="13">
        <v>60</v>
      </c>
      <c r="E11" s="13">
        <v>60</v>
      </c>
      <c r="F11" s="13">
        <v>60</v>
      </c>
      <c r="G11" s="13">
        <v>60</v>
      </c>
      <c r="H11" s="13">
        <v>60</v>
      </c>
      <c r="I11" s="13">
        <v>60</v>
      </c>
      <c r="J11" s="13">
        <v>60</v>
      </c>
      <c r="K11" s="13">
        <v>60</v>
      </c>
      <c r="L11" s="13">
        <v>72</v>
      </c>
      <c r="M11" s="13">
        <v>72</v>
      </c>
      <c r="N11" s="13">
        <v>72</v>
      </c>
      <c r="O11" s="13">
        <v>72</v>
      </c>
      <c r="P11" s="13">
        <v>72</v>
      </c>
    </row>
    <row r="12" spans="1:16">
      <c r="A12" s="5" t="s">
        <v>85</v>
      </c>
      <c r="B12" s="14">
        <v>15000</v>
      </c>
      <c r="C12" s="14">
        <v>15000</v>
      </c>
      <c r="D12" s="14">
        <v>15000</v>
      </c>
      <c r="E12" s="14">
        <v>15000</v>
      </c>
      <c r="F12" s="14">
        <v>15000</v>
      </c>
      <c r="G12" s="14">
        <v>15000</v>
      </c>
      <c r="H12" s="14">
        <v>15000</v>
      </c>
      <c r="I12" s="14">
        <v>15000</v>
      </c>
      <c r="J12" s="14">
        <v>15000</v>
      </c>
      <c r="K12" s="14">
        <v>15000</v>
      </c>
      <c r="L12" s="14">
        <v>15000</v>
      </c>
      <c r="M12" s="14">
        <v>15000</v>
      </c>
      <c r="N12" s="14">
        <v>15000</v>
      </c>
      <c r="O12" s="14">
        <v>15000</v>
      </c>
      <c r="P12" s="14">
        <v>15000</v>
      </c>
    </row>
    <row r="14" spans="1:16">
      <c r="A14" s="5" t="s">
        <v>86</v>
      </c>
      <c r="B14" s="16">
        <v>31285</v>
      </c>
      <c r="C14" s="16">
        <v>31295.16</v>
      </c>
      <c r="D14" s="16">
        <v>19889.7</v>
      </c>
      <c r="E14" s="16">
        <v>41019.93</v>
      </c>
      <c r="F14" s="16">
        <v>36154.519999999997</v>
      </c>
      <c r="G14" s="16">
        <v>38749.97</v>
      </c>
      <c r="H14" s="16">
        <v>36898.67</v>
      </c>
      <c r="I14" s="16">
        <v>43725.49</v>
      </c>
      <c r="J14" s="16">
        <v>33494.94</v>
      </c>
      <c r="K14" s="16">
        <v>47700.34</v>
      </c>
      <c r="L14" s="16">
        <v>30001.95</v>
      </c>
      <c r="M14" s="16">
        <v>36070.1</v>
      </c>
      <c r="N14" s="16">
        <v>36892.9</v>
      </c>
      <c r="O14" s="16">
        <v>45556</v>
      </c>
      <c r="P14" s="16">
        <v>56131.9</v>
      </c>
    </row>
    <row r="15" spans="1:16">
      <c r="A15" s="5" t="s">
        <v>87</v>
      </c>
      <c r="B15" s="16">
        <v>687</v>
      </c>
      <c r="C15" s="16">
        <v>687</v>
      </c>
      <c r="D15" s="16">
        <v>687</v>
      </c>
      <c r="E15" s="16">
        <v>687</v>
      </c>
      <c r="F15" s="16">
        <v>687</v>
      </c>
      <c r="G15" s="16">
        <v>687</v>
      </c>
      <c r="H15" s="16">
        <v>687</v>
      </c>
      <c r="I15" s="16">
        <v>687</v>
      </c>
      <c r="J15" s="16">
        <v>687</v>
      </c>
      <c r="K15" s="16">
        <v>687</v>
      </c>
      <c r="L15" s="16">
        <v>0</v>
      </c>
      <c r="M15" s="16">
        <v>0</v>
      </c>
      <c r="N15" s="16">
        <v>0</v>
      </c>
      <c r="O15" s="16">
        <v>11179</v>
      </c>
      <c r="P15" s="16">
        <v>0</v>
      </c>
    </row>
    <row r="16" spans="1:16">
      <c r="A16" s="5" t="s">
        <v>88</v>
      </c>
      <c r="B16" s="16">
        <v>25288</v>
      </c>
      <c r="C16" s="16">
        <v>25296</v>
      </c>
      <c r="D16" s="16">
        <v>15870</v>
      </c>
      <c r="E16" s="16">
        <v>33333</v>
      </c>
      <c r="F16" s="16">
        <v>29312</v>
      </c>
      <c r="G16" s="16">
        <v>31457</v>
      </c>
      <c r="H16" s="16">
        <v>29927</v>
      </c>
      <c r="I16" s="16">
        <v>35569</v>
      </c>
      <c r="J16" s="16">
        <v>27114</v>
      </c>
      <c r="K16" s="16">
        <v>38854</v>
      </c>
      <c r="L16" s="16">
        <v>24795</v>
      </c>
      <c r="M16" s="16">
        <v>29810</v>
      </c>
      <c r="N16" s="16">
        <v>30490</v>
      </c>
      <c r="O16" s="16">
        <v>28411</v>
      </c>
      <c r="P16" s="16">
        <v>46390</v>
      </c>
    </row>
    <row r="17" spans="1:16">
      <c r="A17" s="5" t="s">
        <v>89</v>
      </c>
      <c r="B17" s="24">
        <v>0</v>
      </c>
      <c r="C17" s="24">
        <v>0.03</v>
      </c>
      <c r="D17" s="24">
        <v>0.09</v>
      </c>
      <c r="E17" s="24">
        <v>1.4999999999999999E-2</v>
      </c>
      <c r="F17" s="24">
        <v>0.01</v>
      </c>
      <c r="G17" s="24">
        <v>0.01</v>
      </c>
      <c r="H17" s="24">
        <v>0.09</v>
      </c>
      <c r="I17" s="24">
        <v>0</v>
      </c>
      <c r="J17" s="24">
        <v>1.4999999999999999E-2</v>
      </c>
      <c r="K17" s="24">
        <v>0</v>
      </c>
      <c r="L17" s="24">
        <v>0.09</v>
      </c>
      <c r="M17" s="24">
        <v>0.04</v>
      </c>
      <c r="N17" s="24">
        <v>0.20499999999999999</v>
      </c>
      <c r="O17" s="24">
        <v>7.0000000000000007E-2</v>
      </c>
      <c r="P17" s="24">
        <v>0</v>
      </c>
    </row>
    <row r="18" spans="1:16">
      <c r="A18" s="5" t="s">
        <v>90</v>
      </c>
      <c r="B18" s="16">
        <f t="shared" ref="B18:O18" si="0">B15+B16</f>
        <v>25975</v>
      </c>
      <c r="C18" s="16">
        <f t="shared" si="0"/>
        <v>25983</v>
      </c>
      <c r="D18" s="16">
        <f t="shared" si="0"/>
        <v>16557</v>
      </c>
      <c r="E18" s="16">
        <f t="shared" si="0"/>
        <v>34020</v>
      </c>
      <c r="F18" s="16">
        <f t="shared" si="0"/>
        <v>29999</v>
      </c>
      <c r="G18" s="16">
        <f t="shared" si="0"/>
        <v>32144</v>
      </c>
      <c r="H18" s="16">
        <f t="shared" si="0"/>
        <v>30614</v>
      </c>
      <c r="I18" s="16">
        <f t="shared" si="0"/>
        <v>36256</v>
      </c>
      <c r="J18" s="16">
        <f t="shared" si="0"/>
        <v>27801</v>
      </c>
      <c r="K18" s="16">
        <f t="shared" si="0"/>
        <v>39541</v>
      </c>
      <c r="L18" s="16">
        <f t="shared" si="0"/>
        <v>24795</v>
      </c>
      <c r="M18" s="16">
        <f t="shared" si="0"/>
        <v>29810</v>
      </c>
      <c r="N18" s="16">
        <f t="shared" si="0"/>
        <v>30490</v>
      </c>
      <c r="O18" s="16">
        <f t="shared" si="0"/>
        <v>39590</v>
      </c>
      <c r="P18" s="16">
        <f>P15+P16</f>
        <v>46390</v>
      </c>
    </row>
    <row r="20" spans="1:16">
      <c r="A20" s="5" t="s">
        <v>91</v>
      </c>
      <c r="B20" s="23"/>
      <c r="C20" s="23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>
      <c r="A21" s="5" t="s">
        <v>92</v>
      </c>
      <c r="B21" s="16">
        <f t="shared" ref="B21:N21" si="1">-B16*B17</f>
        <v>0</v>
      </c>
      <c r="C21" s="16">
        <f t="shared" si="1"/>
        <v>-758.88</v>
      </c>
      <c r="D21" s="16">
        <f t="shared" si="1"/>
        <v>-1428.3</v>
      </c>
      <c r="E21" s="16">
        <f t="shared" si="1"/>
        <v>-499.995</v>
      </c>
      <c r="F21" s="16">
        <f t="shared" si="1"/>
        <v>-293.12</v>
      </c>
      <c r="G21" s="16">
        <f t="shared" si="1"/>
        <v>-314.57</v>
      </c>
      <c r="H21" s="16">
        <f t="shared" si="1"/>
        <v>-2693.43</v>
      </c>
      <c r="I21" s="16">
        <f t="shared" si="1"/>
        <v>0</v>
      </c>
      <c r="J21" s="16">
        <f t="shared" si="1"/>
        <v>-406.71</v>
      </c>
      <c r="K21" s="16">
        <f t="shared" si="1"/>
        <v>0</v>
      </c>
      <c r="L21" s="16">
        <f t="shared" si="1"/>
        <v>-2231.5499999999997</v>
      </c>
      <c r="M21" s="16">
        <f t="shared" si="1"/>
        <v>-1192.4000000000001</v>
      </c>
      <c r="N21" s="16">
        <f t="shared" si="1"/>
        <v>-6250.45</v>
      </c>
      <c r="O21" s="16">
        <f t="shared" ref="O21" si="2">-O16*O17</f>
        <v>-1988.7700000000002</v>
      </c>
      <c r="P21" s="16">
        <f>-P16*P17</f>
        <v>0</v>
      </c>
    </row>
    <row r="22" spans="1:16">
      <c r="A22" s="5" t="s">
        <v>93</v>
      </c>
      <c r="B22" s="16">
        <v>20</v>
      </c>
      <c r="C22" s="16">
        <v>20</v>
      </c>
      <c r="D22" s="16">
        <v>20</v>
      </c>
      <c r="E22" s="16">
        <v>20</v>
      </c>
      <c r="F22" s="16">
        <v>20</v>
      </c>
      <c r="G22" s="16">
        <v>20</v>
      </c>
      <c r="H22" s="16">
        <v>20</v>
      </c>
      <c r="I22" s="16">
        <v>20</v>
      </c>
      <c r="J22" s="16">
        <v>20</v>
      </c>
      <c r="K22" s="16">
        <v>20</v>
      </c>
      <c r="L22" s="16">
        <v>20</v>
      </c>
      <c r="M22" s="16">
        <v>20</v>
      </c>
      <c r="N22" s="16">
        <v>20</v>
      </c>
      <c r="O22" s="16">
        <v>20</v>
      </c>
      <c r="P22" s="16">
        <v>20</v>
      </c>
    </row>
    <row r="23" spans="1:16">
      <c r="A23" s="5" t="s">
        <v>94</v>
      </c>
      <c r="B23" s="16">
        <v>47.65</v>
      </c>
      <c r="C23" s="16">
        <v>47.65</v>
      </c>
      <c r="D23" s="16">
        <v>47.65</v>
      </c>
      <c r="E23" s="16">
        <v>47.65</v>
      </c>
      <c r="F23" s="16">
        <v>47.65</v>
      </c>
      <c r="G23" s="16">
        <v>47.65</v>
      </c>
      <c r="H23" s="16">
        <v>47.65</v>
      </c>
      <c r="I23" s="16">
        <v>47.65</v>
      </c>
      <c r="J23" s="16">
        <v>47.65</v>
      </c>
      <c r="K23" s="16">
        <v>47.65</v>
      </c>
      <c r="L23" s="16">
        <v>47.65</v>
      </c>
      <c r="M23" s="16">
        <v>47.65</v>
      </c>
      <c r="N23" s="16">
        <v>47.65</v>
      </c>
      <c r="O23" s="16">
        <v>47.65</v>
      </c>
      <c r="P23" s="16">
        <v>47.65</v>
      </c>
    </row>
    <row r="24" spans="1:16">
      <c r="A24" s="5" t="s">
        <v>95</v>
      </c>
      <c r="B24" s="16">
        <v>7.5</v>
      </c>
      <c r="C24" s="16">
        <v>7.5</v>
      </c>
      <c r="D24" s="16">
        <v>7.5</v>
      </c>
      <c r="E24" s="16">
        <v>7.5</v>
      </c>
      <c r="F24" s="16">
        <v>7.5</v>
      </c>
      <c r="G24" s="16">
        <v>7.5</v>
      </c>
      <c r="H24" s="16">
        <v>7.5</v>
      </c>
      <c r="I24" s="16">
        <v>7.5</v>
      </c>
      <c r="J24" s="16">
        <v>7.5</v>
      </c>
      <c r="K24" s="16">
        <v>7.5</v>
      </c>
      <c r="L24" s="16">
        <v>7.5</v>
      </c>
      <c r="M24" s="16">
        <v>7.5</v>
      </c>
      <c r="N24" s="16">
        <v>7.5</v>
      </c>
      <c r="O24" s="16">
        <v>7.5</v>
      </c>
      <c r="P24" s="16">
        <v>7.5</v>
      </c>
    </row>
    <row r="25" spans="1:16">
      <c r="A25" s="5" t="s">
        <v>96</v>
      </c>
      <c r="B25" s="23"/>
      <c r="C25" s="2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  <row r="26" spans="1:16" s="29" customFormat="1">
      <c r="A26" s="27" t="s">
        <v>97</v>
      </c>
      <c r="B26" s="28">
        <f t="shared" ref="B26:N26" si="3">B18+SUM(B20:B25)</f>
        <v>26050.15</v>
      </c>
      <c r="C26" s="28">
        <f t="shared" si="3"/>
        <v>25299.27</v>
      </c>
      <c r="D26" s="28">
        <f t="shared" si="3"/>
        <v>15203.85</v>
      </c>
      <c r="E26" s="28">
        <f t="shared" si="3"/>
        <v>33595.154999999999</v>
      </c>
      <c r="F26" s="28">
        <f t="shared" si="3"/>
        <v>29781.03</v>
      </c>
      <c r="G26" s="28">
        <f t="shared" si="3"/>
        <v>31904.58</v>
      </c>
      <c r="H26" s="28">
        <f t="shared" si="3"/>
        <v>27995.72</v>
      </c>
      <c r="I26" s="28">
        <f t="shared" si="3"/>
        <v>36331.15</v>
      </c>
      <c r="J26" s="28">
        <f t="shared" si="3"/>
        <v>27469.439999999999</v>
      </c>
      <c r="K26" s="28">
        <f t="shared" si="3"/>
        <v>39616.15</v>
      </c>
      <c r="L26" s="28">
        <f t="shared" si="3"/>
        <v>22638.6</v>
      </c>
      <c r="M26" s="28">
        <f t="shared" si="3"/>
        <v>28692.75</v>
      </c>
      <c r="N26" s="28">
        <f t="shared" si="3"/>
        <v>24314.7</v>
      </c>
      <c r="O26" s="28">
        <f t="shared" ref="O26" si="4">O18+SUM(O20:O25)</f>
        <v>37676.379999999997</v>
      </c>
      <c r="P26" s="28">
        <f>P18+SUM(P20:P25)</f>
        <v>46465.15</v>
      </c>
    </row>
    <row r="28" spans="1:16">
      <c r="A28" s="5" t="s">
        <v>98</v>
      </c>
      <c r="B28" s="18">
        <v>46374</v>
      </c>
      <c r="C28" s="18">
        <v>46374</v>
      </c>
      <c r="D28" s="18">
        <v>46374</v>
      </c>
      <c r="E28" s="18">
        <v>46374</v>
      </c>
      <c r="F28" s="18">
        <v>46374</v>
      </c>
      <c r="G28" s="18">
        <v>46374</v>
      </c>
      <c r="H28" s="18">
        <v>46374</v>
      </c>
      <c r="I28" s="18">
        <v>46374</v>
      </c>
      <c r="J28" s="18">
        <v>46374</v>
      </c>
      <c r="K28" s="18">
        <v>46374</v>
      </c>
      <c r="L28" s="18">
        <v>46374</v>
      </c>
      <c r="M28" s="18">
        <v>46374</v>
      </c>
      <c r="N28" s="18">
        <v>46374</v>
      </c>
      <c r="O28" s="18">
        <v>46374</v>
      </c>
      <c r="P28" s="18">
        <v>46374</v>
      </c>
    </row>
    <row r="29" spans="1:16">
      <c r="A29" s="5" t="s">
        <v>99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>
      <c r="A30" s="5" t="s">
        <v>100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</row>
    <row r="31" spans="1:16">
      <c r="A31" s="5" t="s">
        <v>101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s="29" customFormat="1">
      <c r="A32" s="27" t="s">
        <v>102</v>
      </c>
      <c r="B32" s="30">
        <f t="shared" ref="B32:N32" si="5">B30+B31</f>
        <v>0</v>
      </c>
      <c r="C32" s="30">
        <f t="shared" si="5"/>
        <v>0</v>
      </c>
      <c r="D32" s="30">
        <f t="shared" si="5"/>
        <v>0</v>
      </c>
      <c r="E32" s="30">
        <f t="shared" si="5"/>
        <v>0</v>
      </c>
      <c r="F32" s="30">
        <f t="shared" si="5"/>
        <v>0</v>
      </c>
      <c r="G32" s="30">
        <f t="shared" si="5"/>
        <v>0</v>
      </c>
      <c r="H32" s="30">
        <f t="shared" si="5"/>
        <v>0</v>
      </c>
      <c r="I32" s="30">
        <f t="shared" si="5"/>
        <v>0</v>
      </c>
      <c r="J32" s="30">
        <f t="shared" si="5"/>
        <v>0</v>
      </c>
      <c r="K32" s="30">
        <f t="shared" si="5"/>
        <v>0</v>
      </c>
      <c r="L32" s="30">
        <f t="shared" si="5"/>
        <v>0</v>
      </c>
      <c r="M32" s="30">
        <f t="shared" si="5"/>
        <v>0</v>
      </c>
      <c r="N32" s="30">
        <f t="shared" si="5"/>
        <v>0</v>
      </c>
      <c r="O32" s="30">
        <f t="shared" ref="O32" si="6">O30+O31</f>
        <v>0</v>
      </c>
      <c r="P32" s="30">
        <f>P30+P31</f>
        <v>0</v>
      </c>
    </row>
    <row r="34" spans="1:16">
      <c r="A34" s="5" t="s">
        <v>103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>
      <c r="A35" s="5" t="s">
        <v>104</v>
      </c>
      <c r="B35" s="16">
        <f t="shared" ref="B35:N35" si="7">(B26-B34)/B11</f>
        <v>434.16916666666668</v>
      </c>
      <c r="C35" s="16">
        <f t="shared" si="7"/>
        <v>421.65449999999998</v>
      </c>
      <c r="D35" s="16">
        <f t="shared" si="7"/>
        <v>253.39750000000001</v>
      </c>
      <c r="E35" s="16">
        <f t="shared" si="7"/>
        <v>559.91925000000003</v>
      </c>
      <c r="F35" s="16">
        <f t="shared" si="7"/>
        <v>496.35049999999995</v>
      </c>
      <c r="G35" s="16">
        <f t="shared" si="7"/>
        <v>531.74300000000005</v>
      </c>
      <c r="H35" s="16">
        <f t="shared" si="7"/>
        <v>466.59533333333337</v>
      </c>
      <c r="I35" s="16">
        <f t="shared" si="7"/>
        <v>605.51916666666671</v>
      </c>
      <c r="J35" s="16">
        <f t="shared" si="7"/>
        <v>457.82399999999996</v>
      </c>
      <c r="K35" s="16">
        <f t="shared" si="7"/>
        <v>660.26916666666671</v>
      </c>
      <c r="L35" s="16">
        <f t="shared" si="7"/>
        <v>314.42499999999995</v>
      </c>
      <c r="M35" s="16">
        <f t="shared" si="7"/>
        <v>398.51041666666669</v>
      </c>
      <c r="N35" s="16">
        <f t="shared" si="7"/>
        <v>337.70416666666665</v>
      </c>
      <c r="O35" s="16">
        <f t="shared" ref="O35" si="8">(O26-O34)/O11</f>
        <v>523.28305555555551</v>
      </c>
      <c r="P35" s="16">
        <f>(P26-P34)/P11</f>
        <v>645.34930555555559</v>
      </c>
    </row>
    <row r="36" spans="1:16">
      <c r="A36" s="5" t="s">
        <v>105</v>
      </c>
      <c r="B36" s="16">
        <f t="shared" ref="B36:N36" si="9">((B26+B34)/2)*B32/12</f>
        <v>0</v>
      </c>
      <c r="C36" s="16">
        <f t="shared" si="9"/>
        <v>0</v>
      </c>
      <c r="D36" s="16">
        <f t="shared" si="9"/>
        <v>0</v>
      </c>
      <c r="E36" s="16">
        <f t="shared" si="9"/>
        <v>0</v>
      </c>
      <c r="F36" s="16">
        <f t="shared" si="9"/>
        <v>0</v>
      </c>
      <c r="G36" s="16">
        <f t="shared" si="9"/>
        <v>0</v>
      </c>
      <c r="H36" s="16">
        <f t="shared" si="9"/>
        <v>0</v>
      </c>
      <c r="I36" s="16">
        <f t="shared" si="9"/>
        <v>0</v>
      </c>
      <c r="J36" s="16">
        <f t="shared" si="9"/>
        <v>0</v>
      </c>
      <c r="K36" s="16">
        <f t="shared" si="9"/>
        <v>0</v>
      </c>
      <c r="L36" s="16">
        <f t="shared" si="9"/>
        <v>0</v>
      </c>
      <c r="M36" s="16">
        <f t="shared" si="9"/>
        <v>0</v>
      </c>
      <c r="N36" s="16">
        <f t="shared" si="9"/>
        <v>0</v>
      </c>
      <c r="O36" s="16">
        <f t="shared" ref="O36" si="10">((O26+O34)/2)*O32/12</f>
        <v>0</v>
      </c>
      <c r="P36" s="16">
        <f>((P26+P34)/2)*P32/12</f>
        <v>0</v>
      </c>
    </row>
    <row r="37" spans="1:16">
      <c r="A37" s="5" t="s">
        <v>106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</row>
    <row r="38" spans="1:16">
      <c r="A38" s="5" t="s">
        <v>107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</row>
    <row r="39" spans="1:16">
      <c r="A39" s="5" t="s">
        <v>108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</row>
    <row r="40" spans="1:16">
      <c r="A40" s="5" t="s">
        <v>109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</row>
    <row r="41" spans="1:16">
      <c r="A41" s="5" t="s">
        <v>110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</row>
    <row r="42" spans="1:16">
      <c r="A42" s="5" t="s">
        <v>111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</row>
    <row r="43" spans="1:16">
      <c r="A43" s="5" t="s">
        <v>112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</row>
    <row r="44" spans="1:16">
      <c r="A44" s="5" t="s">
        <v>113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</row>
    <row r="45" spans="1:16">
      <c r="A45" s="5" t="s">
        <v>114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  <row r="46" spans="1:16">
      <c r="A46" s="5" t="s">
        <v>115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</row>
    <row r="47" spans="1:16">
      <c r="A47" s="5" t="s">
        <v>116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</row>
    <row r="48" spans="1:16" s="29" customFormat="1">
      <c r="A48" s="27" t="s">
        <v>117</v>
      </c>
      <c r="B48" s="28">
        <f t="shared" ref="B48:N48" si="11">SUM(B35:B47)</f>
        <v>434.16916666666668</v>
      </c>
      <c r="C48" s="28">
        <f t="shared" si="11"/>
        <v>421.65449999999998</v>
      </c>
      <c r="D48" s="28">
        <f t="shared" si="11"/>
        <v>253.39750000000001</v>
      </c>
      <c r="E48" s="28">
        <f t="shared" si="11"/>
        <v>559.91925000000003</v>
      </c>
      <c r="F48" s="28">
        <f t="shared" si="11"/>
        <v>496.35049999999995</v>
      </c>
      <c r="G48" s="28">
        <f t="shared" si="11"/>
        <v>531.74300000000005</v>
      </c>
      <c r="H48" s="28">
        <f t="shared" si="11"/>
        <v>466.59533333333337</v>
      </c>
      <c r="I48" s="28">
        <f t="shared" si="11"/>
        <v>605.51916666666671</v>
      </c>
      <c r="J48" s="28">
        <f t="shared" si="11"/>
        <v>457.82399999999996</v>
      </c>
      <c r="K48" s="28">
        <f t="shared" si="11"/>
        <v>660.26916666666671</v>
      </c>
      <c r="L48" s="28">
        <f t="shared" si="11"/>
        <v>314.42499999999995</v>
      </c>
      <c r="M48" s="28">
        <f t="shared" si="11"/>
        <v>398.51041666666669</v>
      </c>
      <c r="N48" s="28">
        <f t="shared" si="11"/>
        <v>337.70416666666665</v>
      </c>
      <c r="O48" s="28">
        <f t="shared" ref="O48" si="12">SUM(O35:O47)</f>
        <v>523.28305555555551</v>
      </c>
      <c r="P48" s="28">
        <f>SUM(P35:P47)</f>
        <v>645.34930555555559</v>
      </c>
    </row>
    <row r="50" spans="1:2">
      <c r="A50" s="27" t="s">
        <v>118</v>
      </c>
      <c r="B50" s="28">
        <f>AVERAGE(B48:P48)</f>
        <v>473.78090185185187</v>
      </c>
    </row>
    <row r="52" spans="1:2">
      <c r="A52" s="7" t="s">
        <v>192</v>
      </c>
      <c r="B52" s="26"/>
    </row>
  </sheetData>
  <phoneticPr fontId="6" type="noConversion"/>
  <printOptions horizontalCentered="1"/>
  <pageMargins left="0.6" right="0.6" top="0.8" bottom="0.6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2"/>
  <sheetViews>
    <sheetView workbookViewId="0"/>
  </sheetViews>
  <sheetFormatPr defaultRowHeight="14"/>
  <cols>
    <col min="1" max="1" width="58" customWidth="1"/>
    <col min="2" max="11" width="15" customWidth="1"/>
  </cols>
  <sheetData>
    <row r="1" spans="1:11" ht="32.15" customHeight="1">
      <c r="A1" s="1" t="s">
        <v>125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>
      <c r="A2" s="7" t="s">
        <v>128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2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30" customHeight="1">
      <c r="A4" s="4" t="s">
        <v>129</v>
      </c>
      <c r="B4" s="4" t="s">
        <v>130</v>
      </c>
      <c r="C4" s="4" t="s">
        <v>131</v>
      </c>
      <c r="D4" s="4" t="s">
        <v>132</v>
      </c>
      <c r="E4" s="4" t="s">
        <v>133</v>
      </c>
      <c r="F4" s="4" t="s">
        <v>134</v>
      </c>
      <c r="G4" s="4" t="s">
        <v>135</v>
      </c>
      <c r="H4" s="4" t="s">
        <v>136</v>
      </c>
      <c r="I4" s="4" t="s">
        <v>137</v>
      </c>
      <c r="J4" s="4" t="s">
        <v>138</v>
      </c>
      <c r="K4" s="4" t="s">
        <v>139</v>
      </c>
    </row>
    <row r="5" spans="1:11" ht="21.5">
      <c r="A5" s="8" t="s">
        <v>140</v>
      </c>
      <c r="B5" s="5"/>
      <c r="C5" s="33">
        <v>0.25</v>
      </c>
      <c r="D5" s="33">
        <v>0.2</v>
      </c>
      <c r="E5" s="33">
        <v>0.2</v>
      </c>
      <c r="F5" s="33">
        <v>0.15</v>
      </c>
      <c r="G5" s="33">
        <v>0.15</v>
      </c>
      <c r="H5" s="33">
        <v>0.05</v>
      </c>
      <c r="I5" s="26"/>
      <c r="J5" s="26"/>
      <c r="K5" s="26"/>
    </row>
    <row r="6" spans="1:11">
      <c r="A6" s="5" t="s">
        <v>141</v>
      </c>
      <c r="B6" s="5" t="s">
        <v>82</v>
      </c>
      <c r="C6" s="32"/>
      <c r="D6" s="32"/>
      <c r="E6" s="32"/>
      <c r="F6" s="32"/>
      <c r="G6" s="32"/>
      <c r="H6" s="32"/>
      <c r="I6" s="16">
        <f>C6*C$5+D6*D$5+E6*E$5+F6*F$5+G6*G$5+H6*100*H$5</f>
        <v>0</v>
      </c>
      <c r="J6" s="15">
        <v>0.25</v>
      </c>
      <c r="K6" s="16">
        <f>I6*J6</f>
        <v>0</v>
      </c>
    </row>
    <row r="7" spans="1:11">
      <c r="A7" s="5" t="s">
        <v>142</v>
      </c>
      <c r="B7" s="5" t="s">
        <v>82</v>
      </c>
      <c r="C7" s="32"/>
      <c r="D7" s="32"/>
      <c r="E7" s="32"/>
      <c r="F7" s="32"/>
      <c r="G7" s="32"/>
      <c r="H7" s="32"/>
      <c r="I7" s="16">
        <f>C7*C$5+D7*D$5+E7*E$5+F7*F$5+G7*G$5+H7*100*H$5</f>
        <v>0</v>
      </c>
      <c r="J7" s="15">
        <v>0.25</v>
      </c>
      <c r="K7" s="16">
        <f>I7*J7</f>
        <v>0</v>
      </c>
    </row>
    <row r="8" spans="1:11">
      <c r="A8" s="5" t="s">
        <v>143</v>
      </c>
      <c r="B8" s="5" t="s">
        <v>83</v>
      </c>
      <c r="C8" s="32"/>
      <c r="D8" s="32"/>
      <c r="E8" s="32"/>
      <c r="F8" s="32"/>
      <c r="G8" s="32"/>
      <c r="H8" s="32"/>
      <c r="I8" s="16">
        <f>C8*C$5+D8*D$5+E8*E$5+F8*F$5+G8*G$5+H8*100*H$5</f>
        <v>0</v>
      </c>
      <c r="J8" s="15">
        <v>0.25</v>
      </c>
      <c r="K8" s="16">
        <f>I8*J8</f>
        <v>0</v>
      </c>
    </row>
    <row r="9" spans="1:11">
      <c r="A9" s="5" t="s">
        <v>144</v>
      </c>
      <c r="B9" s="5" t="s">
        <v>83</v>
      </c>
      <c r="C9" s="32"/>
      <c r="D9" s="32"/>
      <c r="E9" s="32"/>
      <c r="F9" s="32"/>
      <c r="G9" s="32"/>
      <c r="H9" s="32"/>
      <c r="I9" s="16">
        <f>C9*C$5+D9*D$5+E9*E$5+F9*F$5+G9*G$5+H9*100*H$5</f>
        <v>0</v>
      </c>
      <c r="J9" s="15">
        <v>0.25</v>
      </c>
      <c r="K9" s="16">
        <f>I9*J9</f>
        <v>0</v>
      </c>
    </row>
    <row r="10" spans="1:11">
      <c r="A10" s="25"/>
      <c r="B10" s="25"/>
      <c r="C10" s="26"/>
      <c r="D10" s="26"/>
      <c r="E10" s="26"/>
      <c r="F10" s="26"/>
      <c r="G10" s="26"/>
      <c r="H10" s="26"/>
      <c r="I10" s="26"/>
      <c r="J10" s="26"/>
      <c r="K10" s="26"/>
    </row>
    <row r="11" spans="1:11" ht="21.5">
      <c r="A11" s="8" t="s">
        <v>145</v>
      </c>
      <c r="B11" s="25"/>
      <c r="C11" s="26"/>
      <c r="D11" s="26"/>
      <c r="E11" s="26"/>
      <c r="F11" s="26"/>
      <c r="G11" s="26"/>
      <c r="H11" s="26"/>
      <c r="I11" s="26"/>
      <c r="J11" s="15">
        <f>SUM(J6:J9)</f>
        <v>1</v>
      </c>
      <c r="K11" s="17">
        <f>SUM(K6:K9)</f>
        <v>0</v>
      </c>
    </row>
    <row r="12" spans="1:11">
      <c r="A12" s="7" t="s">
        <v>146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4" spans="1:11" ht="30" customHeight="1">
      <c r="A14" s="4" t="s">
        <v>147</v>
      </c>
      <c r="B14" s="4" t="s">
        <v>148</v>
      </c>
      <c r="C14" s="4" t="s">
        <v>149</v>
      </c>
      <c r="D14" s="25"/>
      <c r="E14" s="25"/>
      <c r="F14" s="25"/>
      <c r="G14" s="25"/>
      <c r="H14" s="25"/>
      <c r="I14" s="25"/>
      <c r="J14" s="25"/>
      <c r="K14" s="25"/>
    </row>
    <row r="15" spans="1:11">
      <c r="A15" s="5" t="s">
        <v>150</v>
      </c>
      <c r="B15" s="5" t="s">
        <v>151</v>
      </c>
      <c r="C15" s="31"/>
      <c r="D15" s="25"/>
      <c r="E15" s="25"/>
      <c r="F15" s="25"/>
      <c r="G15" s="25"/>
      <c r="H15" s="25"/>
      <c r="I15" s="25"/>
      <c r="J15" s="25"/>
      <c r="K15" s="25"/>
    </row>
    <row r="16" spans="1:11">
      <c r="A16" s="5" t="s">
        <v>152</v>
      </c>
      <c r="B16" s="5" t="s">
        <v>153</v>
      </c>
      <c r="C16" s="31"/>
      <c r="D16" s="25"/>
      <c r="E16" s="25"/>
      <c r="F16" s="25"/>
      <c r="G16" s="25"/>
      <c r="H16" s="25"/>
      <c r="I16" s="25"/>
      <c r="J16" s="25"/>
      <c r="K16" s="25"/>
    </row>
    <row r="17" spans="1:3">
      <c r="A17" s="5" t="s">
        <v>154</v>
      </c>
      <c r="B17" s="5" t="s">
        <v>153</v>
      </c>
      <c r="C17" s="31"/>
    </row>
    <row r="18" spans="1:3">
      <c r="A18" s="5" t="s">
        <v>155</v>
      </c>
      <c r="B18" s="5" t="s">
        <v>153</v>
      </c>
      <c r="C18" s="31"/>
    </row>
    <row r="19" spans="1:3">
      <c r="A19" s="5" t="s">
        <v>109</v>
      </c>
      <c r="B19" s="5" t="s">
        <v>153</v>
      </c>
      <c r="C19" s="31"/>
    </row>
    <row r="20" spans="1:3">
      <c r="A20" s="5" t="s">
        <v>156</v>
      </c>
      <c r="B20" s="5" t="s">
        <v>157</v>
      </c>
      <c r="C20" s="31"/>
    </row>
    <row r="21" spans="1:3">
      <c r="A21" s="5" t="s">
        <v>158</v>
      </c>
      <c r="B21" s="5" t="s">
        <v>159</v>
      </c>
      <c r="C21" s="31"/>
    </row>
    <row r="22" spans="1:3">
      <c r="A22" s="5" t="s">
        <v>160</v>
      </c>
      <c r="B22" s="5" t="s">
        <v>159</v>
      </c>
      <c r="C22" s="31"/>
    </row>
  </sheetData>
  <printOptions horizontalCentered="1"/>
  <pageMargins left="0.6" right="0.6" top="0.8" bottom="0.6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"/>
  <sheetViews>
    <sheetView workbookViewId="0"/>
  </sheetViews>
  <sheetFormatPr defaultRowHeight="14"/>
  <cols>
    <col min="1" max="1" width="44" customWidth="1"/>
    <col min="2" max="2" width="24" customWidth="1"/>
    <col min="3" max="5" width="15" customWidth="1"/>
  </cols>
  <sheetData>
    <row r="1" spans="1:14" ht="32.15" customHeight="1">
      <c r="A1" s="1" t="s">
        <v>126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4">
      <c r="A2" s="7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4" ht="12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4" ht="30" customHeight="1">
      <c r="A4" s="4" t="s">
        <v>161</v>
      </c>
      <c r="B4" s="4" t="s">
        <v>148</v>
      </c>
      <c r="C4" s="10" t="s">
        <v>149</v>
      </c>
      <c r="D4" s="10" t="s">
        <v>122</v>
      </c>
      <c r="E4" s="10" t="s">
        <v>139</v>
      </c>
      <c r="F4" s="25"/>
      <c r="G4" s="25"/>
      <c r="H4" s="25"/>
      <c r="I4" s="25"/>
      <c r="J4" s="25"/>
      <c r="K4" s="25"/>
    </row>
    <row r="5" spans="1:14">
      <c r="A5" s="5" t="s">
        <v>162</v>
      </c>
      <c r="B5" s="5" t="s">
        <v>157</v>
      </c>
      <c r="C5" s="16">
        <v>0</v>
      </c>
      <c r="D5" s="15">
        <v>0.1</v>
      </c>
      <c r="E5" s="16">
        <f t="shared" ref="E5:E14" si="0">C5*D5</f>
        <v>0</v>
      </c>
      <c r="F5" s="25"/>
      <c r="G5" s="25"/>
      <c r="H5" s="25"/>
      <c r="I5" s="25"/>
      <c r="J5" s="25"/>
      <c r="K5" s="25"/>
      <c r="L5" s="25"/>
      <c r="M5" s="25"/>
      <c r="N5" s="25"/>
    </row>
    <row r="6" spans="1:14">
      <c r="A6" s="5" t="s">
        <v>163</v>
      </c>
      <c r="B6" s="5" t="s">
        <v>157</v>
      </c>
      <c r="C6" s="32"/>
      <c r="D6" s="15">
        <v>0.1</v>
      </c>
      <c r="E6" s="16">
        <f t="shared" si="0"/>
        <v>0</v>
      </c>
      <c r="F6" s="25"/>
      <c r="G6" s="25"/>
      <c r="H6" s="25"/>
      <c r="I6" s="25"/>
      <c r="J6" s="25"/>
      <c r="K6" s="25"/>
    </row>
    <row r="7" spans="1:14">
      <c r="A7" s="5" t="s">
        <v>191</v>
      </c>
      <c r="B7" s="5" t="s">
        <v>157</v>
      </c>
      <c r="C7" s="32"/>
      <c r="D7" s="15">
        <v>0.1</v>
      </c>
      <c r="E7" s="16">
        <f t="shared" si="0"/>
        <v>0</v>
      </c>
      <c r="F7" s="25"/>
      <c r="G7" s="25"/>
      <c r="H7" s="25"/>
      <c r="I7" s="25"/>
      <c r="J7" s="25"/>
      <c r="K7" s="25"/>
    </row>
    <row r="8" spans="1:14">
      <c r="A8" s="5" t="s">
        <v>164</v>
      </c>
      <c r="B8" s="5" t="s">
        <v>157</v>
      </c>
      <c r="C8" s="32"/>
      <c r="D8" s="15">
        <v>0.1</v>
      </c>
      <c r="E8" s="16">
        <f t="shared" si="0"/>
        <v>0</v>
      </c>
      <c r="F8" s="25"/>
      <c r="G8" s="25"/>
      <c r="H8" s="25"/>
      <c r="I8" s="25"/>
      <c r="J8" s="25"/>
      <c r="K8" s="25"/>
    </row>
    <row r="9" spans="1:14">
      <c r="A9" s="5" t="s">
        <v>165</v>
      </c>
      <c r="B9" s="5" t="s">
        <v>157</v>
      </c>
      <c r="C9" s="32"/>
      <c r="D9" s="15">
        <v>0.1</v>
      </c>
      <c r="E9" s="16">
        <f t="shared" si="0"/>
        <v>0</v>
      </c>
      <c r="F9" s="25"/>
      <c r="G9" s="25"/>
      <c r="H9" s="25"/>
      <c r="I9" s="25"/>
      <c r="J9" s="25"/>
      <c r="K9" s="25"/>
    </row>
    <row r="10" spans="1:14">
      <c r="A10" s="5" t="s">
        <v>166</v>
      </c>
      <c r="B10" s="5" t="s">
        <v>157</v>
      </c>
      <c r="C10" s="32"/>
      <c r="D10" s="15">
        <v>0.1</v>
      </c>
      <c r="E10" s="16">
        <f t="shared" si="0"/>
        <v>0</v>
      </c>
      <c r="F10" s="25"/>
      <c r="G10" s="25"/>
      <c r="H10" s="25"/>
      <c r="I10" s="25"/>
      <c r="J10" s="25"/>
      <c r="K10" s="25"/>
    </row>
    <row r="11" spans="1:14">
      <c r="A11" s="5" t="s">
        <v>167</v>
      </c>
      <c r="B11" s="5" t="s">
        <v>168</v>
      </c>
      <c r="C11" s="32"/>
      <c r="D11" s="15">
        <v>0.1</v>
      </c>
      <c r="E11" s="16">
        <f t="shared" si="0"/>
        <v>0</v>
      </c>
      <c r="F11" s="25"/>
      <c r="G11" s="25"/>
      <c r="H11" s="25"/>
      <c r="I11" s="25"/>
      <c r="J11" s="25"/>
      <c r="K11" s="25"/>
    </row>
    <row r="12" spans="1:14">
      <c r="A12" s="5" t="s">
        <v>169</v>
      </c>
      <c r="B12" s="5" t="s">
        <v>157</v>
      </c>
      <c r="C12" s="32"/>
      <c r="D12" s="15">
        <v>0.1</v>
      </c>
      <c r="E12" s="16">
        <f t="shared" si="0"/>
        <v>0</v>
      </c>
      <c r="F12" s="25"/>
      <c r="G12" s="25"/>
      <c r="H12" s="25"/>
      <c r="I12" s="25"/>
      <c r="J12" s="25"/>
      <c r="K12" s="25"/>
    </row>
    <row r="13" spans="1:14">
      <c r="A13" s="5" t="s">
        <v>170</v>
      </c>
      <c r="B13" s="5" t="s">
        <v>157</v>
      </c>
      <c r="C13" s="32"/>
      <c r="D13" s="15">
        <v>0.1</v>
      </c>
      <c r="E13" s="16">
        <f t="shared" si="0"/>
        <v>0</v>
      </c>
      <c r="F13" s="25"/>
      <c r="G13" s="25"/>
      <c r="H13" s="25"/>
      <c r="I13" s="25"/>
      <c r="J13" s="25"/>
      <c r="K13" s="25"/>
    </row>
    <row r="14" spans="1:14">
      <c r="A14" s="5" t="s">
        <v>171</v>
      </c>
      <c r="B14" s="5" t="s">
        <v>157</v>
      </c>
      <c r="C14" s="32"/>
      <c r="D14" s="15">
        <v>0.1</v>
      </c>
      <c r="E14" s="16">
        <f t="shared" si="0"/>
        <v>0</v>
      </c>
      <c r="F14" s="25"/>
      <c r="G14" s="25"/>
      <c r="H14" s="25"/>
      <c r="I14" s="25"/>
      <c r="J14" s="25"/>
      <c r="K14" s="25"/>
    </row>
    <row r="16" spans="1:14" ht="21.5">
      <c r="A16" s="8" t="s">
        <v>172</v>
      </c>
      <c r="B16" s="25"/>
      <c r="C16" s="25"/>
      <c r="D16" s="15">
        <f>SUM(D5:D14)</f>
        <v>0.99999999999999989</v>
      </c>
      <c r="E16" s="17">
        <f>SUM(E5:E14)</f>
        <v>0</v>
      </c>
      <c r="F16" s="25"/>
      <c r="G16" s="25"/>
      <c r="H16" s="25"/>
      <c r="I16" s="25"/>
      <c r="J16" s="25"/>
      <c r="K16" s="25"/>
    </row>
  </sheetData>
  <printOptions horizontalCentered="1"/>
  <pageMargins left="0.6" right="0.6" top="0.8" bottom="0.6" header="0.5" footer="0.5"/>
  <pageSetup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7"/>
  <sheetViews>
    <sheetView workbookViewId="0"/>
  </sheetViews>
  <sheetFormatPr defaultRowHeight="14"/>
  <cols>
    <col min="1" max="1" width="46" customWidth="1"/>
    <col min="2" max="2" width="38" customWidth="1"/>
    <col min="3" max="3" width="22" customWidth="1"/>
  </cols>
  <sheetData>
    <row r="1" spans="1:3" ht="32.15" customHeight="1">
      <c r="A1" s="1" t="s">
        <v>173</v>
      </c>
      <c r="B1" s="25"/>
      <c r="C1" s="25"/>
    </row>
    <row r="2" spans="1:3">
      <c r="A2" s="7" t="s">
        <v>174</v>
      </c>
      <c r="B2" s="25"/>
      <c r="C2" s="25"/>
    </row>
    <row r="3" spans="1:3" ht="12" customHeight="1">
      <c r="A3" s="25"/>
      <c r="B3" s="25"/>
      <c r="C3" s="25"/>
    </row>
    <row r="4" spans="1:3" ht="30" customHeight="1">
      <c r="A4" s="4" t="s">
        <v>14</v>
      </c>
      <c r="B4" s="4" t="s">
        <v>148</v>
      </c>
      <c r="C4" s="10" t="s">
        <v>175</v>
      </c>
    </row>
    <row r="5" spans="1:3">
      <c r="A5" s="5" t="s">
        <v>176</v>
      </c>
      <c r="B5" s="5" t="s">
        <v>177</v>
      </c>
      <c r="C5" s="21"/>
    </row>
    <row r="6" spans="1:3">
      <c r="A6" s="5" t="s">
        <v>178</v>
      </c>
      <c r="B6" s="5" t="s">
        <v>179</v>
      </c>
      <c r="C6" s="35"/>
    </row>
    <row r="7" spans="1:3">
      <c r="A7" s="5" t="s">
        <v>180</v>
      </c>
      <c r="B7" s="5" t="s">
        <v>181</v>
      </c>
      <c r="C7" s="32"/>
    </row>
    <row r="8" spans="1:3">
      <c r="A8" s="5" t="s">
        <v>182</v>
      </c>
      <c r="B8" s="5" t="s">
        <v>181</v>
      </c>
      <c r="C8" s="32"/>
    </row>
    <row r="9" spans="1:3">
      <c r="A9" s="5" t="s">
        <v>183</v>
      </c>
      <c r="B9" s="5" t="s">
        <v>181</v>
      </c>
      <c r="C9" s="32"/>
    </row>
    <row r="10" spans="1:3">
      <c r="A10" s="5" t="s">
        <v>184</v>
      </c>
      <c r="B10" s="5" t="s">
        <v>181</v>
      </c>
      <c r="C10" s="32"/>
    </row>
    <row r="11" spans="1:3">
      <c r="A11" s="5" t="s">
        <v>185</v>
      </c>
      <c r="B11" s="5" t="s">
        <v>181</v>
      </c>
      <c r="C11" s="32"/>
    </row>
    <row r="12" spans="1:3">
      <c r="A12" s="5" t="s">
        <v>186</v>
      </c>
      <c r="B12" s="5" t="s">
        <v>181</v>
      </c>
      <c r="C12" s="32"/>
    </row>
    <row r="13" spans="1:3">
      <c r="A13" s="5" t="s">
        <v>113</v>
      </c>
      <c r="B13" s="5" t="s">
        <v>181</v>
      </c>
      <c r="C13" s="32"/>
    </row>
    <row r="14" spans="1:3">
      <c r="A14" s="5" t="s">
        <v>115</v>
      </c>
      <c r="B14" s="5" t="s">
        <v>181</v>
      </c>
      <c r="C14" s="32"/>
    </row>
    <row r="15" spans="1:3">
      <c r="A15" s="5" t="s">
        <v>114</v>
      </c>
      <c r="B15" s="5" t="s">
        <v>181</v>
      </c>
      <c r="C15" s="32"/>
    </row>
    <row r="16" spans="1:3">
      <c r="A16" s="5" t="s">
        <v>187</v>
      </c>
      <c r="B16" s="5" t="s">
        <v>181</v>
      </c>
      <c r="C16" s="32"/>
    </row>
    <row r="17" spans="1:3">
      <c r="A17" s="5" t="s">
        <v>188</v>
      </c>
      <c r="B17" s="5" t="s">
        <v>181</v>
      </c>
      <c r="C17" s="32"/>
    </row>
  </sheetData>
  <printOptions horizontalCentered="1"/>
  <pageMargins left="0.6" right="0.6" top="0.8" bottom="0.6" header="0.5" footer="0.5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4cd63c-575b-4a2e-86b2-e6c6e798d22d" xsi:nil="true"/>
    <lcf76f155ced4ddcb4097134ff3c332f xmlns="52992feb-35a3-4a19-99e6-cdf0d3e12d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B535F3642664D8BE755D1273F478B" ma:contentTypeVersion="12" ma:contentTypeDescription="Een nieuw document maken." ma:contentTypeScope="" ma:versionID="ff32cdd1c315df7794d93f16aa07e6c8">
  <xsd:schema xmlns:xsd="http://www.w3.org/2001/XMLSchema" xmlns:xs="http://www.w3.org/2001/XMLSchema" xmlns:p="http://schemas.microsoft.com/office/2006/metadata/properties" xmlns:ns2="52992feb-35a3-4a19-99e6-cdf0d3e12d33" xmlns:ns3="ab4cd63c-575b-4a2e-86b2-e6c6e798d22d" targetNamespace="http://schemas.microsoft.com/office/2006/metadata/properties" ma:root="true" ma:fieldsID="32e83b7ae75577126421977eaffe6a15" ns2:_="" ns3:_="">
    <xsd:import namespace="52992feb-35a3-4a19-99e6-cdf0d3e12d33"/>
    <xsd:import namespace="ab4cd63c-575b-4a2e-86b2-e6c6e798d2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92feb-35a3-4a19-99e6-cdf0d3e12d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a393e3-9b34-41e2-bf09-6a5b254eda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cd63c-575b-4a2e-86b2-e6c6e798d22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d3adff-73bb-4ed4-a69e-2793781fe657}" ma:internalName="TaxCatchAll" ma:showField="CatchAllData" ma:web="ab4cd63c-575b-4a2e-86b2-e6c6e798d2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EA0196-6312-48CA-9F80-6B54E1E456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8A8274-6F36-4ABC-9FF9-D1738AA52D9E}">
  <ds:schemaRefs>
    <ds:schemaRef ds:uri="http://schemas.microsoft.com/office/2006/metadata/properties"/>
    <ds:schemaRef ds:uri="http://schemas.microsoft.com/office/infopath/2007/PartnerControls"/>
    <ds:schemaRef ds:uri="ab4cd63c-575b-4a2e-86b2-e6c6e798d22d"/>
    <ds:schemaRef ds:uri="52992feb-35a3-4a19-99e6-cdf0d3e12d33"/>
  </ds:schemaRefs>
</ds:datastoreItem>
</file>

<file path=customXml/itemProps3.xml><?xml version="1.0" encoding="utf-8"?>
<ds:datastoreItem xmlns:ds="http://schemas.openxmlformats.org/officeDocument/2006/customXml" ds:itemID="{BFF2EA20-AB6A-4C2B-AF08-AC80FFEF7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992feb-35a3-4a19-99e6-cdf0d3e12d33"/>
    <ds:schemaRef ds:uri="ab4cd63c-575b-4a2e-86b2-e6c6e798d2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Toelichting</vt:lpstr>
      <vt:lpstr>Totaal prijs</vt:lpstr>
      <vt:lpstr>P1 Leasetarieven</vt:lpstr>
      <vt:lpstr>P2 Huurtarieven</vt:lpstr>
      <vt:lpstr>P3 Overige kosten</vt:lpstr>
      <vt:lpstr>P4 Vaste componenten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Kooger, Simon</cp:lastModifiedBy>
  <cp:revision/>
  <dcterms:created xsi:type="dcterms:W3CDTF">2026-10-21T11:11:27Z</dcterms:created>
  <dcterms:modified xsi:type="dcterms:W3CDTF">2026-11-05T12:48:01Z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0x0101004C7B535F3642664D8BE755D1273F478B</vt:lpwstr>
  </property>
  <property fmtid="{D5CDD505-2E9C-101B-9397-08002B2CF9AE}" pid="3" name="MediaServiceImageTags">
    <vt:lpwstr/>
  </property>
</Properties>
</file>