
<file path=[Content_Types].xml><?xml version="1.0" encoding="utf-8"?>
<Types xmlns="http://schemas.openxmlformats.org/package/2006/content-type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omments1.xml" ContentType="application/vnd.openxmlformats-officedocument.spreadsheetml.comments+xml"/>
  <Override PartName="/xl/threadedComments/threadedComment1.xml" ContentType="application/vnd.ms-excel.threadedcomments+xml"/>
  <Override PartName="/xl/persons/person.xml" ContentType="application/vnd.ms-excel.person+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430"/>
  <workbookPr defaultThemeVersion="166925"/>
  <mc:AlternateContent xmlns:mc="http://schemas.openxmlformats.org/markup-compatibility/2006">
    <mc:Choice Requires="x15">
      <x15ac:absPath xmlns:x15ac="http://schemas.microsoft.com/office/spreadsheetml/2010/11/ac" url="https://utrechtcloud.sharepoint.com/sites/Project-Merwedekanaalzone_SBIMHINZAMPR/Gedeelde documenten/Merwede/Aanbesteding inpandige perscontainers/02. Aanbestedingsstukken/Prijzenblad/"/>
    </mc:Choice>
  </mc:AlternateContent>
  <xr:revisionPtr revIDLastSave="1708" documentId="8_{B9B8D34E-B9EA-4A8A-B415-E27AE094784A}" xr6:coauthVersionLast="47" xr6:coauthVersionMax="47" xr10:uidLastSave="{4523C93E-63BA-40C5-A3CC-833947470B8E}"/>
  <bookViews>
    <workbookView xWindow="-38520" yWindow="-900" windowWidth="38640" windowHeight="21120" activeTab="1" xr2:uid="{00000000-000D-0000-FFFF-FFFF00000000}"/>
  </bookViews>
  <sheets>
    <sheet name="Instructies" sheetId="2" r:id="rId1"/>
    <sheet name="Prijzenblad" sheetId="5" r:id="rId2"/>
    <sheet name="Prijzenblad incl alle BA" sheetId="1" state="hidden" r:id="rId3"/>
    <sheet name="Max capaciteit" sheetId="4" state="hidden" r:id="rId4"/>
    <sheet name="Bedrijfsafval" sheetId="3" state="hidden" r:id="rId5"/>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calcChain.xml><?xml version="1.0" encoding="utf-8"?>
<calcChain xmlns="http://schemas.openxmlformats.org/spreadsheetml/2006/main">
  <c r="AI39" i="5" l="1"/>
  <c r="C22" i="5"/>
  <c r="T3" i="4"/>
  <c r="AD49" i="5"/>
  <c r="AD50" i="5"/>
  <c r="AD51" i="5"/>
  <c r="AD52" i="5"/>
  <c r="AD53" i="5"/>
  <c r="AD54" i="5"/>
  <c r="AD55" i="5"/>
  <c r="AD56" i="5"/>
  <c r="AD58" i="5"/>
  <c r="AD59" i="5"/>
  <c r="AD60" i="5"/>
  <c r="AD61" i="5"/>
  <c r="AC49" i="5"/>
  <c r="AC50" i="5"/>
  <c r="AC51" i="5"/>
  <c r="AC52" i="5"/>
  <c r="AC53" i="5"/>
  <c r="AC54" i="5"/>
  <c r="AC55" i="5"/>
  <c r="AC56" i="5"/>
  <c r="AC58" i="5"/>
  <c r="AC59" i="5"/>
  <c r="AC60" i="5"/>
  <c r="AC61" i="5"/>
  <c r="AD48" i="5"/>
  <c r="AC48" i="5"/>
  <c r="Z60" i="5"/>
  <c r="Z61" i="5"/>
  <c r="Z57" i="5"/>
  <c r="Z58" i="5"/>
  <c r="Z59" i="5"/>
  <c r="Z48" i="5"/>
  <c r="Z49" i="5"/>
  <c r="Z50" i="5"/>
  <c r="Z51" i="5"/>
  <c r="Z52" i="5"/>
  <c r="Z53" i="5"/>
  <c r="Z54" i="5"/>
  <c r="Z55" i="5"/>
  <c r="Z56" i="5"/>
  <c r="P6" i="4"/>
  <c r="H4" i="4"/>
  <c r="H5" i="4"/>
  <c r="H6" i="4"/>
  <c r="H7" i="4"/>
  <c r="H10" i="4"/>
  <c r="H11" i="4"/>
  <c r="H13" i="4"/>
  <c r="H14" i="4"/>
  <c r="H15" i="4"/>
  <c r="H16" i="4"/>
  <c r="H2" i="4"/>
  <c r="Q3" i="4"/>
  <c r="Q6" i="4"/>
  <c r="Q8" i="4"/>
  <c r="Q16" i="4"/>
  <c r="D71" i="5"/>
  <c r="D67" i="5"/>
  <c r="D65" i="5"/>
  <c r="D50" i="5"/>
  <c r="D46" i="5"/>
  <c r="D44" i="5"/>
  <c r="D23" i="1"/>
  <c r="D25" i="1"/>
  <c r="D28" i="1"/>
  <c r="D29" i="1"/>
  <c r="B16" i="4"/>
  <c r="N77" i="5"/>
  <c r="L77" i="5"/>
  <c r="M77" i="5" s="1"/>
  <c r="K77" i="5"/>
  <c r="E77" i="5"/>
  <c r="C77" i="5"/>
  <c r="N76" i="5"/>
  <c r="L76" i="5"/>
  <c r="M76" i="5" s="1"/>
  <c r="K76" i="5"/>
  <c r="E76" i="5"/>
  <c r="C76" i="5"/>
  <c r="N75" i="5"/>
  <c r="L75" i="5"/>
  <c r="M75" i="5" s="1"/>
  <c r="K75" i="5"/>
  <c r="E75" i="5"/>
  <c r="C75" i="5"/>
  <c r="N74" i="5"/>
  <c r="L74" i="5"/>
  <c r="M74" i="5" s="1"/>
  <c r="K74" i="5"/>
  <c r="E74" i="5"/>
  <c r="C74" i="5"/>
  <c r="N73" i="5"/>
  <c r="L73" i="5"/>
  <c r="M73" i="5" s="1"/>
  <c r="K73" i="5"/>
  <c r="E73" i="5"/>
  <c r="C73" i="5"/>
  <c r="N72" i="5"/>
  <c r="L72" i="5"/>
  <c r="M72" i="5" s="1"/>
  <c r="K72" i="5"/>
  <c r="E72" i="5"/>
  <c r="C72" i="5"/>
  <c r="N71" i="5"/>
  <c r="L71" i="5"/>
  <c r="M71" i="5" s="1"/>
  <c r="K71" i="5"/>
  <c r="E71" i="5"/>
  <c r="C71" i="5"/>
  <c r="N70" i="5"/>
  <c r="L70" i="5"/>
  <c r="M70" i="5" s="1"/>
  <c r="K70" i="5"/>
  <c r="E70" i="5"/>
  <c r="C70" i="5"/>
  <c r="N69" i="5"/>
  <c r="L69" i="5"/>
  <c r="M69" i="5" s="1"/>
  <c r="K69" i="5"/>
  <c r="E69" i="5"/>
  <c r="C69" i="5"/>
  <c r="N68" i="5"/>
  <c r="L68" i="5"/>
  <c r="M68" i="5" s="1"/>
  <c r="K68" i="5"/>
  <c r="E68" i="5"/>
  <c r="C68" i="5"/>
  <c r="N67" i="5"/>
  <c r="L67" i="5"/>
  <c r="M67" i="5" s="1"/>
  <c r="K67" i="5"/>
  <c r="E67" i="5"/>
  <c r="C67" i="5"/>
  <c r="N66" i="5"/>
  <c r="L66" i="5"/>
  <c r="M66" i="5" s="1"/>
  <c r="K66" i="5"/>
  <c r="E66" i="5"/>
  <c r="C66" i="5"/>
  <c r="N65" i="5"/>
  <c r="L65" i="5"/>
  <c r="M65" i="5" s="1"/>
  <c r="K65" i="5"/>
  <c r="E65" i="5"/>
  <c r="C65" i="5"/>
  <c r="N64" i="5"/>
  <c r="L64" i="5"/>
  <c r="M64" i="5" s="1"/>
  <c r="K64" i="5"/>
  <c r="E64" i="5"/>
  <c r="C64" i="5"/>
  <c r="N63" i="5"/>
  <c r="L63" i="5"/>
  <c r="M63" i="5" s="1"/>
  <c r="K63" i="5"/>
  <c r="E63" i="5"/>
  <c r="D63" i="5"/>
  <c r="G63" i="5" s="1"/>
  <c r="O63" i="5" s="1"/>
  <c r="P63" i="5" s="1"/>
  <c r="Q63" i="5" s="1"/>
  <c r="R63" i="5" s="1"/>
  <c r="C63" i="5"/>
  <c r="N62" i="5"/>
  <c r="L62" i="5"/>
  <c r="M62" i="5" s="1"/>
  <c r="M78" i="5" s="1"/>
  <c r="K62" i="5"/>
  <c r="D62" i="5"/>
  <c r="C62" i="5"/>
  <c r="N56" i="5"/>
  <c r="L56" i="5"/>
  <c r="M56" i="5" s="1"/>
  <c r="K56" i="5"/>
  <c r="F56" i="5"/>
  <c r="E56" i="5"/>
  <c r="C56" i="5"/>
  <c r="N55" i="5"/>
  <c r="L55" i="5"/>
  <c r="M55" i="5" s="1"/>
  <c r="K55" i="5"/>
  <c r="F55" i="5"/>
  <c r="E55" i="5"/>
  <c r="C55" i="5"/>
  <c r="N54" i="5"/>
  <c r="L54" i="5"/>
  <c r="M54" i="5" s="1"/>
  <c r="K54" i="5"/>
  <c r="F54" i="5"/>
  <c r="E54" i="5"/>
  <c r="C54" i="5"/>
  <c r="N53" i="5"/>
  <c r="L53" i="5"/>
  <c r="M53" i="5" s="1"/>
  <c r="K53" i="5"/>
  <c r="F53" i="5"/>
  <c r="E53" i="5"/>
  <c r="C53" i="5"/>
  <c r="N52" i="5"/>
  <c r="L52" i="5"/>
  <c r="M52" i="5" s="1"/>
  <c r="K52" i="5"/>
  <c r="F52" i="5"/>
  <c r="E52" i="5"/>
  <c r="C52" i="5"/>
  <c r="N51" i="5"/>
  <c r="L51" i="5"/>
  <c r="M51" i="5" s="1"/>
  <c r="K51" i="5"/>
  <c r="F51" i="5"/>
  <c r="E51" i="5"/>
  <c r="C51" i="5"/>
  <c r="N50" i="5"/>
  <c r="L50" i="5"/>
  <c r="M50" i="5" s="1"/>
  <c r="K50" i="5"/>
  <c r="F50" i="5"/>
  <c r="E50" i="5"/>
  <c r="C50" i="5"/>
  <c r="N49" i="5"/>
  <c r="L49" i="5"/>
  <c r="M49" i="5" s="1"/>
  <c r="K49" i="5"/>
  <c r="F49" i="5"/>
  <c r="C49" i="5"/>
  <c r="N48" i="5"/>
  <c r="L48" i="5"/>
  <c r="M48" i="5" s="1"/>
  <c r="K48" i="5"/>
  <c r="F48" i="5"/>
  <c r="C48" i="5"/>
  <c r="N47" i="5"/>
  <c r="L47" i="5"/>
  <c r="M47" i="5" s="1"/>
  <c r="K47" i="5"/>
  <c r="F47" i="5"/>
  <c r="C47" i="5"/>
  <c r="N46" i="5"/>
  <c r="L46" i="5"/>
  <c r="M46" i="5" s="1"/>
  <c r="K46" i="5"/>
  <c r="J46" i="5"/>
  <c r="J47" i="5" s="1"/>
  <c r="F46" i="5"/>
  <c r="C46" i="5"/>
  <c r="N45" i="5"/>
  <c r="L45" i="5"/>
  <c r="M45" i="5" s="1"/>
  <c r="K45" i="5"/>
  <c r="F45" i="5"/>
  <c r="C45" i="5"/>
  <c r="N44" i="5"/>
  <c r="L44" i="5"/>
  <c r="M44" i="5" s="1"/>
  <c r="K44" i="5"/>
  <c r="F44" i="5"/>
  <c r="C44" i="5"/>
  <c r="Z43" i="5"/>
  <c r="N43" i="5"/>
  <c r="L43" i="5"/>
  <c r="M43" i="5" s="1"/>
  <c r="K43" i="5"/>
  <c r="F43" i="5"/>
  <c r="C43" i="5"/>
  <c r="Z42" i="5"/>
  <c r="N42" i="5"/>
  <c r="L42" i="5"/>
  <c r="M42" i="5" s="1"/>
  <c r="K42" i="5"/>
  <c r="F42" i="5"/>
  <c r="E42" i="5"/>
  <c r="E43" i="5" s="1"/>
  <c r="E44" i="5" s="1"/>
  <c r="E45" i="5" s="1"/>
  <c r="E46" i="5" s="1"/>
  <c r="D42" i="5"/>
  <c r="G42" i="5" s="1"/>
  <c r="O42" i="5" s="1"/>
  <c r="P42" i="5" s="1"/>
  <c r="Q42" i="5" s="1"/>
  <c r="R42" i="5" s="1"/>
  <c r="C42" i="5"/>
  <c r="Y41" i="5"/>
  <c r="Z41" i="5" s="1"/>
  <c r="N41" i="5"/>
  <c r="L41" i="5"/>
  <c r="M41" i="5" s="1"/>
  <c r="M57" i="5" s="1"/>
  <c r="K41" i="5"/>
  <c r="F41" i="5"/>
  <c r="D41" i="5"/>
  <c r="C41" i="5"/>
  <c r="AB40" i="5"/>
  <c r="AG35" i="5"/>
  <c r="AE35" i="5"/>
  <c r="AD35" i="5"/>
  <c r="AJ35" i="5" s="1"/>
  <c r="N35" i="5"/>
  <c r="L35" i="5"/>
  <c r="M35" i="5" s="1"/>
  <c r="K35" i="5"/>
  <c r="F35" i="5"/>
  <c r="E35" i="5"/>
  <c r="G35" i="5"/>
  <c r="O35" i="5" s="1"/>
  <c r="P35" i="5" s="1"/>
  <c r="Q35" i="5" s="1"/>
  <c r="R35" i="5" s="1"/>
  <c r="C35" i="5"/>
  <c r="AG34" i="5"/>
  <c r="AE34" i="5"/>
  <c r="AD34" i="5"/>
  <c r="AJ34" i="5" s="1"/>
  <c r="N34" i="5"/>
  <c r="L34" i="5"/>
  <c r="M34" i="5" s="1"/>
  <c r="K34" i="5"/>
  <c r="F34" i="5"/>
  <c r="E34" i="5"/>
  <c r="G34" i="5"/>
  <c r="O34" i="5" s="1"/>
  <c r="P34" i="5" s="1"/>
  <c r="Q34" i="5" s="1"/>
  <c r="R34" i="5" s="1"/>
  <c r="C34" i="5"/>
  <c r="AG33" i="5"/>
  <c r="AE33" i="5"/>
  <c r="AD33" i="5"/>
  <c r="AJ33" i="5" s="1"/>
  <c r="N33" i="5"/>
  <c r="L33" i="5"/>
  <c r="M33" i="5" s="1"/>
  <c r="K33" i="5"/>
  <c r="F33" i="5"/>
  <c r="E33" i="5"/>
  <c r="G33" i="5"/>
  <c r="O33" i="5" s="1"/>
  <c r="P33" i="5" s="1"/>
  <c r="Q33" i="5" s="1"/>
  <c r="R33" i="5" s="1"/>
  <c r="C33" i="5"/>
  <c r="AG32" i="5"/>
  <c r="AE32" i="5"/>
  <c r="AD32" i="5"/>
  <c r="AJ32" i="5" s="1"/>
  <c r="N32" i="5"/>
  <c r="L32" i="5"/>
  <c r="M32" i="5" s="1"/>
  <c r="K32" i="5"/>
  <c r="F32" i="5"/>
  <c r="E32" i="5"/>
  <c r="C32" i="5"/>
  <c r="AG31" i="5"/>
  <c r="AE31" i="5"/>
  <c r="AD31" i="5"/>
  <c r="AJ31" i="5" s="1"/>
  <c r="N31" i="5"/>
  <c r="L31" i="5"/>
  <c r="M31" i="5" s="1"/>
  <c r="K31" i="5"/>
  <c r="F31" i="5"/>
  <c r="E31" i="5"/>
  <c r="G31" i="5"/>
  <c r="O31" i="5" s="1"/>
  <c r="P31" i="5" s="1"/>
  <c r="Q31" i="5" s="1"/>
  <c r="R31" i="5" s="1"/>
  <c r="C31" i="5"/>
  <c r="AG30" i="5"/>
  <c r="AE30" i="5"/>
  <c r="AD30" i="5"/>
  <c r="AJ30" i="5" s="1"/>
  <c r="N30" i="5"/>
  <c r="L30" i="5"/>
  <c r="M30" i="5" s="1"/>
  <c r="K30" i="5"/>
  <c r="F30" i="5"/>
  <c r="E30" i="5"/>
  <c r="G30" i="5"/>
  <c r="O30" i="5" s="1"/>
  <c r="P30" i="5" s="1"/>
  <c r="Q30" i="5" s="1"/>
  <c r="R30" i="5" s="1"/>
  <c r="C30" i="5"/>
  <c r="AG29" i="5"/>
  <c r="AR29" i="5" s="1"/>
  <c r="G71" i="5" s="1"/>
  <c r="O71" i="5" s="1"/>
  <c r="P71" i="5" s="1"/>
  <c r="Q71" i="5" s="1"/>
  <c r="R71" i="5" s="1"/>
  <c r="AE29" i="5"/>
  <c r="AP29" i="5" s="1"/>
  <c r="G50" i="5" s="1"/>
  <c r="O50" i="5" s="1"/>
  <c r="P50" i="5" s="1"/>
  <c r="Q50" i="5" s="1"/>
  <c r="R50" i="5" s="1"/>
  <c r="AD29" i="5"/>
  <c r="AJ29" i="5" s="1"/>
  <c r="N29" i="5"/>
  <c r="L29" i="5"/>
  <c r="M29" i="5" s="1"/>
  <c r="K29" i="5"/>
  <c r="F29" i="5"/>
  <c r="E29" i="5"/>
  <c r="C29" i="5"/>
  <c r="AQ28" i="5"/>
  <c r="AO28" i="5"/>
  <c r="D49" i="5" s="1"/>
  <c r="AI28" i="5"/>
  <c r="AB28" i="5"/>
  <c r="AA28" i="5"/>
  <c r="N28" i="5"/>
  <c r="L28" i="5"/>
  <c r="M28" i="5" s="1"/>
  <c r="K28" i="5"/>
  <c r="F28" i="5"/>
  <c r="E28" i="5"/>
  <c r="C28" i="5"/>
  <c r="AG27" i="5"/>
  <c r="AE27" i="5"/>
  <c r="AD27" i="5"/>
  <c r="AJ27" i="5" s="1"/>
  <c r="N27" i="5"/>
  <c r="L27" i="5"/>
  <c r="M27" i="5" s="1"/>
  <c r="K27" i="5"/>
  <c r="O27" i="5" s="1"/>
  <c r="P27" i="5" s="1"/>
  <c r="Q27" i="5" s="1"/>
  <c r="F27" i="5"/>
  <c r="E27" i="5"/>
  <c r="G27" i="5" s="1"/>
  <c r="C27" i="5"/>
  <c r="AG26" i="5"/>
  <c r="AE26" i="5"/>
  <c r="AD26" i="5"/>
  <c r="AJ26" i="5" s="1"/>
  <c r="N26" i="5"/>
  <c r="L26" i="5"/>
  <c r="M26" i="5" s="1"/>
  <c r="K26" i="5"/>
  <c r="E26" i="5"/>
  <c r="G26" i="5"/>
  <c r="O26" i="5" s="1"/>
  <c r="P26" i="5" s="1"/>
  <c r="Q26" i="5" s="1"/>
  <c r="R26" i="5" s="1"/>
  <c r="C26" i="5"/>
  <c r="AB25" i="5"/>
  <c r="N25" i="5"/>
  <c r="L25" i="5"/>
  <c r="M25" i="5" s="1"/>
  <c r="K25" i="5"/>
  <c r="F25" i="5"/>
  <c r="E25" i="5"/>
  <c r="C25" i="5"/>
  <c r="AG24" i="5"/>
  <c r="AE24" i="5"/>
  <c r="AD24" i="5"/>
  <c r="AJ24" i="5" s="1"/>
  <c r="N24" i="5"/>
  <c r="L24" i="5"/>
  <c r="M24" i="5" s="1"/>
  <c r="K24" i="5"/>
  <c r="F24" i="5"/>
  <c r="E24" i="5"/>
  <c r="G24" i="5"/>
  <c r="O24" i="5" s="1"/>
  <c r="P24" i="5" s="1"/>
  <c r="Q24" i="5" s="1"/>
  <c r="R24" i="5" s="1"/>
  <c r="C24" i="5"/>
  <c r="AG23" i="5"/>
  <c r="AR23" i="5" s="1"/>
  <c r="G65" i="5" s="1"/>
  <c r="O65" i="5" s="1"/>
  <c r="P65" i="5" s="1"/>
  <c r="Q65" i="5" s="1"/>
  <c r="R65" i="5" s="1"/>
  <c r="AE23" i="5"/>
  <c r="AP23" i="5" s="1"/>
  <c r="G44" i="5" s="1"/>
  <c r="O44" i="5" s="1"/>
  <c r="P44" i="5" s="1"/>
  <c r="Q44" i="5" s="1"/>
  <c r="R44" i="5" s="1"/>
  <c r="AD23" i="5"/>
  <c r="AJ23" i="5" s="1"/>
  <c r="N23" i="5"/>
  <c r="L23" i="5"/>
  <c r="M23" i="5" s="1"/>
  <c r="K23" i="5"/>
  <c r="F23" i="5"/>
  <c r="E23" i="5"/>
  <c r="G23" i="5"/>
  <c r="C23" i="5"/>
  <c r="AG22" i="5"/>
  <c r="AE22" i="5"/>
  <c r="AD22" i="5"/>
  <c r="AJ22" i="5" s="1"/>
  <c r="N22" i="5"/>
  <c r="L22" i="5"/>
  <c r="M22" i="5" s="1"/>
  <c r="K22" i="5"/>
  <c r="F22" i="5"/>
  <c r="E22" i="5"/>
  <c r="AG21" i="5"/>
  <c r="AH21" i="5" s="1"/>
  <c r="AE21" i="5"/>
  <c r="AF21" i="5" s="1"/>
  <c r="AD21" i="5"/>
  <c r="AJ21" i="5" s="1"/>
  <c r="N21" i="5"/>
  <c r="L21" i="5"/>
  <c r="M21" i="5" s="1"/>
  <c r="K21" i="5"/>
  <c r="F21" i="5"/>
  <c r="E21" i="5"/>
  <c r="G21" i="5"/>
  <c r="O21" i="5" s="1"/>
  <c r="P21" i="5" s="1"/>
  <c r="Q21" i="5" s="1"/>
  <c r="R21" i="5" s="1"/>
  <c r="C21" i="5"/>
  <c r="AG20" i="5"/>
  <c r="AH20" i="5" s="1"/>
  <c r="AE20" i="5"/>
  <c r="AF20" i="5" s="1"/>
  <c r="AD20" i="5"/>
  <c r="AJ20" i="5" s="1"/>
  <c r="N20" i="5"/>
  <c r="L20" i="5"/>
  <c r="M20" i="5" s="1"/>
  <c r="K20" i="5"/>
  <c r="F20" i="5"/>
  <c r="G20" i="5"/>
  <c r="C20" i="5"/>
  <c r="O16" i="4"/>
  <c r="S16" i="4" s="1"/>
  <c r="T16" i="4" s="1"/>
  <c r="D16" i="4"/>
  <c r="O3" i="4"/>
  <c r="O4" i="4"/>
  <c r="O5" i="4"/>
  <c r="O6" i="4"/>
  <c r="O7" i="4"/>
  <c r="O8" i="4"/>
  <c r="O9" i="4"/>
  <c r="O10" i="4"/>
  <c r="O11" i="4"/>
  <c r="O12" i="4"/>
  <c r="O13" i="4"/>
  <c r="O14" i="4"/>
  <c r="O15" i="4"/>
  <c r="O2" i="4"/>
  <c r="B5" i="4"/>
  <c r="B7" i="4"/>
  <c r="B9" i="4"/>
  <c r="B10" i="4"/>
  <c r="B11" i="4"/>
  <c r="B13" i="4"/>
  <c r="B14" i="4"/>
  <c r="B15" i="4"/>
  <c r="B4" i="4"/>
  <c r="B2" i="4"/>
  <c r="U3" i="4"/>
  <c r="U9" i="4"/>
  <c r="U12" i="4"/>
  <c r="D22" i="4"/>
  <c r="D21" i="4"/>
  <c r="E12" i="3"/>
  <c r="E13" i="3"/>
  <c r="E14" i="3"/>
  <c r="E15" i="3"/>
  <c r="E16" i="3"/>
  <c r="E17" i="3"/>
  <c r="E18" i="3"/>
  <c r="E11" i="3"/>
  <c r="E10" i="3"/>
  <c r="E52" i="1"/>
  <c r="E53" i="1"/>
  <c r="E54" i="1"/>
  <c r="E55" i="1"/>
  <c r="E56" i="1"/>
  <c r="E57" i="1"/>
  <c r="E58" i="1"/>
  <c r="E51" i="1"/>
  <c r="E66" i="1"/>
  <c r="E67" i="1"/>
  <c r="E68" i="1"/>
  <c r="E69" i="1"/>
  <c r="E70" i="1"/>
  <c r="E71" i="1"/>
  <c r="E72" i="1"/>
  <c r="E73" i="1"/>
  <c r="E74" i="1"/>
  <c r="E75" i="1"/>
  <c r="E76" i="1"/>
  <c r="E77" i="1"/>
  <c r="E78" i="1"/>
  <c r="E79" i="1"/>
  <c r="E80" i="1"/>
  <c r="E65" i="1"/>
  <c r="K29" i="1"/>
  <c r="L29" i="1"/>
  <c r="M29" i="1"/>
  <c r="N29" i="1"/>
  <c r="C29" i="1"/>
  <c r="AO28" i="1"/>
  <c r="AM28" i="1"/>
  <c r="AG28" i="1"/>
  <c r="AA28" i="1"/>
  <c r="AB28" i="1"/>
  <c r="AB25" i="1"/>
  <c r="F2" i="3"/>
  <c r="F3" i="3"/>
  <c r="F4" i="3"/>
  <c r="F5" i="3"/>
  <c r="F6" i="3"/>
  <c r="F7" i="3"/>
  <c r="F8" i="3"/>
  <c r="F9" i="3"/>
  <c r="F10" i="3"/>
  <c r="F11" i="3"/>
  <c r="F12" i="3"/>
  <c r="F13" i="3"/>
  <c r="F14" i="3"/>
  <c r="F15" i="3"/>
  <c r="F16" i="3"/>
  <c r="F17" i="3"/>
  <c r="F18" i="3"/>
  <c r="E3" i="3"/>
  <c r="E4" i="3"/>
  <c r="E5" i="3"/>
  <c r="E6" i="3"/>
  <c r="E7" i="3"/>
  <c r="E8" i="3"/>
  <c r="E9" i="3"/>
  <c r="E2" i="3"/>
  <c r="D65" i="1"/>
  <c r="D64" i="1"/>
  <c r="D43" i="1"/>
  <c r="D42" i="1"/>
  <c r="AB41" i="1"/>
  <c r="Z43" i="1"/>
  <c r="AE29" i="1" s="1"/>
  <c r="AN29" i="1" s="1"/>
  <c r="Z44" i="1"/>
  <c r="AF29" i="1" s="1"/>
  <c r="AP29" i="1" s="1"/>
  <c r="Y42" i="1"/>
  <c r="Z42" i="1" s="1"/>
  <c r="AD29" i="1" s="1"/>
  <c r="AH29" i="1" s="1"/>
  <c r="N48" i="1"/>
  <c r="L48" i="1"/>
  <c r="M48" i="1" s="1"/>
  <c r="K48" i="1"/>
  <c r="F48" i="1"/>
  <c r="N72" i="1"/>
  <c r="L72" i="1"/>
  <c r="M72" i="1" s="1"/>
  <c r="K72" i="1"/>
  <c r="J47" i="1"/>
  <c r="J48" i="1" s="1"/>
  <c r="G64" i="1"/>
  <c r="C65" i="1"/>
  <c r="C66" i="1"/>
  <c r="C67" i="1"/>
  <c r="C68" i="1"/>
  <c r="C69" i="1"/>
  <c r="C70" i="1"/>
  <c r="C71" i="1"/>
  <c r="C72" i="1"/>
  <c r="C73" i="1"/>
  <c r="C74" i="1"/>
  <c r="C75" i="1"/>
  <c r="C76" i="1"/>
  <c r="C77" i="1"/>
  <c r="C78" i="1"/>
  <c r="C79" i="1"/>
  <c r="C80" i="1"/>
  <c r="C64" i="1"/>
  <c r="C43" i="1"/>
  <c r="C44" i="1"/>
  <c r="C45" i="1"/>
  <c r="C46" i="1"/>
  <c r="C47" i="1"/>
  <c r="C48" i="1"/>
  <c r="C49" i="1"/>
  <c r="C50" i="1"/>
  <c r="C51" i="1"/>
  <c r="C52" i="1"/>
  <c r="C53" i="1"/>
  <c r="C54" i="1"/>
  <c r="C55" i="1"/>
  <c r="C56" i="1"/>
  <c r="C57" i="1"/>
  <c r="C58" i="1"/>
  <c r="C42" i="1"/>
  <c r="C21" i="1"/>
  <c r="C22" i="1"/>
  <c r="C23" i="1"/>
  <c r="C24" i="1"/>
  <c r="C25" i="1"/>
  <c r="C26" i="1"/>
  <c r="C27" i="1"/>
  <c r="C28" i="1"/>
  <c r="C30" i="1"/>
  <c r="C31" i="1"/>
  <c r="C32" i="1"/>
  <c r="C33" i="1"/>
  <c r="C34" i="1"/>
  <c r="C35" i="1"/>
  <c r="C36" i="1"/>
  <c r="C20" i="1"/>
  <c r="E22" i="1"/>
  <c r="E23" i="1"/>
  <c r="E24" i="1"/>
  <c r="E25" i="1"/>
  <c r="E26" i="1"/>
  <c r="E27" i="1"/>
  <c r="E28" i="1"/>
  <c r="E29" i="1"/>
  <c r="E30" i="1"/>
  <c r="E31" i="1"/>
  <c r="E32" i="1"/>
  <c r="E33" i="1"/>
  <c r="E34" i="1"/>
  <c r="E35" i="1"/>
  <c r="E36" i="1"/>
  <c r="E21" i="1"/>
  <c r="F29" i="1"/>
  <c r="K42" i="1"/>
  <c r="D20" i="4" s="1"/>
  <c r="K20" i="4" s="1"/>
  <c r="K64" i="1"/>
  <c r="K65" i="1"/>
  <c r="K66" i="1"/>
  <c r="K67" i="1"/>
  <c r="K68" i="1"/>
  <c r="K69" i="1"/>
  <c r="K70" i="1"/>
  <c r="K71" i="1"/>
  <c r="K73" i="1"/>
  <c r="K74" i="1"/>
  <c r="K75" i="1"/>
  <c r="K76" i="1"/>
  <c r="K77" i="1"/>
  <c r="K78" i="1"/>
  <c r="K79" i="1"/>
  <c r="K80" i="1"/>
  <c r="K43" i="1"/>
  <c r="K44" i="1"/>
  <c r="K45" i="1"/>
  <c r="K46" i="1"/>
  <c r="K47" i="1"/>
  <c r="K49" i="1"/>
  <c r="K50" i="1"/>
  <c r="K51" i="1"/>
  <c r="K52" i="1"/>
  <c r="K53" i="1"/>
  <c r="K54" i="1"/>
  <c r="K55" i="1"/>
  <c r="K56" i="1"/>
  <c r="K57" i="1"/>
  <c r="K58" i="1"/>
  <c r="K21" i="1"/>
  <c r="K22" i="1"/>
  <c r="K24" i="1"/>
  <c r="K26" i="1"/>
  <c r="K23" i="1"/>
  <c r="K27" i="1"/>
  <c r="K33" i="1"/>
  <c r="K34" i="1"/>
  <c r="K32" i="1"/>
  <c r="K36" i="1"/>
  <c r="K35" i="1"/>
  <c r="K30" i="1"/>
  <c r="K25" i="1"/>
  <c r="K31" i="1"/>
  <c r="K28" i="1"/>
  <c r="K20" i="1"/>
  <c r="D19" i="4" s="1"/>
  <c r="K19" i="4" s="1"/>
  <c r="L20" i="1"/>
  <c r="N75" i="1"/>
  <c r="L75" i="1"/>
  <c r="M75" i="1" s="1"/>
  <c r="L73" i="1"/>
  <c r="M73" i="1"/>
  <c r="N73" i="1"/>
  <c r="L74" i="1"/>
  <c r="M74" i="1"/>
  <c r="N74" i="1"/>
  <c r="F51" i="1"/>
  <c r="F52" i="1"/>
  <c r="F53" i="1"/>
  <c r="L51" i="1"/>
  <c r="M51" i="1" s="1"/>
  <c r="N51" i="1"/>
  <c r="L52" i="1"/>
  <c r="M52" i="1" s="1"/>
  <c r="N52" i="1"/>
  <c r="L53" i="1"/>
  <c r="M53" i="1" s="1"/>
  <c r="N53" i="1"/>
  <c r="F32" i="1"/>
  <c r="L32" i="1"/>
  <c r="M32" i="1" s="1"/>
  <c r="N32" i="1"/>
  <c r="F36" i="1"/>
  <c r="L36" i="1"/>
  <c r="M36" i="1" s="1"/>
  <c r="N36" i="1"/>
  <c r="F35" i="1"/>
  <c r="L35" i="1"/>
  <c r="M35" i="1" s="1"/>
  <c r="N35" i="1"/>
  <c r="N65" i="1"/>
  <c r="N66" i="1"/>
  <c r="N67" i="1"/>
  <c r="N68" i="1"/>
  <c r="N69" i="1"/>
  <c r="N70" i="1"/>
  <c r="N71" i="1"/>
  <c r="N76" i="1"/>
  <c r="N77" i="1"/>
  <c r="N78" i="1"/>
  <c r="N79" i="1"/>
  <c r="N80" i="1"/>
  <c r="N64" i="1"/>
  <c r="L65" i="1"/>
  <c r="M65" i="1" s="1"/>
  <c r="L66" i="1"/>
  <c r="M66" i="1" s="1"/>
  <c r="L67" i="1"/>
  <c r="M67" i="1" s="1"/>
  <c r="L68" i="1"/>
  <c r="M68" i="1" s="1"/>
  <c r="L69" i="1"/>
  <c r="M69" i="1" s="1"/>
  <c r="L70" i="1"/>
  <c r="M70" i="1" s="1"/>
  <c r="L71" i="1"/>
  <c r="M71" i="1" s="1"/>
  <c r="L76" i="1"/>
  <c r="M76" i="1" s="1"/>
  <c r="L77" i="1"/>
  <c r="M77" i="1" s="1"/>
  <c r="L78" i="1"/>
  <c r="M78" i="1" s="1"/>
  <c r="L79" i="1"/>
  <c r="M79" i="1" s="1"/>
  <c r="L80" i="1"/>
  <c r="M80" i="1" s="1"/>
  <c r="L64" i="1"/>
  <c r="M64" i="1" s="1"/>
  <c r="M81" i="1" s="1"/>
  <c r="L43" i="1"/>
  <c r="M43" i="1" s="1"/>
  <c r="L44" i="1"/>
  <c r="M44" i="1" s="1"/>
  <c r="L45" i="1"/>
  <c r="M45" i="1" s="1"/>
  <c r="L46" i="1"/>
  <c r="M46" i="1" s="1"/>
  <c r="L47" i="1"/>
  <c r="M47" i="1" s="1"/>
  <c r="L49" i="1"/>
  <c r="M49" i="1" s="1"/>
  <c r="L50" i="1"/>
  <c r="M50" i="1" s="1"/>
  <c r="L54" i="1"/>
  <c r="M54" i="1" s="1"/>
  <c r="L55" i="1"/>
  <c r="M55" i="1" s="1"/>
  <c r="L56" i="1"/>
  <c r="M56" i="1" s="1"/>
  <c r="L57" i="1"/>
  <c r="M57" i="1" s="1"/>
  <c r="L58" i="1"/>
  <c r="M58" i="1" s="1"/>
  <c r="L42" i="1"/>
  <c r="M42" i="1" s="1"/>
  <c r="M59" i="1" s="1"/>
  <c r="L21" i="1"/>
  <c r="M21" i="1" s="1"/>
  <c r="L22" i="1"/>
  <c r="M22" i="1" s="1"/>
  <c r="L24" i="1"/>
  <c r="M24" i="1" s="1"/>
  <c r="L26" i="1"/>
  <c r="M26" i="1" s="1"/>
  <c r="L23" i="1"/>
  <c r="M23" i="1" s="1"/>
  <c r="L27" i="1"/>
  <c r="M27" i="1" s="1"/>
  <c r="L33" i="1"/>
  <c r="M33" i="1" s="1"/>
  <c r="L34" i="1"/>
  <c r="M34" i="1" s="1"/>
  <c r="L30" i="1"/>
  <c r="M30" i="1" s="1"/>
  <c r="L25" i="1"/>
  <c r="M25" i="1" s="1"/>
  <c r="L31" i="1"/>
  <c r="M31" i="1" s="1"/>
  <c r="L28" i="1"/>
  <c r="M28" i="1" s="1"/>
  <c r="M20" i="1"/>
  <c r="N42" i="1"/>
  <c r="E43" i="1"/>
  <c r="F43" i="1"/>
  <c r="F44" i="1"/>
  <c r="F45" i="1"/>
  <c r="F46" i="1"/>
  <c r="F47" i="1"/>
  <c r="F49" i="1"/>
  <c r="F50" i="1"/>
  <c r="F54" i="1"/>
  <c r="F55" i="1"/>
  <c r="F56" i="1"/>
  <c r="F57" i="1"/>
  <c r="F58" i="1"/>
  <c r="F42" i="1"/>
  <c r="F21" i="1"/>
  <c r="F22" i="1"/>
  <c r="F24" i="1"/>
  <c r="F23" i="1"/>
  <c r="F27" i="1"/>
  <c r="F33" i="1"/>
  <c r="F34" i="1"/>
  <c r="F30" i="1"/>
  <c r="F25" i="1"/>
  <c r="F31" i="1"/>
  <c r="F28" i="1"/>
  <c r="F20" i="1"/>
  <c r="N43" i="1"/>
  <c r="N44" i="1"/>
  <c r="N45" i="1"/>
  <c r="N46" i="1"/>
  <c r="N47" i="1"/>
  <c r="N49" i="1"/>
  <c r="N50" i="1"/>
  <c r="N54" i="1"/>
  <c r="N55" i="1"/>
  <c r="N56" i="1"/>
  <c r="N57" i="1"/>
  <c r="N58" i="1"/>
  <c r="N21" i="1"/>
  <c r="N22" i="1"/>
  <c r="N24" i="1"/>
  <c r="N26" i="1"/>
  <c r="N23" i="1"/>
  <c r="N27" i="1"/>
  <c r="N33" i="1"/>
  <c r="N34" i="1"/>
  <c r="N30" i="1"/>
  <c r="N25" i="1"/>
  <c r="N31" i="1"/>
  <c r="N28" i="1"/>
  <c r="N20" i="1"/>
  <c r="R27" i="5" l="1"/>
  <c r="M36" i="5"/>
  <c r="G89" i="5" s="1"/>
  <c r="AP22" i="5"/>
  <c r="D43" i="5" s="1"/>
  <c r="AF22" i="5"/>
  <c r="AR22" i="5"/>
  <c r="D64" i="5" s="1"/>
  <c r="AH22" i="5"/>
  <c r="AP24" i="5"/>
  <c r="D45" i="5" s="1"/>
  <c r="G45" i="5" s="1"/>
  <c r="O45" i="5" s="1"/>
  <c r="P45" i="5" s="1"/>
  <c r="Q45" i="5" s="1"/>
  <c r="R45" i="5" s="1"/>
  <c r="AF24" i="5"/>
  <c r="AR24" i="5"/>
  <c r="D66" i="5" s="1"/>
  <c r="G66" i="5" s="1"/>
  <c r="O66" i="5" s="1"/>
  <c r="P66" i="5" s="1"/>
  <c r="Q66" i="5" s="1"/>
  <c r="R66" i="5" s="1"/>
  <c r="AH24" i="5"/>
  <c r="AP26" i="5"/>
  <c r="D47" i="5" s="1"/>
  <c r="AF26" i="5"/>
  <c r="AR26" i="5"/>
  <c r="D68" i="5" s="1"/>
  <c r="G68" i="5" s="1"/>
  <c r="O68" i="5" s="1"/>
  <c r="P68" i="5" s="1"/>
  <c r="Q68" i="5" s="1"/>
  <c r="R68" i="5" s="1"/>
  <c r="AH26" i="5"/>
  <c r="AP27" i="5"/>
  <c r="D48" i="5" s="1"/>
  <c r="AF27" i="5"/>
  <c r="AR27" i="5"/>
  <c r="D69" i="5" s="1"/>
  <c r="G69" i="5" s="1"/>
  <c r="O69" i="5" s="1"/>
  <c r="P69" i="5" s="1"/>
  <c r="Q69" i="5" s="1"/>
  <c r="R69" i="5" s="1"/>
  <c r="AH27" i="5"/>
  <c r="AP30" i="5"/>
  <c r="D51" i="5" s="1"/>
  <c r="G51" i="5" s="1"/>
  <c r="O51" i="5" s="1"/>
  <c r="P51" i="5" s="1"/>
  <c r="Q51" i="5" s="1"/>
  <c r="R51" i="5" s="1"/>
  <c r="AF30" i="5"/>
  <c r="AR30" i="5"/>
  <c r="D72" i="5" s="1"/>
  <c r="G72" i="5" s="1"/>
  <c r="O72" i="5" s="1"/>
  <c r="P72" i="5" s="1"/>
  <c r="Q72" i="5" s="1"/>
  <c r="R72" i="5" s="1"/>
  <c r="AH30" i="5"/>
  <c r="AP31" i="5"/>
  <c r="D52" i="5" s="1"/>
  <c r="AF31" i="5"/>
  <c r="AR31" i="5"/>
  <c r="D73" i="5" s="1"/>
  <c r="AH31" i="5"/>
  <c r="AP32" i="5"/>
  <c r="D53" i="5" s="1"/>
  <c r="G53" i="5" s="1"/>
  <c r="O53" i="5" s="1"/>
  <c r="P53" i="5" s="1"/>
  <c r="Q53" i="5" s="1"/>
  <c r="R53" i="5" s="1"/>
  <c r="AF32" i="5"/>
  <c r="AR32" i="5"/>
  <c r="D74" i="5" s="1"/>
  <c r="G74" i="5" s="1"/>
  <c r="O74" i="5" s="1"/>
  <c r="P74" i="5" s="1"/>
  <c r="Q74" i="5" s="1"/>
  <c r="R74" i="5" s="1"/>
  <c r="AH32" i="5"/>
  <c r="AP33" i="5"/>
  <c r="D54" i="5" s="1"/>
  <c r="G54" i="5" s="1"/>
  <c r="O54" i="5" s="1"/>
  <c r="P54" i="5" s="1"/>
  <c r="Q54" i="5" s="1"/>
  <c r="R54" i="5" s="1"/>
  <c r="AF33" i="5"/>
  <c r="AR33" i="5"/>
  <c r="D75" i="5" s="1"/>
  <c r="G75" i="5" s="1"/>
  <c r="O75" i="5" s="1"/>
  <c r="P75" i="5" s="1"/>
  <c r="Q75" i="5" s="1"/>
  <c r="R75" i="5" s="1"/>
  <c r="AH33" i="5"/>
  <c r="AP34" i="5"/>
  <c r="D55" i="5" s="1"/>
  <c r="G55" i="5" s="1"/>
  <c r="O55" i="5" s="1"/>
  <c r="P55" i="5" s="1"/>
  <c r="Q55" i="5" s="1"/>
  <c r="R55" i="5" s="1"/>
  <c r="AF34" i="5"/>
  <c r="AR34" i="5"/>
  <c r="D76" i="5" s="1"/>
  <c r="G76" i="5" s="1"/>
  <c r="O76" i="5" s="1"/>
  <c r="P76" i="5" s="1"/>
  <c r="Q76" i="5" s="1"/>
  <c r="R76" i="5" s="1"/>
  <c r="AH34" i="5"/>
  <c r="AP35" i="5"/>
  <c r="D56" i="5" s="1"/>
  <c r="G56" i="5" s="1"/>
  <c r="O56" i="5" s="1"/>
  <c r="P56" i="5" s="1"/>
  <c r="Q56" i="5" s="1"/>
  <c r="R56" i="5" s="1"/>
  <c r="AF35" i="5"/>
  <c r="AR35" i="5"/>
  <c r="D77" i="5" s="1"/>
  <c r="G77" i="5" s="1"/>
  <c r="O77" i="5" s="1"/>
  <c r="P77" i="5" s="1"/>
  <c r="Q77" i="5" s="1"/>
  <c r="R77" i="5" s="1"/>
  <c r="AH35" i="5"/>
  <c r="G41" i="5"/>
  <c r="D57" i="5"/>
  <c r="G62" i="5"/>
  <c r="F16" i="4"/>
  <c r="F8" i="4"/>
  <c r="O23" i="5"/>
  <c r="P23" i="5" s="1"/>
  <c r="Q23" i="5" s="1"/>
  <c r="R23" i="5" s="1"/>
  <c r="E3" i="4"/>
  <c r="G3" i="4" s="1"/>
  <c r="H3" i="4" s="1"/>
  <c r="G16" i="4"/>
  <c r="K16" i="4"/>
  <c r="I16" i="4"/>
  <c r="J16" i="4" s="1"/>
  <c r="O20" i="5"/>
  <c r="AM20" i="5"/>
  <c r="AK20" i="5"/>
  <c r="AM21" i="5"/>
  <c r="AK21" i="5"/>
  <c r="G22" i="5"/>
  <c r="AM22" i="5"/>
  <c r="AK22" i="5"/>
  <c r="G43" i="5"/>
  <c r="O43" i="5" s="1"/>
  <c r="P43" i="5" s="1"/>
  <c r="Q43" i="5" s="1"/>
  <c r="R43" i="5" s="1"/>
  <c r="G64" i="5"/>
  <c r="O64" i="5" s="1"/>
  <c r="P64" i="5" s="1"/>
  <c r="Q64" i="5" s="1"/>
  <c r="R64" i="5" s="1"/>
  <c r="AM23" i="5"/>
  <c r="AK23" i="5"/>
  <c r="AM24" i="5"/>
  <c r="AK24" i="5"/>
  <c r="AG25" i="5"/>
  <c r="AE25" i="5"/>
  <c r="AD25" i="5"/>
  <c r="AJ25" i="5" s="1"/>
  <c r="AM26" i="5"/>
  <c r="AK26" i="5"/>
  <c r="AM27" i="5"/>
  <c r="AK27" i="5"/>
  <c r="AG28" i="5"/>
  <c r="AE28" i="5"/>
  <c r="AD28" i="5"/>
  <c r="AJ28" i="5"/>
  <c r="AP28" i="5"/>
  <c r="AR28" i="5"/>
  <c r="D70" i="5" s="1"/>
  <c r="AM29" i="5"/>
  <c r="AK29" i="5"/>
  <c r="AM30" i="5"/>
  <c r="AK30" i="5"/>
  <c r="AM31" i="5"/>
  <c r="AK31" i="5"/>
  <c r="AM32" i="5"/>
  <c r="AK32" i="5"/>
  <c r="AM33" i="5"/>
  <c r="AK33" i="5"/>
  <c r="AM34" i="5"/>
  <c r="AK34" i="5"/>
  <c r="AM35" i="5"/>
  <c r="AK35" i="5"/>
  <c r="O41" i="5"/>
  <c r="P41" i="5" s="1"/>
  <c r="Q41" i="5" s="1"/>
  <c r="E48" i="5"/>
  <c r="E47" i="5"/>
  <c r="G47" i="5" s="1"/>
  <c r="O47" i="5" s="1"/>
  <c r="P47" i="5" s="1"/>
  <c r="Q47" i="5" s="1"/>
  <c r="R47" i="5" s="1"/>
  <c r="O62" i="5"/>
  <c r="P62" i="5" s="1"/>
  <c r="Q62" i="5" s="1"/>
  <c r="O17" i="4"/>
  <c r="P15" i="4"/>
  <c r="Q15" i="4" s="1"/>
  <c r="S15" i="4"/>
  <c r="P14" i="4"/>
  <c r="Q14" i="4" s="1"/>
  <c r="S14" i="4"/>
  <c r="P12" i="4"/>
  <c r="Q12" i="4" s="1"/>
  <c r="S12" i="4"/>
  <c r="P11" i="4"/>
  <c r="Q11" i="4" s="1"/>
  <c r="S11" i="4"/>
  <c r="P10" i="4"/>
  <c r="Q10" i="4" s="1"/>
  <c r="S10" i="4"/>
  <c r="P4" i="4"/>
  <c r="Q4" i="4" s="1"/>
  <c r="S4" i="4"/>
  <c r="M16" i="4"/>
  <c r="L16" i="4"/>
  <c r="F2" i="4"/>
  <c r="I2" i="4" s="1"/>
  <c r="F4" i="4"/>
  <c r="I4" i="4" s="1"/>
  <c r="J4" i="4" s="1"/>
  <c r="F3" i="4"/>
  <c r="I3" i="4" s="1"/>
  <c r="F15" i="4"/>
  <c r="I15" i="4" s="1"/>
  <c r="J15" i="4" s="1"/>
  <c r="F14" i="4"/>
  <c r="I14" i="4" s="1"/>
  <c r="J14" i="4" s="1"/>
  <c r="F13" i="4"/>
  <c r="I13" i="4" s="1"/>
  <c r="F12" i="4"/>
  <c r="I12" i="4" s="1"/>
  <c r="J12" i="4" s="1"/>
  <c r="F11" i="4"/>
  <c r="I11" i="4" s="1"/>
  <c r="J11" i="4" s="1"/>
  <c r="F10" i="4"/>
  <c r="I10" i="4" s="1"/>
  <c r="J10" i="4" s="1"/>
  <c r="F9" i="4"/>
  <c r="I9" i="4" s="1"/>
  <c r="J9" i="4" s="1"/>
  <c r="F7" i="4"/>
  <c r="I7" i="4" s="1"/>
  <c r="F6" i="4"/>
  <c r="I6" i="4" s="1"/>
  <c r="F5" i="4"/>
  <c r="I5" i="4" s="1"/>
  <c r="AI29" i="1"/>
  <c r="AK29" i="1"/>
  <c r="AD22" i="1"/>
  <c r="AH22" i="1" s="1"/>
  <c r="D22" i="1" s="1"/>
  <c r="AD21" i="1"/>
  <c r="AH21" i="1" s="1"/>
  <c r="D21" i="1" s="1"/>
  <c r="AD23" i="1"/>
  <c r="AH23" i="1" s="1"/>
  <c r="AD24" i="1"/>
  <c r="AH24" i="1" s="1"/>
  <c r="D24" i="1" s="1"/>
  <c r="AD25" i="1"/>
  <c r="AH25" i="1" s="1"/>
  <c r="AD26" i="1"/>
  <c r="AH26" i="1" s="1"/>
  <c r="D26" i="1" s="1"/>
  <c r="AD27" i="1"/>
  <c r="AH27" i="1" s="1"/>
  <c r="D27" i="1" s="1"/>
  <c r="AD28" i="1"/>
  <c r="AH28" i="1" s="1"/>
  <c r="G29" i="1"/>
  <c r="AD30" i="1"/>
  <c r="AH30" i="1" s="1"/>
  <c r="D30" i="1" s="1"/>
  <c r="AD31" i="1"/>
  <c r="AH31" i="1" s="1"/>
  <c r="D31" i="1" s="1"/>
  <c r="AD32" i="1"/>
  <c r="AH32" i="1" s="1"/>
  <c r="D32" i="1" s="1"/>
  <c r="AD33" i="1"/>
  <c r="AH33" i="1" s="1"/>
  <c r="D33" i="1" s="1"/>
  <c r="AD34" i="1"/>
  <c r="AH34" i="1" s="1"/>
  <c r="D34" i="1" s="1"/>
  <c r="AD35" i="1"/>
  <c r="AH35" i="1" s="1"/>
  <c r="D35" i="1" s="1"/>
  <c r="AD36" i="1"/>
  <c r="AH36" i="1" s="1"/>
  <c r="D36" i="1" s="1"/>
  <c r="AD20" i="1"/>
  <c r="AH20" i="1" s="1"/>
  <c r="D20" i="1" s="1"/>
  <c r="AF21" i="1"/>
  <c r="AF22" i="1"/>
  <c r="AP22" i="1" s="1"/>
  <c r="D66" i="1" s="1"/>
  <c r="AF23" i="1"/>
  <c r="AP23" i="1" s="1"/>
  <c r="D67" i="1" s="1"/>
  <c r="AF24" i="1"/>
  <c r="AP24" i="1" s="1"/>
  <c r="D68" i="1" s="1"/>
  <c r="AF25" i="1"/>
  <c r="AP25" i="1" s="1"/>
  <c r="D69" i="1" s="1"/>
  <c r="AF26" i="1"/>
  <c r="AP26" i="1" s="1"/>
  <c r="D70" i="1" s="1"/>
  <c r="AF27" i="1"/>
  <c r="AP27" i="1" s="1"/>
  <c r="D71" i="1" s="1"/>
  <c r="AF28" i="1"/>
  <c r="AP28" i="1" s="1"/>
  <c r="D72" i="1" s="1"/>
  <c r="D73" i="1"/>
  <c r="AF30" i="1"/>
  <c r="AP30" i="1" s="1"/>
  <c r="D74" i="1" s="1"/>
  <c r="AF31" i="1"/>
  <c r="AP31" i="1" s="1"/>
  <c r="D75" i="1" s="1"/>
  <c r="AF32" i="1"/>
  <c r="AP32" i="1" s="1"/>
  <c r="D76" i="1" s="1"/>
  <c r="AF33" i="1"/>
  <c r="AP33" i="1" s="1"/>
  <c r="D77" i="1" s="1"/>
  <c r="AF34" i="1"/>
  <c r="AP34" i="1" s="1"/>
  <c r="D78" i="1" s="1"/>
  <c r="AF35" i="1"/>
  <c r="AP35" i="1" s="1"/>
  <c r="D79" i="1" s="1"/>
  <c r="AF36" i="1"/>
  <c r="AP36" i="1" s="1"/>
  <c r="D80" i="1" s="1"/>
  <c r="AF20" i="1"/>
  <c r="AE21" i="1"/>
  <c r="AE22" i="1"/>
  <c r="AN22" i="1" s="1"/>
  <c r="D44" i="1" s="1"/>
  <c r="AE23" i="1"/>
  <c r="AN23" i="1" s="1"/>
  <c r="D45" i="1" s="1"/>
  <c r="AE24" i="1"/>
  <c r="AN24" i="1" s="1"/>
  <c r="D46" i="1" s="1"/>
  <c r="AE25" i="1"/>
  <c r="AN25" i="1" s="1"/>
  <c r="D47" i="1" s="1"/>
  <c r="AE26" i="1"/>
  <c r="AN26" i="1" s="1"/>
  <c r="D48" i="1" s="1"/>
  <c r="AE27" i="1"/>
  <c r="AN27" i="1" s="1"/>
  <c r="D49" i="1" s="1"/>
  <c r="AE28" i="1"/>
  <c r="AN28" i="1" s="1"/>
  <c r="D50" i="1" s="1"/>
  <c r="D51" i="1"/>
  <c r="AE30" i="1"/>
  <c r="AN30" i="1" s="1"/>
  <c r="D52" i="1" s="1"/>
  <c r="AE31" i="1"/>
  <c r="AN31" i="1" s="1"/>
  <c r="D53" i="1" s="1"/>
  <c r="AE32" i="1"/>
  <c r="AN32" i="1" s="1"/>
  <c r="D54" i="1" s="1"/>
  <c r="AE33" i="1"/>
  <c r="AN33" i="1" s="1"/>
  <c r="D55" i="1" s="1"/>
  <c r="AE34" i="1"/>
  <c r="AN34" i="1" s="1"/>
  <c r="D56" i="1" s="1"/>
  <c r="AE35" i="1"/>
  <c r="AN35" i="1" s="1"/>
  <c r="D57" i="1" s="1"/>
  <c r="AE36" i="1"/>
  <c r="AN36" i="1" s="1"/>
  <c r="D58" i="1" s="1"/>
  <c r="AE20" i="1"/>
  <c r="AI28" i="1"/>
  <c r="AI25" i="1"/>
  <c r="AK36" i="1"/>
  <c r="AI36" i="1"/>
  <c r="AK35" i="1"/>
  <c r="AI35" i="1"/>
  <c r="AK34" i="1"/>
  <c r="AI34" i="1"/>
  <c r="AK33" i="1"/>
  <c r="AI33" i="1"/>
  <c r="AK32" i="1"/>
  <c r="AI32" i="1"/>
  <c r="AK31" i="1"/>
  <c r="AI31" i="1"/>
  <c r="AK30" i="1"/>
  <c r="AI30" i="1"/>
  <c r="AK27" i="1"/>
  <c r="AI27" i="1"/>
  <c r="AK26" i="1"/>
  <c r="AI26" i="1"/>
  <c r="AK21" i="1"/>
  <c r="AI21" i="1"/>
  <c r="AK20" i="1"/>
  <c r="AI20" i="1"/>
  <c r="AK23" i="1"/>
  <c r="AI23" i="1"/>
  <c r="AK22" i="1"/>
  <c r="AI22" i="1"/>
  <c r="AK24" i="1"/>
  <c r="AI24" i="1"/>
  <c r="G22" i="1"/>
  <c r="D2" i="4" s="1"/>
  <c r="G2" i="4" s="1"/>
  <c r="G42" i="1"/>
  <c r="O64" i="1"/>
  <c r="P64" i="1" s="1"/>
  <c r="M37" i="1"/>
  <c r="G92" i="1" s="1"/>
  <c r="G20" i="1"/>
  <c r="O20" i="1" s="1"/>
  <c r="P20" i="1" s="1"/>
  <c r="G21" i="1"/>
  <c r="O21" i="1" s="1"/>
  <c r="G43" i="1"/>
  <c r="G65" i="1"/>
  <c r="E44" i="1"/>
  <c r="G44" i="1" s="1"/>
  <c r="D81" i="1"/>
  <c r="D59" i="1"/>
  <c r="D37" i="1"/>
  <c r="G73" i="5" l="1"/>
  <c r="O73" i="5" s="1"/>
  <c r="P73" i="5" s="1"/>
  <c r="Q73" i="5" s="1"/>
  <c r="R73" i="5" s="1"/>
  <c r="AD57" i="5"/>
  <c r="G52" i="5"/>
  <c r="O52" i="5" s="1"/>
  <c r="P52" i="5" s="1"/>
  <c r="Q52" i="5" s="1"/>
  <c r="R52" i="5" s="1"/>
  <c r="AC57" i="5"/>
  <c r="R5" i="4"/>
  <c r="J5" i="4"/>
  <c r="R6" i="4"/>
  <c r="J6" i="4"/>
  <c r="R7" i="4"/>
  <c r="J7" i="4"/>
  <c r="R13" i="4"/>
  <c r="J13" i="4"/>
  <c r="R3" i="4"/>
  <c r="J3" i="4"/>
  <c r="R2" i="4"/>
  <c r="J2" i="4"/>
  <c r="AP25" i="5"/>
  <c r="AF25" i="5"/>
  <c r="AR25" i="5"/>
  <c r="AH25" i="5"/>
  <c r="G70" i="5"/>
  <c r="O70" i="5" s="1"/>
  <c r="P70" i="5" s="1"/>
  <c r="Q70" i="5" s="1"/>
  <c r="R70" i="5" s="1"/>
  <c r="D78" i="5"/>
  <c r="K8" i="4"/>
  <c r="I8" i="4"/>
  <c r="J8" i="4" s="1"/>
  <c r="R62" i="5"/>
  <c r="E49" i="5"/>
  <c r="G48" i="5"/>
  <c r="O48" i="5" s="1"/>
  <c r="P48" i="5" s="1"/>
  <c r="Q48" i="5" s="1"/>
  <c r="R48" i="5" s="1"/>
  <c r="R41" i="5"/>
  <c r="G49" i="5"/>
  <c r="O49" i="5" s="1"/>
  <c r="P49" i="5" s="1"/>
  <c r="Q49" i="5" s="1"/>
  <c r="R49" i="5" s="1"/>
  <c r="AK28" i="5"/>
  <c r="AK25" i="5"/>
  <c r="G46" i="5"/>
  <c r="G57" i="5" s="1"/>
  <c r="G67" i="5"/>
  <c r="G78" i="5" s="1"/>
  <c r="O22" i="5"/>
  <c r="P22" i="5" s="1"/>
  <c r="Q22" i="5" s="1"/>
  <c r="R22" i="5" s="1"/>
  <c r="P20" i="5"/>
  <c r="Q20" i="5" s="1"/>
  <c r="O29" i="1"/>
  <c r="P29" i="1" s="1"/>
  <c r="Q29" i="1" s="1"/>
  <c r="R29" i="1" s="1"/>
  <c r="K9" i="4"/>
  <c r="K2" i="4"/>
  <c r="P21" i="1"/>
  <c r="Q21" i="1" s="1"/>
  <c r="R21" i="1" s="1"/>
  <c r="Q64" i="1"/>
  <c r="R64" i="1" s="1"/>
  <c r="O65" i="1"/>
  <c r="P65" i="1" s="1"/>
  <c r="Q20" i="1"/>
  <c r="R20" i="1" s="1"/>
  <c r="O22" i="1"/>
  <c r="P22" i="1" s="1"/>
  <c r="O44" i="1"/>
  <c r="P44" i="1" s="1"/>
  <c r="O42" i="1"/>
  <c r="P42" i="1" s="1"/>
  <c r="O43" i="1"/>
  <c r="P43" i="1" s="1"/>
  <c r="E45" i="1"/>
  <c r="G45" i="1" s="1"/>
  <c r="G66" i="1"/>
  <c r="G24" i="1"/>
  <c r="R20" i="5" l="1"/>
  <c r="O67" i="5"/>
  <c r="P67" i="5" s="1"/>
  <c r="Q67" i="5" s="1"/>
  <c r="O46" i="5"/>
  <c r="P46" i="5" s="1"/>
  <c r="Q46" i="5" s="1"/>
  <c r="G25" i="5"/>
  <c r="L2" i="4"/>
  <c r="M2" i="4"/>
  <c r="P2" i="4" s="1"/>
  <c r="L9" i="4"/>
  <c r="M9" i="4"/>
  <c r="O24" i="1"/>
  <c r="D4" i="4"/>
  <c r="P24" i="1"/>
  <c r="Q24" i="1" s="1"/>
  <c r="R24" i="1" s="1"/>
  <c r="Q65" i="1"/>
  <c r="R65" i="1" s="1"/>
  <c r="O66" i="1"/>
  <c r="P66" i="1" s="1"/>
  <c r="Q43" i="1"/>
  <c r="R43" i="1" s="1"/>
  <c r="Q42" i="1"/>
  <c r="R42" i="1" s="1"/>
  <c r="Q44" i="1"/>
  <c r="R44" i="1" s="1"/>
  <c r="Q22" i="1"/>
  <c r="R22" i="1" s="1"/>
  <c r="O45" i="1"/>
  <c r="P45" i="1" s="1"/>
  <c r="G67" i="1"/>
  <c r="E46" i="1"/>
  <c r="G46" i="1" s="1"/>
  <c r="G26" i="1"/>
  <c r="S9" i="4" l="1"/>
  <c r="T9" i="4" s="1"/>
  <c r="T17" i="4" s="1"/>
  <c r="Q9" i="4"/>
  <c r="S2" i="4"/>
  <c r="Q2" i="4"/>
  <c r="K4" i="4"/>
  <c r="G4" i="4"/>
  <c r="R4" i="4" s="1"/>
  <c r="O25" i="5"/>
  <c r="R46" i="5"/>
  <c r="R57" i="5" s="1"/>
  <c r="Q57" i="5"/>
  <c r="R67" i="5"/>
  <c r="R78" i="5" s="1"/>
  <c r="Q78" i="5"/>
  <c r="O26" i="1"/>
  <c r="P26" i="1" s="1"/>
  <c r="D6" i="4"/>
  <c r="Q66" i="1"/>
  <c r="R66" i="1" s="1"/>
  <c r="O67" i="1"/>
  <c r="P67" i="1" s="1"/>
  <c r="Q26" i="1"/>
  <c r="R26" i="1" s="1"/>
  <c r="Q45" i="1"/>
  <c r="R45" i="1" s="1"/>
  <c r="O46" i="1"/>
  <c r="P46" i="1" s="1"/>
  <c r="E47" i="1"/>
  <c r="G68" i="1"/>
  <c r="G23" i="1"/>
  <c r="K6" i="4" l="1"/>
  <c r="G6" i="4"/>
  <c r="P25" i="5"/>
  <c r="Q25" i="5" s="1"/>
  <c r="L6" i="4"/>
  <c r="M6" i="4"/>
  <c r="O23" i="1"/>
  <c r="P23" i="1" s="1"/>
  <c r="K3" i="4"/>
  <c r="G47" i="1"/>
  <c r="E48" i="1"/>
  <c r="G48" i="1" s="1"/>
  <c r="O48" i="1" s="1"/>
  <c r="P48" i="1" s="1"/>
  <c r="Q48" i="1" s="1"/>
  <c r="R48" i="1" s="1"/>
  <c r="Q67" i="1"/>
  <c r="R67" i="1" s="1"/>
  <c r="O68" i="1"/>
  <c r="P68" i="1" s="1"/>
  <c r="Q23" i="1"/>
  <c r="R23" i="1" s="1"/>
  <c r="Q46" i="1"/>
  <c r="R46" i="1" s="1"/>
  <c r="O47" i="1"/>
  <c r="P47" i="1" s="1"/>
  <c r="G69" i="1"/>
  <c r="E49" i="1"/>
  <c r="G49" i="1" s="1"/>
  <c r="G27" i="1"/>
  <c r="M3" i="4" l="1"/>
  <c r="S3" i="4" s="1"/>
  <c r="L3" i="4"/>
  <c r="R25" i="5"/>
  <c r="O27" i="1"/>
  <c r="P27" i="1" s="1"/>
  <c r="D7" i="4"/>
  <c r="Q68" i="1"/>
  <c r="R68" i="1" s="1"/>
  <c r="O69" i="1"/>
  <c r="P69" i="1" s="1"/>
  <c r="Q27" i="1"/>
  <c r="R27" i="1" s="1"/>
  <c r="Q47" i="1"/>
  <c r="R47" i="1" s="1"/>
  <c r="O49" i="1"/>
  <c r="P49" i="1" s="1"/>
  <c r="E50" i="1"/>
  <c r="G50" i="1" s="1"/>
  <c r="G70" i="1"/>
  <c r="K7" i="4" l="1"/>
  <c r="G7" i="4"/>
  <c r="L7" i="4"/>
  <c r="M7" i="4"/>
  <c r="P7" i="4" s="1"/>
  <c r="G72" i="1"/>
  <c r="O72" i="1" s="1"/>
  <c r="P72" i="1" s="1"/>
  <c r="Q72" i="1" s="1"/>
  <c r="R72" i="1" s="1"/>
  <c r="G33" i="1"/>
  <c r="Q69" i="1"/>
  <c r="R69" i="1" s="1"/>
  <c r="O70" i="1"/>
  <c r="P70" i="1" s="1"/>
  <c r="Q49" i="1"/>
  <c r="R49" i="1" s="1"/>
  <c r="O50" i="1"/>
  <c r="P50" i="1" s="1"/>
  <c r="G71" i="1"/>
  <c r="S7" i="4" l="1"/>
  <c r="Q7" i="4"/>
  <c r="O33" i="1"/>
  <c r="P33" i="1" s="1"/>
  <c r="Q33" i="1" s="1"/>
  <c r="R33" i="1" s="1"/>
  <c r="D13" i="4"/>
  <c r="Q70" i="1"/>
  <c r="R70" i="1" s="1"/>
  <c r="O71" i="1"/>
  <c r="P71" i="1" s="1"/>
  <c r="Q50" i="1"/>
  <c r="R50" i="1" s="1"/>
  <c r="G73" i="1"/>
  <c r="O73" i="1" s="1"/>
  <c r="P73" i="1" s="1"/>
  <c r="G34" i="1"/>
  <c r="G54" i="1"/>
  <c r="K13" i="4" l="1"/>
  <c r="G13" i="4"/>
  <c r="L13" i="4"/>
  <c r="M13" i="4"/>
  <c r="P13" i="4" s="1"/>
  <c r="O34" i="1"/>
  <c r="P34" i="1" s="1"/>
  <c r="D14" i="4"/>
  <c r="Q71" i="1"/>
  <c r="R71" i="1" s="1"/>
  <c r="Q34" i="1"/>
  <c r="R34" i="1" s="1"/>
  <c r="O54" i="1"/>
  <c r="Q73" i="1"/>
  <c r="R73" i="1" s="1"/>
  <c r="G75" i="1"/>
  <c r="O75" i="1" s="1"/>
  <c r="P75" i="1" s="1"/>
  <c r="G74" i="1"/>
  <c r="O74" i="1" s="1"/>
  <c r="P74" i="1" s="1"/>
  <c r="G51" i="1"/>
  <c r="G32" i="1"/>
  <c r="G76" i="1"/>
  <c r="G55" i="1"/>
  <c r="G30" i="1"/>
  <c r="S13" i="4" l="1"/>
  <c r="Q13" i="4"/>
  <c r="K12" i="4"/>
  <c r="K14" i="4"/>
  <c r="G14" i="4"/>
  <c r="R14" i="4" s="1"/>
  <c r="O30" i="1"/>
  <c r="D10" i="4"/>
  <c r="P30" i="1"/>
  <c r="Q30" i="1" s="1"/>
  <c r="R30" i="1" s="1"/>
  <c r="P54" i="1"/>
  <c r="Q54" i="1" s="1"/>
  <c r="R54" i="1" s="1"/>
  <c r="O76" i="1"/>
  <c r="P76" i="1" s="1"/>
  <c r="O55" i="1"/>
  <c r="P55" i="1" s="1"/>
  <c r="O32" i="1"/>
  <c r="P32" i="1" s="1"/>
  <c r="O51" i="1"/>
  <c r="P51" i="1" s="1"/>
  <c r="Q74" i="1"/>
  <c r="R74" i="1" s="1"/>
  <c r="Q75" i="1"/>
  <c r="R75" i="1" s="1"/>
  <c r="G36" i="1"/>
  <c r="G35" i="1"/>
  <c r="D15" i="4" s="1"/>
  <c r="G52" i="1"/>
  <c r="G53" i="1"/>
  <c r="G56" i="1"/>
  <c r="G77" i="1"/>
  <c r="G25" i="1"/>
  <c r="K15" i="4" l="1"/>
  <c r="G15" i="4"/>
  <c r="R15" i="4" s="1"/>
  <c r="K10" i="4"/>
  <c r="G10" i="4"/>
  <c r="R10" i="4" s="1"/>
  <c r="O25" i="1"/>
  <c r="D5" i="4"/>
  <c r="P25" i="1"/>
  <c r="Q25" i="1" s="1"/>
  <c r="R25" i="1" s="1"/>
  <c r="Q76" i="1"/>
  <c r="R76" i="1" s="1"/>
  <c r="O77" i="1"/>
  <c r="P77" i="1" s="1"/>
  <c r="Q32" i="1"/>
  <c r="R32" i="1" s="1"/>
  <c r="Q51" i="1"/>
  <c r="R51" i="1" s="1"/>
  <c r="Q55" i="1"/>
  <c r="R55" i="1" s="1"/>
  <c r="O56" i="1"/>
  <c r="P56" i="1" s="1"/>
  <c r="O53" i="1"/>
  <c r="P53" i="1" s="1"/>
  <c r="O52" i="1"/>
  <c r="P52" i="1" s="1"/>
  <c r="O35" i="1"/>
  <c r="O36" i="1"/>
  <c r="P36" i="1" s="1"/>
  <c r="G78" i="1"/>
  <c r="G57" i="1"/>
  <c r="G31" i="1"/>
  <c r="K5" i="4" l="1"/>
  <c r="G5" i="4"/>
  <c r="L5" i="4"/>
  <c r="M5" i="4"/>
  <c r="P5" i="4" s="1"/>
  <c r="Q5" i="4" s="1"/>
  <c r="O31" i="1"/>
  <c r="D11" i="4"/>
  <c r="P31" i="1"/>
  <c r="Q31" i="1" s="1"/>
  <c r="R31" i="1" s="1"/>
  <c r="P35" i="1"/>
  <c r="Q35" i="1" s="1"/>
  <c r="R35" i="1" s="1"/>
  <c r="Q77" i="1"/>
  <c r="R77" i="1" s="1"/>
  <c r="O78" i="1"/>
  <c r="P78" i="1" s="1"/>
  <c r="Q36" i="1"/>
  <c r="R36" i="1" s="1"/>
  <c r="Q52" i="1"/>
  <c r="R52" i="1" s="1"/>
  <c r="Q53" i="1"/>
  <c r="R53" i="1" s="1"/>
  <c r="Q56" i="1"/>
  <c r="R56" i="1" s="1"/>
  <c r="O57" i="1"/>
  <c r="P57" i="1" s="1"/>
  <c r="G58" i="1"/>
  <c r="G59" i="1"/>
  <c r="G80" i="1"/>
  <c r="G79" i="1"/>
  <c r="G28" i="1"/>
  <c r="G37" i="1"/>
  <c r="K11" i="4" l="1"/>
  <c r="G11" i="4"/>
  <c r="R11" i="4" s="1"/>
  <c r="S5" i="4"/>
  <c r="O28" i="1"/>
  <c r="P28" i="1" s="1"/>
  <c r="Q78" i="1"/>
  <c r="R78" i="1" s="1"/>
  <c r="O79" i="1"/>
  <c r="P79" i="1" s="1"/>
  <c r="O80" i="1"/>
  <c r="P80" i="1" s="1"/>
  <c r="Q28" i="1"/>
  <c r="Q57" i="1"/>
  <c r="R57" i="1" s="1"/>
  <c r="O58" i="1"/>
  <c r="G81" i="1"/>
  <c r="L8" i="4" l="1"/>
  <c r="M8" i="4"/>
  <c r="Q37" i="1"/>
  <c r="R28" i="1"/>
  <c r="R37" i="1" s="1"/>
  <c r="D89" i="1"/>
  <c r="P58" i="1"/>
  <c r="Q80" i="1"/>
  <c r="R80" i="1" s="1"/>
  <c r="Q79" i="1"/>
  <c r="R79" i="1" s="1"/>
  <c r="R81" i="1" s="1"/>
  <c r="Q81" i="1"/>
  <c r="Q58" i="1"/>
  <c r="S8" i="4" l="1"/>
  <c r="S17" i="4" s="1"/>
  <c r="P17" i="4"/>
  <c r="Q59" i="1"/>
  <c r="G93" i="1" s="1"/>
  <c r="G95" i="1" s="1"/>
  <c r="R58" i="1"/>
  <c r="R59" i="1" s="1"/>
  <c r="D36" i="5"/>
  <c r="G32" i="5"/>
  <c r="O32" i="5" s="1"/>
  <c r="P32" i="5" s="1"/>
  <c r="Q32" i="5" s="1"/>
  <c r="R32" i="5" s="1"/>
  <c r="E12" i="4"/>
  <c r="G12" i="4" s="1"/>
  <c r="G29" i="5"/>
  <c r="E9" i="4" s="1"/>
  <c r="G9" i="4" s="1"/>
  <c r="H9" i="4" s="1"/>
  <c r="O29" i="5"/>
  <c r="P29" i="5" s="1"/>
  <c r="Q29" i="5" s="1"/>
  <c r="R29" i="5" s="1"/>
  <c r="G28" i="5"/>
  <c r="O28" i="5"/>
  <c r="D86" i="5" s="1"/>
  <c r="P28" i="5"/>
  <c r="Q28" i="5"/>
  <c r="Q36" i="5" s="1"/>
  <c r="G90" i="5" s="1"/>
  <c r="G92" i="5" s="1"/>
  <c r="R28" i="5"/>
  <c r="R36" i="5"/>
  <c r="R12" i="4" l="1"/>
  <c r="H12" i="4"/>
  <c r="G36" i="5"/>
  <c r="E8" i="4"/>
  <c r="G8" i="4" s="1"/>
  <c r="H8" i="4" s="1"/>
  <c r="R9" i="4" l="1"/>
  <c r="R8" i="4"/>
</calcChain>
</file>

<file path=xl/comments1.xml><?xml version="1.0" encoding="utf-8"?>
<comments xmlns="http://schemas.openxmlformats.org/spreadsheetml/2006/main" xmlns:mc="http://schemas.openxmlformats.org/markup-compatibility/2006" xmlns:xr="http://schemas.microsoft.com/office/spreadsheetml/2014/revision" mc:Ignorable="xr">
  <authors>
    <author>tc={8A545F9F-4956-4688-B54F-EEEA9051941B}</author>
    <author>tc={B24A30A4-E52E-4F88-B075-0C93621216F4}</author>
  </authors>
  <commentList>
    <comment ref="D6" authorId="0" shapeId="0" xr:uid="{8A545F9F-4956-4688-B54F-EEEA9051941B}">
      <text>
        <t xml:space="preserve">[Opmerkingenthread]
U kunt deze opmerkingenthread lezen in uw versie van Excel. Eventuele wijzigingen aan de thread gaan echter verloren als het bestand wordt geopend in een nieuwere versie van Excel. Meer informatie: https://go.microsoft.com/fwlink/?linkid=870924
Opmerking:
    @Kerste, Petra wat willen we hier tonen als er nog niks is ingevuld. Blanco lege velden, of iets van instructie? 
Beantwoorden:
    Ik heb hier nu een Invoerbericht ingesteld. Als je de cellen D8:D11 selecteert dan verschijnt er een toelichting in het scherm. </t>
      </text>
    </comment>
    <comment ref="D18" authorId="1" shapeId="0" xr:uid="{B24A30A4-E52E-4F88-B075-0C93621216F4}">
      <text>
        <t xml:space="preserve">[Opmerkingenthread]
U kunt deze opmerkingenthread lezen in uw versie van Excel. Eventuele wijzigingen aan de thread gaan echter verloren als het bestand wordt geopend in een nieuwere versie van Excel. Meer informatie: https://go.microsoft.com/fwlink/?linkid=870924
Opmerking:
    @Kerste, Petra Voor de prognose van KG's moeten we bedrijfsafval nog toevoeggen. Bespreken we zo even. 
Beantwoorden:
    Alleen dit moet nog aangepast worden. De namen van de locaties, aantal woningen en verwijzing daarnaar zijn al aangepast. 
Beantwoorden:
    @Vaatstra, Maartenen @Vrancken, Maarten
Even ter indicatie: In de kolommen AA:AI in deze regels heb ik een voorlopige berekening gemaakt waar bedrijfsafval bij in zit. Dat scheelt op sommige complexen wel echt enorm veel in. Goed om als aandachtspunt scherp te hebben dat het wellicht niet overal past in de ruimte die we hebben, afhankelijk van hoe dit ooit is berekend. </t>
      </text>
    </comment>
  </commentList>
</comments>
</file>

<file path=xl/sharedStrings.xml><?xml version="1.0" encoding="utf-8"?>
<sst xmlns="http://schemas.openxmlformats.org/spreadsheetml/2006/main" count="577" uniqueCount="229">
  <si>
    <t>Toelichting prijzenblad Mini-perscontainers</t>
  </si>
  <si>
    <t>U vult alle gele cellen in. Inschrijfprijzen zijn excl. btw</t>
  </si>
  <si>
    <t>Uitgangspunten bij het opstellen van het prijzenblad</t>
  </si>
  <si>
    <t>Inschrijvers geven voor de pers-systemen en de gfe-containers één of twee mogelijkheden op in regels 8, 9, 10 en 11.</t>
  </si>
  <si>
    <t xml:space="preserve">Dit is mogelijk gemaakt om flexibiliteit te bieden in de oplossingen voor verschillende gebouwen met o.a. andere technische vereisten. </t>
  </si>
  <si>
    <t>Het is mogelijk om een ander systeem te gebruiken voor gfe ten opzichte van het systeem voor restafval en papier en karton.</t>
  </si>
  <si>
    <t xml:space="preserve">Per locatie (bouwblok) wordt er voor restafval en papier en karton dezelfde perscontainer ingezet. Het is niet mogelijk 2 typen containers te combineren. </t>
  </si>
  <si>
    <t>De tabel werkt met vaststaande cijfers voor bepaalde informatie, zoals het soortelijk gewicht en de verdichtingsgraad per fractie.</t>
  </si>
  <si>
    <t>Invulinstructies</t>
  </si>
  <si>
    <t xml:space="preserve">In de tabel kan per locatie een systeem gekozen worden. </t>
  </si>
  <si>
    <t>Daarna kan per locatie en systeem het aantal in te zetten containers bepaald worden.</t>
  </si>
  <si>
    <t xml:space="preserve">Let er op dat dit aantal past in de beschreven ruimtes per locatie. </t>
  </si>
  <si>
    <t xml:space="preserve">Om te zorgen dat er nooit overloop plaatsvindt is het gemiddelde aantal inzamelmomenten per week gemaximaliseerd op 2. </t>
  </si>
  <si>
    <t xml:space="preserve">Zo is in de planning ruimte beschikbaar voor het inplannen voor een 3e inzamelmoment mocht dit bij uitzondering nodig zijn. </t>
  </si>
  <si>
    <t xml:space="preserve">Gfe wordt i.v.m. hygiëne minimaal 26* per jaar geledigd, daarom is in de cellen Q64:Q80 de minimale waarde 26* het aantal containers. </t>
  </si>
  <si>
    <t xml:space="preserve">De tabel geeft geen uitkomst wanneer er gegevens ontbreken of er teveel inzamelmomenten ingepland staan. </t>
  </si>
  <si>
    <t xml:space="preserve">Als de tabel geen totaalprijs geeft missen er nog gegevens of is de capaciteit van de containers op een locatie te laag. </t>
  </si>
  <si>
    <t xml:space="preserve"> </t>
  </si>
  <si>
    <t>Prijzenblad Mini-perscontainers</t>
  </si>
  <si>
    <t>Type miniperscontainer</t>
  </si>
  <si>
    <t>Omschrijving type container en persmechanisme</t>
  </si>
  <si>
    <t>Inhoud per container*</t>
  </si>
  <si>
    <t>All-in huurtarief **
per container per jaar</t>
  </si>
  <si>
    <t>All-in ledigingstarief **
per lediging per container</t>
  </si>
  <si>
    <t>Tonnage Rest per jaar:</t>
  </si>
  <si>
    <t>kilo p.j.p.inwoner</t>
  </si>
  <si>
    <t>Tonnage OPK per jaar:</t>
  </si>
  <si>
    <t>Jaarlijks all-in tarief perscontainer (rest en OPK): optie 1</t>
  </si>
  <si>
    <t xml:space="preserve">Tonnage GFE per jaar: </t>
  </si>
  <si>
    <t>Jaarlijks all-in tarief perscontainer (rest en OPK) : optie 2</t>
  </si>
  <si>
    <t>Inwoners per huishouden:</t>
  </si>
  <si>
    <t>inwoners</t>
  </si>
  <si>
    <t>Jaarlijks all-in tarief gfe-container: optie 1</t>
  </si>
  <si>
    <t>Jaarlijks all-in tarief gfe-container : optie 2</t>
  </si>
  <si>
    <r>
      <rPr>
        <i/>
        <sz val="10"/>
        <color rgb="FF000000"/>
        <rFont val="Calibri"/>
        <family val="2"/>
        <scheme val="minor"/>
      </rPr>
      <t>* Gebaseerd op de totale capaciteit in aantal m</t>
    </r>
    <r>
      <rPr>
        <i/>
        <vertAlign val="superscript"/>
        <sz val="10"/>
        <color rgb="FF000000"/>
        <rFont val="Calibri"/>
        <family val="2"/>
        <scheme val="minor"/>
      </rPr>
      <t>3</t>
    </r>
    <r>
      <rPr>
        <i/>
        <sz val="10"/>
        <color rgb="FF000000"/>
        <rFont val="Calibri"/>
        <family val="2"/>
        <scheme val="minor"/>
      </rPr>
      <t xml:space="preserve"> per container. Dit is gelijk aan 1000 liter.</t>
    </r>
  </si>
  <si>
    <t>** All-in tarief per container/ cassette, inclusief alle diensten zoals omschreven in de aanbestedingsdocumenten</t>
  </si>
  <si>
    <t>Kies het type container per gebouw</t>
  </si>
  <si>
    <t>Containeroptie 1 (zie regel 8)</t>
  </si>
  <si>
    <t>Containeroptie 1 (zie regel 10)</t>
  </si>
  <si>
    <t>Locaties*</t>
  </si>
  <si>
    <t>Aanbod restafval**</t>
  </si>
  <si>
    <t>Soortelijk gewicht</t>
  </si>
  <si>
    <t>Verdichtingsfactor</t>
  </si>
  <si>
    <t>Aanbod: Gewicht naar inhoud</t>
  </si>
  <si>
    <t>In te zetten type container</t>
  </si>
  <si>
    <t>Aantal containers</t>
  </si>
  <si>
    <t>Capaciteit containers o.b.v. 80%</t>
  </si>
  <si>
    <t>Huur per container p.j.</t>
  </si>
  <si>
    <t>Containerkosten per jaar</t>
  </si>
  <si>
    <t>Prijs per lediging</t>
  </si>
  <si>
    <t>Ledigingen per week***</t>
  </si>
  <si>
    <t>Aantal ledigingen per jaar</t>
  </si>
  <si>
    <t>Ledigingskosten per jaar</t>
  </si>
  <si>
    <t>Totale kosten locatie per jaar</t>
  </si>
  <si>
    <t>Containeroptie 2 (zie regel 9)</t>
  </si>
  <si>
    <t>Containeroptie 2 (zie regel 11)</t>
  </si>
  <si>
    <t>Bedrijfsafval per week</t>
  </si>
  <si>
    <t>Inzameling en transport van Restafval</t>
  </si>
  <si>
    <t>= kolom (E/F)/G</t>
  </si>
  <si>
    <t>Locaties</t>
  </si>
  <si>
    <t>Woningen</t>
  </si>
  <si>
    <t>Bedrijfsruimte</t>
  </si>
  <si>
    <t>Rest BA</t>
  </si>
  <si>
    <t>OPK BA</t>
  </si>
  <si>
    <t>pj</t>
  </si>
  <si>
    <t>gfe BA</t>
  </si>
  <si>
    <t>Huidig rest</t>
  </si>
  <si>
    <t>Nieuw rest</t>
  </si>
  <si>
    <t>Verhoging incl bedrijfsafval</t>
  </si>
  <si>
    <t>m2 afvalruimte</t>
  </si>
  <si>
    <t>kilo's per m2</t>
  </si>
  <si>
    <t>Oud OPK</t>
  </si>
  <si>
    <t>Nieuw OPK</t>
  </si>
  <si>
    <t>Oud gfe</t>
  </si>
  <si>
    <t>Nieuw gfe</t>
  </si>
  <si>
    <t xml:space="preserve">Wonderwoods MSVA </t>
  </si>
  <si>
    <t xml:space="preserve">Wonderwoods Boeri </t>
  </si>
  <si>
    <t xml:space="preserve">Vaste verdichtingsfactor gebruiken in berekeningen en benoemen </t>
  </si>
  <si>
    <t>Bouwblok 1 a-b</t>
  </si>
  <si>
    <t>Afvalstroom</t>
  </si>
  <si>
    <t>Ongeperst</t>
  </si>
  <si>
    <t>Geperst</t>
  </si>
  <si>
    <t>Berekening</t>
  </si>
  <si>
    <t>Bouwblok 1 a-g</t>
  </si>
  <si>
    <t>Soortelijk gewicht doorrekenen naar benodigde capaciteit met ingezameld gewicht</t>
  </si>
  <si>
    <t xml:space="preserve">Bouwblok 2a </t>
  </si>
  <si>
    <t>Papier/karton</t>
  </si>
  <si>
    <t>120 kg/m³</t>
  </si>
  <si>
    <t>kg/m³</t>
  </si>
  <si>
    <t>Bouwblok 3 School + sporthal</t>
  </si>
  <si>
    <t>?</t>
  </si>
  <si>
    <t>GFE</t>
  </si>
  <si>
    <t>300 kg/m³</t>
  </si>
  <si>
    <t>Bouwblok 4 Bloom Zuid</t>
  </si>
  <si>
    <t>Restafval</t>
  </si>
  <si>
    <t>110 kg/m³</t>
  </si>
  <si>
    <t xml:space="preserve">Bouwblok 5 Bloom Zuid </t>
  </si>
  <si>
    <t>Bouwblok 7</t>
  </si>
  <si>
    <t>7a en 7b samen</t>
  </si>
  <si>
    <t>Kies het aantal containers per gebouw</t>
  </si>
  <si>
    <t xml:space="preserve">Bouwblok 8 Grow </t>
  </si>
  <si>
    <t>Bouwblok 9 Joy</t>
  </si>
  <si>
    <t>Bouwblok 10 Pulse</t>
  </si>
  <si>
    <t>Bouwblok 11</t>
  </si>
  <si>
    <t>Bouwblok 12 a Bloom Park</t>
  </si>
  <si>
    <t>Bouwblok 13 Cix City</t>
  </si>
  <si>
    <t>Bouwblok 14 Cix Theatre</t>
  </si>
  <si>
    <t>Huurkosten restafval</t>
  </si>
  <si>
    <t>Inzamelkosten restafval</t>
  </si>
  <si>
    <t>Aanbod fractie**</t>
  </si>
  <si>
    <t>Inzameling en transport van oud papier en karton (OPK)</t>
  </si>
  <si>
    <t>Hoeveelheid RESTper m2 bedrijfsoppervlakte</t>
  </si>
  <si>
    <t>oorspronkelijk</t>
  </si>
  <si>
    <t>Hoeveelheid OPK per m2 bedrijfsoppervlakte</t>
  </si>
  <si>
    <t>Hoeveelheid GFE per m2 bedrijfsoppervlakte</t>
  </si>
  <si>
    <t>rest</t>
  </si>
  <si>
    <t>opk</t>
  </si>
  <si>
    <t>gfe</t>
  </si>
  <si>
    <t>Huurkosten papier en karton</t>
  </si>
  <si>
    <t>Inzamelkosten papier en karton</t>
  </si>
  <si>
    <t>Aantal ledigingen per jaar****</t>
  </si>
  <si>
    <t>Inzameling en transport van groente-, fruit- en etensresten (gfe)</t>
  </si>
  <si>
    <t>= kolom (E/F)</t>
  </si>
  <si>
    <t>Niet van toepassing</t>
  </si>
  <si>
    <t>Huurkosten gfe</t>
  </si>
  <si>
    <t>Inzamelkosten gfe</t>
  </si>
  <si>
    <t xml:space="preserve">* De oplevering van de woningen is gefaseerd, de woningen zullen niet allemaal vanaf startdatum contract bewoond zijn. Deze berekening gaat uit van volledige bewoning. </t>
  </si>
  <si>
    <t xml:space="preserve">**Dit is een indicatie op basis van beschikbare gegevens. De daadwerkelijke hoeveelheid kan afwijken, hier kunnen geen rechten aan worden ontleend. </t>
  </si>
  <si>
    <t>*** Het maximale toegestane gemiddelde aantal ledigingsmomenten per week is 2. Een waarde boven de 2 in deze cellen is niet toegestaan.</t>
  </si>
  <si>
    <t>****Gfe containers dienen i.v.m. hygiëne minimaal elke 2 weken te worden geleegd. Daarom is deze waarde minimaal 26* het aantal geplaatste containers.</t>
  </si>
  <si>
    <t>Totale huurkosten per jaar</t>
  </si>
  <si>
    <t>Totale ledigingskosten per jaar</t>
  </si>
  <si>
    <t>Inschrijvingsprijs</t>
  </si>
  <si>
    <t>geschatte kosten per jaar</t>
  </si>
  <si>
    <t>Ondertekenend op</t>
  </si>
  <si>
    <t>....</t>
  </si>
  <si>
    <t>te</t>
  </si>
  <si>
    <t>...</t>
  </si>
  <si>
    <t>Naam bedrijf:</t>
  </si>
  <si>
    <t xml:space="preserve">Naam contactpersoon: </t>
  </si>
  <si>
    <t>Handtekening:</t>
  </si>
  <si>
    <t>3 m3 perscontainer</t>
  </si>
  <si>
    <t>2 m3 perscontainer</t>
  </si>
  <si>
    <t>Minicontainer 240 l</t>
  </si>
  <si>
    <t>Rolcontainer</t>
  </si>
  <si>
    <t>Bouwblok 18 Depot</t>
  </si>
  <si>
    <t>Inzameling en transport van Papier en karton</t>
  </si>
  <si>
    <t>Inzameling en transport van gfe</t>
  </si>
  <si>
    <t>****Gfe containers dienen i.v.m. hygiëne elke 2 weken te worden geleegd. Daarom is deze waarde minimaal 26* het aantal geplaatste containers.</t>
  </si>
  <si>
    <t>Max aantal perscontainers rest</t>
  </si>
  <si>
    <t>2e ruimte?</t>
  </si>
  <si>
    <t>Restafval HHA+BA</t>
  </si>
  <si>
    <t>Alleen Rest</t>
  </si>
  <si>
    <t>Capaciteit</t>
  </si>
  <si>
    <t>Aanbod kg</t>
  </si>
  <si>
    <t>Per jaar</t>
  </si>
  <si>
    <t>Capaciteit kg</t>
  </si>
  <si>
    <t>Verschil</t>
  </si>
  <si>
    <t>Extra containers</t>
  </si>
  <si>
    <t>kg verschil</t>
  </si>
  <si>
    <t>Past</t>
  </si>
  <si>
    <t>Aanbod BA</t>
  </si>
  <si>
    <t>BA binnen scope</t>
  </si>
  <si>
    <t>BA per jaar</t>
  </si>
  <si>
    <t>Rest op prijzenblad</t>
  </si>
  <si>
    <t>BA buiten scope</t>
  </si>
  <si>
    <t>BA met pers</t>
  </si>
  <si>
    <t>Teveel BA, past geen pers bij</t>
  </si>
  <si>
    <t>x BA apart</t>
  </si>
  <si>
    <t>x</t>
  </si>
  <si>
    <t>Teveel BA, onbekend of meer persen passen</t>
  </si>
  <si>
    <t>UItgaande van 1 pers meer dan Rebel gepland heeft, zou moeten passen</t>
  </si>
  <si>
    <t>Teveel BA</t>
  </si>
  <si>
    <t>? BA apart</t>
  </si>
  <si>
    <t>Nog niet ingevuld, ruimte onbekend. Incl BA minimaal 4 persen rest nodig . instellen op 0 ba</t>
  </si>
  <si>
    <t>Alleen BA, keuze maken wel/niet binnen opdracht</t>
  </si>
  <si>
    <t>2* pw</t>
  </si>
  <si>
    <t>Capaciteit uitgangspunten</t>
  </si>
  <si>
    <t>Capaciteit per perscontainer rest</t>
  </si>
  <si>
    <t>m3</t>
  </si>
  <si>
    <t>3m3 container</t>
  </si>
  <si>
    <t>Capaciteit per perscontainer OPK</t>
  </si>
  <si>
    <t>Verdichting uit kolom F</t>
  </si>
  <si>
    <t>Soortelijk gewicht rest</t>
  </si>
  <si>
    <t>kg/m3</t>
  </si>
  <si>
    <t>max 2* per week legen</t>
  </si>
  <si>
    <t>Soortelijk gewicht OPK</t>
  </si>
  <si>
    <t>beschikbare ruimte uit studie Rebel</t>
  </si>
  <si>
    <t xml:space="preserve">gaat nu overal uit van 1.9 bewoners per adres, in sommige blokken waarschijnlijk lager --&gt; minder aanbod </t>
  </si>
  <si>
    <t>in WW is gerekend met 1,5 bewoners per adres. Zal in appartementencomplexen hier ook van toepassing zijn en scheelt 25% van het HHA</t>
  </si>
  <si>
    <t>berekeningen zijn gebaseerd obv 80% vulgraad</t>
  </si>
  <si>
    <t>gfe buiten beschouwing, past overal ruim</t>
  </si>
  <si>
    <t>Vragen voor overleg</t>
  </si>
  <si>
    <t>Bouwblok 18 = geen woningen meer, wil de gemeente dan alsnog de afvalinzameling oppakken en uitvoeren of dit geheel aan de partijen zelf overlaten?</t>
  </si>
  <si>
    <t>grotere omvang opdracht is aantrekkelijker en goed voor tarieven, zorgt wel dat gemeente moet bepalen wie wel/niet kunnen aansluiten</t>
  </si>
  <si>
    <t>Ingetekend</t>
  </si>
  <si>
    <t>Ruimte pers</t>
  </si>
  <si>
    <t>Ruimte gfe</t>
  </si>
  <si>
    <t>Nodig</t>
  </si>
  <si>
    <t>Bijzonderheden</t>
  </si>
  <si>
    <t>Bedrijfsafval telt niet mee</t>
  </si>
  <si>
    <t>Persen staan niet ingetekend maar is wel een afvalruimte voor gereserveerd. 3x een nis voor pers of GFE hul</t>
  </si>
  <si>
    <t xml:space="preserve">3x pers 1x GFE hul. 1 extra ruimte voor mogelijk 3 persen voor zakelijk afval supermarkt en bouwmarkt. Deze is alleen via supermarkt / bouwmarkt bereikbaar. Niet voor bewoners via parkeergarage. </t>
  </si>
  <si>
    <t>Bedrijfsafval in aanvullende ruimte, hoeveelheid aanpassen omlaag. Bedrijfsafval supermarkt + bouwmarkt niet meerekenen</t>
  </si>
  <si>
    <t>4x pers 1x GFE hul</t>
  </si>
  <si>
    <t xml:space="preserve">3x pers 1x GFE. Afspraak over geweest met Maarten Vrancken eind Mei. Conclusie was dat afvalruimte niet voldoet en nog verder uitgewerkt moet worden. </t>
  </si>
  <si>
    <t>School, sporthal</t>
  </si>
  <si>
    <t>2x pers 1x GFE hul</t>
  </si>
  <si>
    <t>2x pers 1x GFE hul. Mogelijk nog ruimte voor 1 pers extra</t>
  </si>
  <si>
    <t>Bouwblok 7a en b</t>
  </si>
  <si>
    <t xml:space="preserve">duurt nog lang, oplevering 2031, zijn nog in ontwerp fase. AFvalruimte zit in dit deel. </t>
  </si>
  <si>
    <t>Nodig = 4 persen en 1 grote gfe</t>
  </si>
  <si>
    <t xml:space="preserve">4x pers 1x GFE hul + extra afvalruimte voor voorzieningen zoals KDV. </t>
  </si>
  <si>
    <t>KDV en voorzieningen hebben eigen afvalruimte. Onderzoeken locatie</t>
  </si>
  <si>
    <t>Groot deel school / KDV/ Cultuur/ Zorg</t>
  </si>
  <si>
    <t>600 m2 buurtcentrum, 125 m2 horeca</t>
  </si>
  <si>
    <t xml:space="preserve">3x pers 1x GFE hul. Oplevering over een paar jaar pas. </t>
  </si>
  <si>
    <t>School</t>
  </si>
  <si>
    <t>3x pers 1x GFE hul voor koop gedeelte. 
3x pers 1xGFE hul voor sociale huur.  
2 ruimtes, want 2 eigenaren</t>
  </si>
  <si>
    <t xml:space="preserve">2 ruimtes, maar is niet gesplitst in onze opzet. </t>
  </si>
  <si>
    <t xml:space="preserve">2x pers 1x GFE hul. Een deel van blok 12 wordt eerder opgeleverd dan de toren waar de containerruimte in zit. </t>
  </si>
  <si>
    <t>Sportzaal en school</t>
  </si>
  <si>
    <t xml:space="preserve">4x pers 1x GFE hul. Is wel krap ingetekend, mogelijk 1 pers minder. </t>
  </si>
  <si>
    <t>Krap ingetekend</t>
  </si>
  <si>
    <t>3x pers 1x GFE hul</t>
  </si>
  <si>
    <t>wijkcultuurhuis</t>
  </si>
  <si>
    <t xml:space="preserve">2x pers 1x GFE. Alleen voorzieningen, geen woningen. Dus deze partijen moeten zelf iets regelen qua inzameling. </t>
  </si>
  <si>
    <t>Te krap</t>
  </si>
  <si>
    <t>Foodhall, werkplaatsen, werkplekken en kantoren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</si>
</sst>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6">
    <numFmt numFmtId="44" formatCode="_ &quot;€&quot;\ * #,##0.00_ ;_ &quot;€&quot;\ * \-#,##0.00_ ;_ &quot;€&quot;\ * &quot;-&quot;??_ ;_ @_ "/>
    <numFmt numFmtId="164" formatCode="0\ &quot;kilo per week&quot;"/>
    <numFmt numFmtId="165" formatCode="0\ &quot;kilo totaal&quot;"/>
    <numFmt numFmtId="166" formatCode="0\ &quot;containers totaal&quot;"/>
    <numFmt numFmtId="167" formatCode="0\ &quot;container(s) nodig&quot;"/>
    <numFmt numFmtId="168" formatCode="0\ &quot;liter per week&quot;"/>
    <numFmt numFmtId="169" formatCode="0\ &quot;kg/m³&quot;"/>
    <numFmt numFmtId="170" formatCode="0\ &quot;m³&quot;"/>
    <numFmt numFmtId="171" formatCode="0.00\ &quot;m³&quot;"/>
    <numFmt numFmtId="172" formatCode="0.00\ &quot;m³ per container&quot;"/>
    <numFmt numFmtId="173" formatCode="0\ &quot;ledigingen per jaar&quot;"/>
    <numFmt numFmtId="174" formatCode="0.0\ &quot;per container&quot;"/>
    <numFmt numFmtId="175" formatCode="0.00\ &quot;m3 per week&quot;"/>
    <numFmt numFmtId="176" formatCode="0.0"/>
    <numFmt numFmtId="177" formatCode="0.0\ &quot;kilo per week&quot;"/>
    <numFmt numFmtId="178" formatCode="_ * #,##0_ ;_ * \-#,##0_ ;_ * &quot;-&quot;??_ ;_ @_ "/>
  </numFmts>
  <fonts count="23" x14ac:knownFonts="1">
    <font>
      <sz val="11"/>
      <color theme="1"/>
      <name val="Calibri"/>
      <family val="2"/>
      <scheme val="minor"/>
    </font>
    <font>
      <sz val="11"/>
      <color theme="1"/>
      <name val="Calibri"/>
      <family val="2"/>
      <scheme val="minor"/>
    </font>
    <font>
      <b/>
      <sz val="11"/>
      <color theme="1"/>
      <name val="Calibri"/>
      <family val="2"/>
      <scheme val="minor"/>
    </font>
    <font>
      <i/>
      <sz val="11"/>
      <color theme="1"/>
      <name val="Calibri"/>
      <family val="2"/>
      <scheme val="minor"/>
    </font>
    <font>
      <sz val="9"/>
      <color theme="1"/>
      <name val="Calibri"/>
      <family val="2"/>
      <scheme val="minor"/>
    </font>
    <font>
      <b/>
      <sz val="12"/>
      <color theme="1"/>
      <name val="Calibri"/>
      <family val="2"/>
      <scheme val="minor"/>
    </font>
    <font>
      <sz val="12"/>
      <color theme="1"/>
      <name val="Calibri"/>
      <family val="2"/>
      <scheme val="minor"/>
    </font>
    <font>
      <b/>
      <sz val="18"/>
      <color theme="1"/>
      <name val="Calibri"/>
      <family val="2"/>
      <scheme val="minor"/>
    </font>
    <font>
      <i/>
      <sz val="9"/>
      <color theme="1"/>
      <name val="Calibri"/>
      <family val="2"/>
      <scheme val="minor"/>
    </font>
    <font>
      <b/>
      <i/>
      <sz val="11"/>
      <color theme="1"/>
      <name val="Calibri"/>
      <family val="2"/>
      <scheme val="minor"/>
    </font>
    <font>
      <sz val="11"/>
      <color theme="0"/>
      <name val="Calibri"/>
      <family val="2"/>
      <scheme val="minor"/>
    </font>
    <font>
      <i/>
      <sz val="10"/>
      <color theme="1"/>
      <name val="Calibri"/>
      <family val="2"/>
      <scheme val="minor"/>
    </font>
    <font>
      <sz val="11"/>
      <color rgb="FF000000"/>
      <name val="Calibri"/>
      <family val="2"/>
      <scheme val="minor"/>
    </font>
    <font>
      <b/>
      <sz val="12"/>
      <color theme="0"/>
      <name val="Calibri"/>
      <family val="2"/>
      <scheme val="minor"/>
    </font>
    <font>
      <i/>
      <sz val="11"/>
      <color rgb="FF000000"/>
      <name val="Calibri"/>
      <family val="2"/>
      <scheme val="minor"/>
    </font>
    <font>
      <sz val="11"/>
      <color rgb="FF242424"/>
      <name val="Aptos Narrow"/>
      <family val="2"/>
    </font>
    <font>
      <b/>
      <sz val="11"/>
      <color theme="0"/>
      <name val="Calibri"/>
      <family val="2"/>
      <scheme val="minor"/>
    </font>
    <font>
      <i/>
      <sz val="10"/>
      <color rgb="FF000000"/>
      <name val="Calibri"/>
      <family val="2"/>
      <scheme val="minor"/>
    </font>
    <font>
      <i/>
      <vertAlign val="superscript"/>
      <sz val="10"/>
      <color rgb="FF000000"/>
      <name val="Calibri"/>
      <family val="2"/>
      <scheme val="minor"/>
    </font>
    <font>
      <sz val="14"/>
      <color rgb="FF000000"/>
      <name val="Calibri"/>
      <family val="2"/>
      <scheme val="minor"/>
    </font>
    <font>
      <sz val="11"/>
      <color theme="1"/>
      <name val="Ebrima"/>
    </font>
    <font>
      <sz val="10"/>
      <color rgb="FF000000"/>
      <name val="Arial"/>
      <family val="2"/>
    </font>
    <font>
      <b/>
      <i/>
      <sz val="18"/>
      <color theme="0"/>
      <name val="Calibri"/>
      <family val="2"/>
      <scheme val="minor"/>
    </font>
  </fonts>
  <fills count="16">
    <fill>
      <patternFill patternType="none"/>
    </fill>
    <fill>
      <patternFill patternType="gray125"/>
    </fill>
    <fill>
      <patternFill patternType="solid">
        <fgColor rgb="FFFF0000"/>
        <bgColor indexed="64"/>
      </patternFill>
    </fill>
    <fill>
      <patternFill patternType="solid">
        <fgColor rgb="FFFFFF00"/>
        <bgColor indexed="64"/>
      </patternFill>
    </fill>
    <fill>
      <patternFill patternType="solid">
        <fgColor theme="1"/>
        <bgColor indexed="64"/>
      </patternFill>
    </fill>
    <fill>
      <patternFill patternType="solid">
        <fgColor theme="2" tint="-9.9978637043366805E-2"/>
        <bgColor indexed="64"/>
      </patternFill>
    </fill>
    <fill>
      <patternFill patternType="solid">
        <fgColor theme="4" tint="0.79998168889431442"/>
        <bgColor indexed="64"/>
      </patternFill>
    </fill>
    <fill>
      <patternFill patternType="solid">
        <fgColor theme="9" tint="0.79998168889431442"/>
        <bgColor indexed="64"/>
      </patternFill>
    </fill>
    <fill>
      <patternFill patternType="solid">
        <fgColor theme="4" tint="0.59999389629810485"/>
        <bgColor indexed="64"/>
      </patternFill>
    </fill>
    <fill>
      <patternFill patternType="solid">
        <fgColor theme="9" tint="0.59999389629810485"/>
        <bgColor indexed="64"/>
      </patternFill>
    </fill>
    <fill>
      <patternFill patternType="solid">
        <fgColor rgb="FFFFFFAF"/>
        <bgColor indexed="64"/>
      </patternFill>
    </fill>
    <fill>
      <patternFill patternType="solid">
        <fgColor rgb="FFFCFEB4"/>
        <bgColor indexed="64"/>
      </patternFill>
    </fill>
    <fill>
      <patternFill patternType="solid">
        <fgColor theme="5" tint="0.39997558519241921"/>
        <bgColor indexed="64"/>
      </patternFill>
    </fill>
    <fill>
      <patternFill patternType="solid">
        <fgColor rgb="FFFFC000"/>
        <bgColor indexed="64"/>
      </patternFill>
    </fill>
    <fill>
      <patternFill patternType="solid">
        <fgColor theme="5" tint="0.59999389629810485"/>
        <bgColor indexed="64"/>
      </patternFill>
    </fill>
    <fill>
      <patternFill patternType="solid">
        <fgColor theme="5" tint="0.79998168889431442"/>
        <bgColor indexed="64"/>
      </patternFill>
    </fill>
  </fills>
  <borders count="16">
    <border>
      <left/>
      <right/>
      <top/>
      <bottom/>
      <diagonal/>
    </border>
    <border>
      <left/>
      <right/>
      <top/>
      <bottom style="double">
        <color rgb="FF000000"/>
      </bottom>
      <diagonal/>
    </border>
    <border>
      <left style="medium">
        <color rgb="FF000000"/>
      </left>
      <right/>
      <top/>
      <bottom/>
      <diagonal/>
    </border>
    <border>
      <left style="medium">
        <color rgb="FF000000"/>
      </left>
      <right/>
      <top/>
      <bottom style="medium">
        <color rgb="FF000000"/>
      </bottom>
      <diagonal/>
    </border>
    <border>
      <left style="medium">
        <color rgb="FF000000"/>
      </left>
      <right/>
      <top style="medium">
        <color rgb="FF000000"/>
      </top>
      <bottom/>
      <diagonal/>
    </border>
    <border>
      <left/>
      <right/>
      <top/>
      <bottom style="thin">
        <color rgb="FF000000"/>
      </bottom>
      <diagonal/>
    </border>
    <border>
      <left style="thin">
        <color rgb="FF000000"/>
      </left>
      <right style="thin">
        <color rgb="FF000000"/>
      </right>
      <top style="thin">
        <color rgb="FF000000"/>
      </top>
      <bottom style="thin">
        <color rgb="FF000000"/>
      </bottom>
      <diagonal/>
    </border>
    <border>
      <left style="medium">
        <color rgb="FF000000"/>
      </left>
      <right/>
      <top style="medium">
        <color rgb="FF000000"/>
      </top>
      <bottom style="medium">
        <color rgb="FF000000"/>
      </bottom>
      <diagonal/>
    </border>
    <border>
      <left/>
      <right/>
      <top style="medium">
        <color rgb="FF000000"/>
      </top>
      <bottom style="medium">
        <color rgb="FF000000"/>
      </bottom>
      <diagonal/>
    </border>
    <border>
      <left/>
      <right style="medium">
        <color rgb="FF000000"/>
      </right>
      <top style="medium">
        <color rgb="FF000000"/>
      </top>
      <bottom style="medium">
        <color rgb="FF000000"/>
      </bottom>
      <diagonal/>
    </border>
    <border>
      <left style="thin">
        <color rgb="FF000000"/>
      </left>
      <right style="thin">
        <color rgb="FF000000"/>
      </right>
      <top style="thin">
        <color rgb="FF000000"/>
      </top>
      <bottom style="double">
        <color rgb="FF000000"/>
      </bottom>
      <diagonal/>
    </border>
    <border>
      <left style="medium">
        <color rgb="FF000000"/>
      </left>
      <right style="medium">
        <color rgb="FF000000"/>
      </right>
      <top style="medium">
        <color rgb="FF000000"/>
      </top>
      <bottom style="medium">
        <color rgb="FF000000"/>
      </bottom>
      <diagonal/>
    </border>
    <border>
      <left/>
      <right style="medium">
        <color rgb="FF000000"/>
      </right>
      <top style="medium">
        <color rgb="FF000000"/>
      </top>
      <bottom/>
      <diagonal/>
    </border>
    <border>
      <left/>
      <right/>
      <top style="medium">
        <color rgb="FF000000"/>
      </top>
      <bottom/>
      <diagonal/>
    </border>
    <border>
      <left/>
      <right/>
      <top/>
      <bottom style="medium">
        <color rgb="FF000000"/>
      </bottom>
      <diagonal/>
    </border>
    <border>
      <left/>
      <right style="medium">
        <color rgb="FF000000"/>
      </right>
      <top/>
      <bottom style="medium">
        <color rgb="FF000000"/>
      </bottom>
      <diagonal/>
    </border>
  </borders>
  <cellStyleXfs count="1">
    <xf numFmtId="0" fontId="0" fillId="0" borderId="0"/>
  </cellStyleXfs>
  <cellXfs count="149">
    <xf numFmtId="0" fontId="0" fillId="0" borderId="0" xfId="0"/>
    <xf numFmtId="0" fontId="2" fillId="0" borderId="0" xfId="0" applyFont="1"/>
    <xf numFmtId="0" fontId="3" fillId="0" borderId="0" xfId="0" applyFont="1"/>
    <xf numFmtId="0" fontId="4" fillId="0" borderId="0" xfId="0" applyFont="1"/>
    <xf numFmtId="0" fontId="5" fillId="0" borderId="0" xfId="0" applyFont="1"/>
    <xf numFmtId="0" fontId="6" fillId="0" borderId="0" xfId="0" applyFont="1"/>
    <xf numFmtId="0" fontId="0" fillId="2" borderId="0" xfId="0" applyFill="1"/>
    <xf numFmtId="0" fontId="7" fillId="0" borderId="0" xfId="0" applyFont="1"/>
    <xf numFmtId="44" fontId="0" fillId="0" borderId="0" xfId="0" applyNumberFormat="1"/>
    <xf numFmtId="0" fontId="8" fillId="0" borderId="0" xfId="0" applyFont="1"/>
    <xf numFmtId="2" fontId="0" fillId="0" borderId="0" xfId="0" applyNumberFormat="1"/>
    <xf numFmtId="0" fontId="3" fillId="0" borderId="1" xfId="0" applyFont="1" applyBorder="1"/>
    <xf numFmtId="0" fontId="10" fillId="2" borderId="0" xfId="0" applyFont="1" applyFill="1"/>
    <xf numFmtId="0" fontId="11" fillId="0" borderId="0" xfId="0" applyFont="1"/>
    <xf numFmtId="0" fontId="2" fillId="0" borderId="0" xfId="0" applyFont="1" applyAlignment="1">
      <alignment horizontal="center" vertical="center"/>
    </xf>
    <xf numFmtId="165" fontId="0" fillId="0" borderId="0" xfId="0" applyNumberFormat="1"/>
    <xf numFmtId="166" fontId="0" fillId="0" borderId="0" xfId="0" applyNumberFormat="1"/>
    <xf numFmtId="0" fontId="7" fillId="4" borderId="0" xfId="0" applyFont="1" applyFill="1"/>
    <xf numFmtId="0" fontId="0" fillId="4" borderId="0" xfId="0" applyFill="1"/>
    <xf numFmtId="0" fontId="2" fillId="4" borderId="0" xfId="0" applyFont="1" applyFill="1"/>
    <xf numFmtId="0" fontId="2" fillId="4" borderId="0" xfId="0" applyFont="1" applyFill="1" applyAlignment="1">
      <alignment horizontal="center" vertical="center"/>
    </xf>
    <xf numFmtId="0" fontId="10" fillId="4" borderId="0" xfId="0" applyFont="1" applyFill="1"/>
    <xf numFmtId="0" fontId="4" fillId="4" borderId="0" xfId="0" applyFont="1" applyFill="1"/>
    <xf numFmtId="0" fontId="6" fillId="4" borderId="0" xfId="0" applyFont="1" applyFill="1"/>
    <xf numFmtId="0" fontId="0" fillId="0" borderId="6" xfId="0" applyBorder="1" applyAlignment="1">
      <alignment vertical="center"/>
    </xf>
    <xf numFmtId="0" fontId="2" fillId="0" borderId="0" xfId="0" applyFont="1" applyAlignment="1">
      <alignment horizontal="center" vertical="center" wrapText="1"/>
    </xf>
    <xf numFmtId="44" fontId="12" fillId="3" borderId="6" xfId="0" applyNumberFormat="1" applyFont="1" applyFill="1" applyBorder="1" applyAlignment="1">
      <alignment vertical="center"/>
    </xf>
    <xf numFmtId="44" fontId="7" fillId="0" borderId="0" xfId="0" applyNumberFormat="1" applyFont="1"/>
    <xf numFmtId="0" fontId="7" fillId="0" borderId="5" xfId="0" applyFont="1" applyBorder="1"/>
    <xf numFmtId="0" fontId="11" fillId="0" borderId="5" xfId="0" applyFont="1" applyBorder="1"/>
    <xf numFmtId="44" fontId="5" fillId="0" borderId="0" xfId="0" applyNumberFormat="1" applyFont="1"/>
    <xf numFmtId="0" fontId="2" fillId="2" borderId="0" xfId="0" applyFont="1" applyFill="1" applyAlignment="1">
      <alignment horizontal="center" vertical="center"/>
    </xf>
    <xf numFmtId="0" fontId="2" fillId="0" borderId="0" xfId="0" applyFont="1" applyAlignment="1">
      <alignment vertical="center"/>
    </xf>
    <xf numFmtId="44" fontId="13" fillId="2" borderId="0" xfId="0" applyNumberFormat="1" applyFont="1" applyFill="1"/>
    <xf numFmtId="0" fontId="7" fillId="5" borderId="7" xfId="0" applyFont="1" applyFill="1" applyBorder="1"/>
    <xf numFmtId="0" fontId="7" fillId="5" borderId="8" xfId="0" applyFont="1" applyFill="1" applyBorder="1"/>
    <xf numFmtId="0" fontId="7" fillId="5" borderId="9" xfId="0" applyFont="1" applyFill="1" applyBorder="1"/>
    <xf numFmtId="0" fontId="12" fillId="0" borderId="4" xfId="0" applyFont="1" applyBorder="1" applyAlignment="1">
      <alignment horizontal="right" vertical="center"/>
    </xf>
    <xf numFmtId="0" fontId="12" fillId="0" borderId="2" xfId="0" applyFont="1" applyBorder="1" applyAlignment="1">
      <alignment horizontal="right" vertical="center"/>
    </xf>
    <xf numFmtId="44" fontId="0" fillId="6" borderId="0" xfId="0" applyNumberFormat="1" applyFill="1"/>
    <xf numFmtId="44" fontId="0" fillId="7" borderId="0" xfId="0" applyNumberFormat="1" applyFill="1"/>
    <xf numFmtId="0" fontId="14" fillId="0" borderId="0" xfId="0" applyFont="1"/>
    <xf numFmtId="0" fontId="15" fillId="0" borderId="0" xfId="0" applyFont="1"/>
    <xf numFmtId="168" fontId="0" fillId="0" borderId="0" xfId="0" applyNumberFormat="1"/>
    <xf numFmtId="167" fontId="0" fillId="3" borderId="6" xfId="0" applyNumberFormat="1" applyFill="1" applyBorder="1"/>
    <xf numFmtId="167" fontId="0" fillId="3" borderId="10" xfId="0" applyNumberFormat="1" applyFill="1" applyBorder="1"/>
    <xf numFmtId="0" fontId="0" fillId="3" borderId="6" xfId="0" applyFill="1" applyBorder="1"/>
    <xf numFmtId="164" fontId="0" fillId="3" borderId="6" xfId="0" applyNumberFormat="1" applyFill="1" applyBorder="1"/>
    <xf numFmtId="0" fontId="0" fillId="0" borderId="0" xfId="0" applyAlignment="1">
      <alignment horizontal="center"/>
    </xf>
    <xf numFmtId="0" fontId="0" fillId="0" borderId="1" xfId="0" applyBorder="1" applyAlignment="1">
      <alignment horizontal="center"/>
    </xf>
    <xf numFmtId="0" fontId="16" fillId="2" borderId="0" xfId="0" quotePrefix="1" applyFont="1" applyFill="1" applyAlignment="1">
      <alignment horizontal="center"/>
    </xf>
    <xf numFmtId="169" fontId="0" fillId="0" borderId="0" xfId="0" applyNumberFormat="1"/>
    <xf numFmtId="169" fontId="0" fillId="0" borderId="0" xfId="0" applyNumberFormat="1" applyAlignment="1">
      <alignment horizontal="center"/>
    </xf>
    <xf numFmtId="169" fontId="0" fillId="0" borderId="1" xfId="0" applyNumberFormat="1" applyBorder="1" applyAlignment="1">
      <alignment horizontal="center"/>
    </xf>
    <xf numFmtId="170" fontId="0" fillId="0" borderId="0" xfId="0" applyNumberFormat="1" applyAlignment="1">
      <alignment horizontal="center"/>
    </xf>
    <xf numFmtId="0" fontId="7" fillId="0" borderId="0" xfId="0" applyFont="1" applyAlignment="1">
      <alignment vertical="center"/>
    </xf>
    <xf numFmtId="44" fontId="0" fillId="7" borderId="1" xfId="0" applyNumberFormat="1" applyFill="1" applyBorder="1"/>
    <xf numFmtId="0" fontId="6" fillId="7" borderId="7" xfId="0" applyFont="1" applyFill="1" applyBorder="1"/>
    <xf numFmtId="0" fontId="5" fillId="7" borderId="8" xfId="0" applyFont="1" applyFill="1" applyBorder="1" applyAlignment="1">
      <alignment horizontal="right"/>
    </xf>
    <xf numFmtId="44" fontId="5" fillId="7" borderId="9" xfId="0" applyNumberFormat="1" applyFont="1" applyFill="1" applyBorder="1"/>
    <xf numFmtId="0" fontId="6" fillId="6" borderId="4" xfId="0" applyFont="1" applyFill="1" applyBorder="1"/>
    <xf numFmtId="0" fontId="5" fillId="6" borderId="13" xfId="0" applyFont="1" applyFill="1" applyBorder="1" applyAlignment="1">
      <alignment horizontal="right"/>
    </xf>
    <xf numFmtId="44" fontId="5" fillId="6" borderId="12" xfId="0" applyNumberFormat="1" applyFont="1" applyFill="1" applyBorder="1"/>
    <xf numFmtId="44" fontId="0" fillId="6" borderId="1" xfId="0" applyNumberFormat="1" applyFill="1" applyBorder="1"/>
    <xf numFmtId="171" fontId="0" fillId="6" borderId="0" xfId="0" applyNumberFormat="1" applyFill="1" applyAlignment="1">
      <alignment horizontal="center"/>
    </xf>
    <xf numFmtId="171" fontId="0" fillId="6" borderId="1" xfId="0" applyNumberFormat="1" applyFill="1" applyBorder="1" applyAlignment="1">
      <alignment horizontal="center"/>
    </xf>
    <xf numFmtId="44" fontId="0" fillId="8" borderId="0" xfId="0" applyNumberFormat="1" applyFill="1"/>
    <xf numFmtId="44" fontId="0" fillId="8" borderId="1" xfId="0" applyNumberFormat="1" applyFill="1" applyBorder="1"/>
    <xf numFmtId="44" fontId="9" fillId="8" borderId="0" xfId="0" applyNumberFormat="1" applyFont="1" applyFill="1" applyAlignment="1">
      <alignment horizontal="right"/>
    </xf>
    <xf numFmtId="44" fontId="0" fillId="9" borderId="0" xfId="0" applyNumberFormat="1" applyFill="1"/>
    <xf numFmtId="44" fontId="0" fillId="9" borderId="1" xfId="0" applyNumberFormat="1" applyFill="1" applyBorder="1"/>
    <xf numFmtId="44" fontId="9" fillId="9" borderId="0" xfId="0" applyNumberFormat="1" applyFont="1" applyFill="1" applyAlignment="1">
      <alignment horizontal="right"/>
    </xf>
    <xf numFmtId="173" fontId="0" fillId="7" borderId="0" xfId="0" applyNumberFormat="1" applyFill="1"/>
    <xf numFmtId="173" fontId="0" fillId="7" borderId="1" xfId="0" applyNumberFormat="1" applyFill="1" applyBorder="1"/>
    <xf numFmtId="0" fontId="0" fillId="3" borderId="10" xfId="0" applyFill="1" applyBorder="1"/>
    <xf numFmtId="174" fontId="0" fillId="7" borderId="0" xfId="0" applyNumberFormat="1" applyFill="1"/>
    <xf numFmtId="174" fontId="0" fillId="7" borderId="1" xfId="0" applyNumberFormat="1" applyFill="1" applyBorder="1"/>
    <xf numFmtId="0" fontId="0" fillId="0" borderId="14" xfId="0" applyBorder="1"/>
    <xf numFmtId="0" fontId="14" fillId="0" borderId="1" xfId="0" applyFont="1" applyBorder="1"/>
    <xf numFmtId="0" fontId="17" fillId="0" borderId="0" xfId="0" applyFont="1"/>
    <xf numFmtId="175" fontId="0" fillId="0" borderId="0" xfId="0" applyNumberFormat="1" applyAlignment="1">
      <alignment horizontal="center"/>
    </xf>
    <xf numFmtId="175" fontId="0" fillId="0" borderId="1" xfId="0" applyNumberFormat="1" applyBorder="1" applyAlignment="1">
      <alignment horizontal="center"/>
    </xf>
    <xf numFmtId="0" fontId="19" fillId="0" borderId="0" xfId="0" applyFont="1"/>
    <xf numFmtId="44" fontId="0" fillId="0" borderId="1" xfId="0" applyNumberFormat="1" applyBorder="1"/>
    <xf numFmtId="0" fontId="20" fillId="0" borderId="0" xfId="0" applyFont="1"/>
    <xf numFmtId="2" fontId="20" fillId="10" borderId="0" xfId="0" applyNumberFormat="1" applyFont="1" applyFill="1" applyAlignment="1">
      <alignment horizontal="left"/>
    </xf>
    <xf numFmtId="2" fontId="20" fillId="11" borderId="0" xfId="0" applyNumberFormat="1" applyFont="1" applyFill="1" applyAlignment="1">
      <alignment horizontal="left"/>
    </xf>
    <xf numFmtId="176" fontId="0" fillId="0" borderId="0" xfId="0" applyNumberFormat="1"/>
    <xf numFmtId="0" fontId="0" fillId="0" borderId="5" xfId="0" applyBorder="1"/>
    <xf numFmtId="176" fontId="0" fillId="0" borderId="5" xfId="0" applyNumberFormat="1" applyBorder="1"/>
    <xf numFmtId="177" fontId="0" fillId="0" borderId="0" xfId="0" applyNumberFormat="1"/>
    <xf numFmtId="2" fontId="0" fillId="12" borderId="0" xfId="0" applyNumberFormat="1" applyFill="1"/>
    <xf numFmtId="9" fontId="0" fillId="0" borderId="0" xfId="0" applyNumberFormat="1"/>
    <xf numFmtId="2" fontId="21" fillId="0" borderId="6" xfId="0" applyNumberFormat="1" applyFont="1" applyBorder="1" applyAlignment="1">
      <alignment readingOrder="1"/>
    </xf>
    <xf numFmtId="0" fontId="13" fillId="2" borderId="0" xfId="0" applyFont="1" applyFill="1" applyAlignment="1">
      <alignment horizontal="right" vertical="center"/>
    </xf>
    <xf numFmtId="0" fontId="13" fillId="2" borderId="0" xfId="0" applyFont="1" applyFill="1" applyAlignment="1">
      <alignment horizontal="left" vertical="center"/>
    </xf>
    <xf numFmtId="0" fontId="2" fillId="0" borderId="0" xfId="0" applyFont="1" applyAlignment="1">
      <alignment horizontal="center"/>
    </xf>
    <xf numFmtId="0" fontId="0" fillId="0" borderId="0" xfId="0" applyAlignment="1">
      <alignment wrapText="1"/>
    </xf>
    <xf numFmtId="0" fontId="0" fillId="13" borderId="0" xfId="0" applyFill="1"/>
    <xf numFmtId="3" fontId="0" fillId="0" borderId="0" xfId="0" applyNumberFormat="1"/>
    <xf numFmtId="0" fontId="0" fillId="3" borderId="0" xfId="0" applyFill="1"/>
    <xf numFmtId="2" fontId="21" fillId="3" borderId="6" xfId="0" applyNumberFormat="1" applyFont="1" applyFill="1" applyBorder="1" applyAlignment="1">
      <alignment readingOrder="1"/>
    </xf>
    <xf numFmtId="2" fontId="21" fillId="3" borderId="6" xfId="0" applyNumberFormat="1" applyFont="1" applyFill="1" applyBorder="1" applyAlignment="1">
      <alignment horizontal="center" readingOrder="1"/>
    </xf>
    <xf numFmtId="164" fontId="0" fillId="3" borderId="10" xfId="0" applyNumberFormat="1" applyFill="1" applyBorder="1"/>
    <xf numFmtId="0" fontId="22" fillId="2" borderId="0" xfId="0" applyFont="1" applyFill="1" applyAlignment="1">
      <alignment horizontal="left"/>
    </xf>
    <xf numFmtId="164" fontId="0" fillId="0" borderId="0" xfId="0" applyNumberFormat="1"/>
    <xf numFmtId="164" fontId="0" fillId="14" borderId="0" xfId="0" applyNumberFormat="1" applyFill="1"/>
    <xf numFmtId="164" fontId="0" fillId="14" borderId="1" xfId="0" applyNumberFormat="1" applyFill="1" applyBorder="1"/>
    <xf numFmtId="176" fontId="0" fillId="0" borderId="0" xfId="0" applyNumberFormat="1" applyAlignment="1">
      <alignment horizontal="center"/>
    </xf>
    <xf numFmtId="177" fontId="0" fillId="0" borderId="0" xfId="0" applyNumberFormat="1" applyAlignment="1">
      <alignment horizontal="center"/>
    </xf>
    <xf numFmtId="0" fontId="0" fillId="8" borderId="0" xfId="0" applyFill="1"/>
    <xf numFmtId="177" fontId="2" fillId="0" borderId="0" xfId="0" applyNumberFormat="1" applyFont="1" applyAlignment="1">
      <alignment horizontal="center"/>
    </xf>
    <xf numFmtId="177" fontId="2" fillId="0" borderId="0" xfId="0" applyNumberFormat="1" applyFont="1" applyAlignment="1">
      <alignment horizontal="left" vertical="center" wrapText="1"/>
    </xf>
    <xf numFmtId="1" fontId="0" fillId="0" borderId="0" xfId="0" applyNumberFormat="1" applyAlignment="1">
      <alignment horizontal="center"/>
    </xf>
    <xf numFmtId="176" fontId="0" fillId="14" borderId="0" xfId="0" applyNumberFormat="1" applyFill="1" applyAlignment="1">
      <alignment horizontal="center"/>
    </xf>
    <xf numFmtId="0" fontId="0" fillId="6" borderId="0" xfId="0" applyFill="1"/>
    <xf numFmtId="164" fontId="0" fillId="0" borderId="1" xfId="0" applyNumberFormat="1" applyBorder="1"/>
    <xf numFmtId="0" fontId="0" fillId="0" borderId="1" xfId="0" applyBorder="1"/>
    <xf numFmtId="0" fontId="3" fillId="15" borderId="0" xfId="0" applyFont="1" applyFill="1"/>
    <xf numFmtId="0" fontId="0" fillId="15" borderId="0" xfId="0" applyFill="1" applyAlignment="1">
      <alignment horizontal="center"/>
    </xf>
    <xf numFmtId="0" fontId="0" fillId="15" borderId="0" xfId="0" applyFill="1"/>
    <xf numFmtId="176" fontId="0" fillId="15" borderId="0" xfId="0" applyNumberFormat="1" applyFill="1"/>
    <xf numFmtId="177" fontId="0" fillId="15" borderId="0" xfId="0" applyNumberFormat="1" applyFill="1"/>
    <xf numFmtId="2" fontId="0" fillId="0" borderId="0" xfId="0" applyNumberFormat="1" applyAlignment="1">
      <alignment horizontal="center"/>
    </xf>
    <xf numFmtId="1" fontId="0" fillId="0" borderId="0" xfId="0" applyNumberFormat="1"/>
    <xf numFmtId="1" fontId="0" fillId="15" borderId="0" xfId="0" applyNumberFormat="1" applyFill="1"/>
    <xf numFmtId="0" fontId="0" fillId="3" borderId="0" xfId="0" applyFill="1" applyAlignment="1">
      <alignment horizontal="center"/>
    </xf>
    <xf numFmtId="178" fontId="0" fillId="0" borderId="0" xfId="0" applyNumberFormat="1"/>
    <xf numFmtId="172" fontId="1" fillId="3" borderId="6" xfId="0" applyNumberFormat="1" applyFont="1" applyFill="1" applyBorder="1" applyAlignment="1">
      <alignment horizontal="center" vertical="center"/>
    </xf>
    <xf numFmtId="44" fontId="1" fillId="3" borderId="6" xfId="0" applyNumberFormat="1" applyFont="1" applyFill="1" applyBorder="1" applyAlignment="1">
      <alignment horizontal="center" vertical="center"/>
    </xf>
    <xf numFmtId="44" fontId="1" fillId="3" borderId="6" xfId="0" applyNumberFormat="1" applyFont="1" applyFill="1" applyBorder="1" applyAlignment="1">
      <alignment vertical="center"/>
    </xf>
    <xf numFmtId="0" fontId="1" fillId="3" borderId="7" xfId="0" applyFont="1" applyFill="1" applyBorder="1" applyAlignment="1">
      <alignment horizontal="center" vertical="center"/>
    </xf>
    <xf numFmtId="0" fontId="1" fillId="3" borderId="9" xfId="0" applyFont="1" applyFill="1" applyBorder="1" applyAlignment="1">
      <alignment horizontal="center" vertical="center"/>
    </xf>
    <xf numFmtId="0" fontId="1" fillId="0" borderId="11" xfId="0" applyFont="1" applyBorder="1" applyAlignment="1">
      <alignment horizontal="center" vertical="center"/>
    </xf>
    <xf numFmtId="0" fontId="1" fillId="3" borderId="12" xfId="0" applyFont="1" applyFill="1" applyBorder="1" applyAlignment="1">
      <alignment horizontal="center" vertical="center"/>
    </xf>
    <xf numFmtId="0" fontId="1" fillId="3" borderId="8" xfId="0" applyFont="1" applyFill="1" applyBorder="1" applyAlignment="1">
      <alignment horizontal="center" vertical="center"/>
    </xf>
    <xf numFmtId="0" fontId="1" fillId="0" borderId="2" xfId="0" applyFont="1" applyBorder="1" applyAlignment="1">
      <alignment horizontal="right" vertical="center"/>
    </xf>
    <xf numFmtId="0" fontId="1" fillId="3" borderId="4" xfId="0" applyFont="1" applyFill="1" applyBorder="1" applyAlignment="1">
      <alignment horizontal="center" vertical="center"/>
    </xf>
    <xf numFmtId="0" fontId="1" fillId="3" borderId="13" xfId="0" applyFont="1" applyFill="1" applyBorder="1" applyAlignment="1">
      <alignment horizontal="center" vertical="center"/>
    </xf>
    <xf numFmtId="0" fontId="1" fillId="0" borderId="3" xfId="0" applyFont="1" applyBorder="1" applyAlignment="1">
      <alignment horizontal="right" vertical="center"/>
    </xf>
    <xf numFmtId="0" fontId="1" fillId="3" borderId="3" xfId="0" applyFont="1" applyFill="1" applyBorder="1" applyAlignment="1">
      <alignment horizontal="center" vertical="center"/>
    </xf>
    <xf numFmtId="0" fontId="1" fillId="3" borderId="14" xfId="0" applyFont="1" applyFill="1" applyBorder="1" applyAlignment="1">
      <alignment horizontal="center" vertical="center"/>
    </xf>
    <xf numFmtId="0" fontId="1" fillId="3" borderId="15" xfId="0" applyFont="1" applyFill="1" applyBorder="1" applyAlignment="1">
      <alignment horizontal="center" vertical="center"/>
    </xf>
    <xf numFmtId="0" fontId="2" fillId="0" borderId="0" xfId="0" applyFont="1" applyAlignment="1">
      <alignment horizontal="center"/>
    </xf>
    <xf numFmtId="0" fontId="5" fillId="0" borderId="0" xfId="0" applyFont="1" applyAlignment="1">
      <alignment horizontal="center"/>
    </xf>
    <xf numFmtId="0" fontId="2" fillId="0" borderId="0" xfId="0" applyFont="1" applyAlignment="1">
      <alignment horizontal="center" vertical="center"/>
    </xf>
    <xf numFmtId="0" fontId="12" fillId="3" borderId="6" xfId="0" applyFont="1" applyFill="1" applyBorder="1" applyAlignment="1">
      <alignment horizontal="center" vertical="center" wrapText="1"/>
    </xf>
    <xf numFmtId="0" fontId="1" fillId="3" borderId="6" xfId="0" applyFont="1" applyFill="1" applyBorder="1" applyAlignment="1">
      <alignment horizontal="center" vertical="center" wrapText="1"/>
    </xf>
    <xf numFmtId="0" fontId="1" fillId="3" borderId="6" xfId="0" applyFont="1" applyFill="1" applyBorder="1" applyAlignment="1">
      <alignment horizontal="center" vertical="center"/>
    </xf>
  </cellXfs>
  <cellStyles count="1">
    <cellStyle name="Standaard" xfId="0" builtinId="0"/>
  </cellStyles>
  <dxfs count="8">
    <dxf>
      <font>
        <color rgb="FF9C0006"/>
      </font>
      <fill>
        <patternFill>
          <bgColor rgb="FFFFC7CE"/>
        </patternFill>
      </fill>
    </dxf>
    <dxf>
      <border>
        <left style="thin">
          <color rgb="FF9C0006"/>
        </left>
        <right style="thin">
          <color rgb="FF9C0006"/>
        </right>
        <top style="thin">
          <color rgb="FF9C0006"/>
        </top>
        <bottom style="thin">
          <color rgb="FF9C0006"/>
        </bottom>
      </border>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border>
        <left style="thin">
          <color rgb="FF9C0006"/>
        </left>
        <right style="thin">
          <color rgb="FF9C0006"/>
        </right>
        <top style="thin">
          <color rgb="FF9C0006"/>
        </top>
        <bottom style="thin">
          <color rgb="FF9C0006"/>
        </bottom>
      </border>
    </dxf>
    <dxf>
      <font>
        <color rgb="FF9C0006"/>
      </font>
      <fill>
        <patternFill>
          <bgColor rgb="FFFFC7CE"/>
        </patternFill>
      </fill>
    </dxf>
  </dxfs>
  <tableStyles count="0" defaultTableStyle="TableStyleMedium2" defaultPivotStyle="PivotStyleMedium9"/>
  <colors>
    <mruColors>
      <color rgb="FFFAE77A"/>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styles" Target="styles.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1.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microsoft.com/office/2017/10/relationships/person" Target="persons/perso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2</xdr:col>
      <xdr:colOff>5705475</xdr:colOff>
      <xdr:row>0</xdr:row>
      <xdr:rowOff>0</xdr:rowOff>
    </xdr:from>
    <xdr:to>
      <xdr:col>2</xdr:col>
      <xdr:colOff>7330440</xdr:colOff>
      <xdr:row>2</xdr:row>
      <xdr:rowOff>49530</xdr:rowOff>
    </xdr:to>
    <xdr:pic>
      <xdr:nvPicPr>
        <xdr:cNvPr id="5" name="Afbeelding 1">
          <a:extLst>
            <a:ext uri="{FF2B5EF4-FFF2-40B4-BE49-F238E27FC236}">
              <a16:creationId xmlns:a16="http://schemas.microsoft.com/office/drawing/2014/main" id="{268FAC1B-868C-493A-B880-72A6FA49262F}"/>
            </a:ext>
          </a:extLst>
        </xdr:cNvPr>
        <xdr:cNvPicPr>
          <a:picLocks noChangeAspect="1"/>
        </xdr:cNvPicPr>
      </xdr:nvPicPr>
      <xdr:blipFill>
        <a:blip xmlns:r="http://schemas.openxmlformats.org/officeDocument/2006/relationships" r:embed="rId1"/>
        <a:stretch>
          <a:fillRect/>
        </a:stretch>
      </xdr:blipFill>
      <xdr:spPr>
        <a:xfrm>
          <a:off x="5895975" y="0"/>
          <a:ext cx="1628775" cy="866775"/>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2</xdr:col>
      <xdr:colOff>3228975</xdr:colOff>
      <xdr:row>0</xdr:row>
      <xdr:rowOff>0</xdr:rowOff>
    </xdr:from>
    <xdr:to>
      <xdr:col>4</xdr:col>
      <xdr:colOff>367665</xdr:colOff>
      <xdr:row>2</xdr:row>
      <xdr:rowOff>15240</xdr:rowOff>
    </xdr:to>
    <xdr:pic>
      <xdr:nvPicPr>
        <xdr:cNvPr id="2" name="Afbeelding 1">
          <a:extLst>
            <a:ext uri="{FF2B5EF4-FFF2-40B4-BE49-F238E27FC236}">
              <a16:creationId xmlns:a16="http://schemas.microsoft.com/office/drawing/2014/main" id="{C3F25747-10CE-4633-9D93-3B7F58854F44}"/>
            </a:ext>
          </a:extLst>
        </xdr:cNvPr>
        <xdr:cNvPicPr>
          <a:picLocks noChangeAspect="1"/>
        </xdr:cNvPicPr>
      </xdr:nvPicPr>
      <xdr:blipFill>
        <a:blip xmlns:r="http://schemas.openxmlformats.org/officeDocument/2006/relationships" r:embed="rId1"/>
        <a:stretch>
          <a:fillRect/>
        </a:stretch>
      </xdr:blipFill>
      <xdr:spPr>
        <a:xfrm>
          <a:off x="3552825" y="0"/>
          <a:ext cx="1628775" cy="866775"/>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2</xdr:col>
      <xdr:colOff>3228975</xdr:colOff>
      <xdr:row>0</xdr:row>
      <xdr:rowOff>0</xdr:rowOff>
    </xdr:from>
    <xdr:to>
      <xdr:col>4</xdr:col>
      <xdr:colOff>371475</xdr:colOff>
      <xdr:row>2</xdr:row>
      <xdr:rowOff>9525</xdr:rowOff>
    </xdr:to>
    <xdr:pic>
      <xdr:nvPicPr>
        <xdr:cNvPr id="2" name="Afbeelding 1">
          <a:extLst>
            <a:ext uri="{FF2B5EF4-FFF2-40B4-BE49-F238E27FC236}">
              <a16:creationId xmlns:a16="http://schemas.microsoft.com/office/drawing/2014/main" id="{A59ABD67-2186-3A06-88EF-B71DCBEABFD5}"/>
            </a:ext>
          </a:extLst>
        </xdr:cNvPr>
        <xdr:cNvPicPr>
          <a:picLocks noChangeAspect="1"/>
        </xdr:cNvPicPr>
      </xdr:nvPicPr>
      <xdr:blipFill>
        <a:blip xmlns:r="http://schemas.openxmlformats.org/officeDocument/2006/relationships" r:embed="rId1"/>
        <a:stretch>
          <a:fillRect/>
        </a:stretch>
      </xdr:blipFill>
      <xdr:spPr>
        <a:xfrm>
          <a:off x="3552825" y="0"/>
          <a:ext cx="1628775" cy="866775"/>
        </a:xfrm>
        <a:prstGeom prst="rect">
          <a:avLst/>
        </a:prstGeom>
      </xdr:spPr>
    </xdr:pic>
    <xdr:clientData/>
  </xdr:twoCellAnchor>
</xdr:wsDr>
</file>

<file path=xl/persons/person.xml><?xml version="1.0" encoding="utf-8"?>
<personList xmlns="http://schemas.microsoft.com/office/spreadsheetml/2018/threadedcomments" xmlns:x="http://schemas.openxmlformats.org/spreadsheetml/2006/main">
  <person displayName="Kerste, Petra" id="{9E14A6A5-0C57-43B8-9B6F-AB5922C9FBB4}" userId="petra.kerste@utrecht.nl" providerId="PeoplePicker"/>
  <person displayName="Vaatstra, Maarten" id="{319B0CE2-C5CE-4AC2-AA99-837327817162}" userId="maarten.vaatstra@utrecht.nl" providerId="PeoplePicker"/>
  <person displayName="Vrancken, Maarten" id="{98114598-C8BB-4CE3-8A19-0B06747485E9}" userId="maarten.vrancken@utrecht.nl" providerId="PeoplePicker"/>
  <person displayName="Kerste, Petra" id="{40C989E8-FDEC-4583-B16B-45CD32449894}" userId="S::petra.kerste@utrecht.nl::73894c18-79e4-4dd7-a917-8ded4afbdb95" providerId="AD"/>
  <person displayName="Vaatstra, Maarten" id="{06764064-561A-4DE4-978A-3B8470DDAC03}" userId="S::maarten.vaatstra@utrecht.nl::efed5ebc-7b42-4f5d-9862-ea06fba441f8" providerId="AD"/>
</personList>
</file>

<file path=xl/theme/theme1.xml><?xml version="1.0" encoding="utf-8"?>
<a:theme xmlns:a="http://schemas.openxmlformats.org/drawingml/2006/main" name="Office 2013 - 2022 Thema">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threadedComments/threadedComment1.xml><?xml version="1.0" encoding="utf-8"?>
<ThreadedComments xmlns="http://schemas.microsoft.com/office/spreadsheetml/2018/threadedcomments" xmlns:x="http://schemas.openxmlformats.org/spreadsheetml/2006/main">
  <threadedComment ref="D6" dT="2026-10-27T07:47:23.82" personId="{06764064-561A-4DE4-978A-3B8470DDAC03}" id="{8A545F9F-4956-4688-B54F-EEEA9051941B}">
    <text xml:space="preserve">@Kerste, Petra wat willen we hier tonen als er nog niks is ingevuld. Blanco lege velden, of iets van instructie? </text>
    <mentions>
      <mention mentionpersonId="{9E14A6A5-0C57-43B8-9B6F-AB5922C9FBB4}" mentionId="{0D4ED41F-06B7-4944-BE5A-6E87CC77F4CC}" startIndex="0" length="14"/>
    </mentions>
  </threadedComment>
  <threadedComment ref="D6" dT="2026-10-27T12:01:09.62" personId="{40C989E8-FDEC-4583-B16B-45CD32449894}" id="{6BF7C305-D5B3-4043-B919-8369EA336E14}" parentId="{8A545F9F-4956-4688-B54F-EEEA9051941B}">
    <text xml:space="preserve">Ik heb hier nu een Invoerbericht ingesteld. Als je de cellen D8:D11 selecteert dan verschijnt er een toelichting in het scherm. </text>
  </threadedComment>
  <threadedComment ref="D18" dT="2026-10-27T07:53:48.11" personId="{06764064-561A-4DE4-978A-3B8470DDAC03}" id="{B24A30A4-E52E-4F88-B075-0C93621216F4}">
    <text xml:space="preserve">@Kerste, Petra Voor de prognose van KG's moeten we bedrijfsafval nog toevoeggen. Bespreken we zo even. </text>
    <mentions>
      <mention mentionpersonId="{9E14A6A5-0C57-43B8-9B6F-AB5922C9FBB4}" mentionId="{1DCC0F2C-FD67-4A84-BDC0-D53EF1F0BD22}" startIndex="0" length="14"/>
    </mentions>
  </threadedComment>
  <threadedComment ref="D18" dT="2026-10-27T11:54:52.31" personId="{40C989E8-FDEC-4583-B16B-45CD32449894}" id="{2ED8C34B-6239-4992-8580-E857A3537895}" parentId="{B24A30A4-E52E-4F88-B075-0C93621216F4}">
    <text xml:space="preserve">Alleen dit moet nog aangepast worden. De namen van de locaties, aantal woningen en verwijzing daarnaar zijn al aangepast. </text>
  </threadedComment>
  <threadedComment ref="D18" dT="2026-10-27T12:44:13.60" personId="{40C989E8-FDEC-4583-B16B-45CD32449894}" id="{0A7A7C45-F4B3-46DF-BD55-4F71014C8271}" parentId="{B24A30A4-E52E-4F88-B075-0C93621216F4}">
    <text xml:space="preserve">@Vaatstra, Maartenen @Vrancken, Maarten
Even ter indicatie: In de kolommen AA:AI in deze regels heb ik een voorlopige berekening gemaakt waar bedrijfsafval bij in zit. Dat scheelt op sommige complexen wel echt enorm veel in. Goed om als aandachtspunt scherp te hebben dat het wellicht niet overal past in de ruimte die we hebben, afhankelijk van hoe dit ooit is berekend. </text>
    <mentions>
      <mention mentionpersonId="{319B0CE2-C5CE-4AC2-AA99-837327817162}" mentionId="{F858B7FA-56E4-4A1D-ADC4-265C18D5D4C6}" startIndex="0" length="18"/>
      <mention mentionpersonId="{98114598-C8BB-4CE3-8A19-0B06747485E9}" mentionId="{2F493E75-AD1C-44CF-9DA7-22E888C18C5B}" startIndex="21" length="18"/>
    </mentions>
  </threadedComment>
</ThreadedComments>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drawing" Target="../drawings/drawing3.xml"/><Relationship Id="rId4" Type="http://schemas.microsoft.com/office/2017/10/relationships/threadedComment" Target="../threadedComments/threadedComment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0A74168-BB65-4E37-8052-C4B5E8A9627A}">
  <dimension ref="A1:Z23"/>
  <sheetViews>
    <sheetView showGridLines="0" workbookViewId="0">
      <selection activeCell="C22" sqref="C22"/>
    </sheetView>
  </sheetViews>
  <sheetFormatPr defaultColWidth="1.44140625" defaultRowHeight="14.4" x14ac:dyDescent="0.3"/>
  <cols>
    <col min="3" max="3" width="133.6640625" customWidth="1"/>
    <col min="4" max="5" width="1.6640625" customWidth="1"/>
  </cols>
  <sheetData>
    <row r="1" spans="1:26" ht="44.25" customHeight="1" x14ac:dyDescent="0.45">
      <c r="A1" s="7"/>
      <c r="B1" s="17"/>
      <c r="C1" s="55" t="s">
        <v>0</v>
      </c>
      <c r="D1" s="20"/>
      <c r="E1" s="7"/>
      <c r="F1" s="7"/>
      <c r="G1" s="7"/>
      <c r="H1" s="7"/>
      <c r="I1" s="7"/>
      <c r="J1" s="7"/>
      <c r="K1" s="7"/>
      <c r="L1" s="7"/>
      <c r="M1" s="7"/>
      <c r="P1" s="7"/>
      <c r="Q1" s="7"/>
      <c r="R1" s="7"/>
      <c r="T1" s="7"/>
      <c r="V1" s="7"/>
      <c r="W1" s="7"/>
      <c r="X1" s="7"/>
      <c r="Y1" s="7"/>
      <c r="Z1" s="7"/>
    </row>
    <row r="2" spans="1:26" ht="20.25" customHeight="1" x14ac:dyDescent="0.45">
      <c r="A2" s="7"/>
      <c r="B2" s="17"/>
      <c r="C2" s="7"/>
      <c r="D2" s="20"/>
      <c r="E2" s="7"/>
      <c r="F2" s="7"/>
      <c r="G2" s="7"/>
      <c r="H2" s="7"/>
      <c r="I2" s="7"/>
      <c r="J2" s="7"/>
      <c r="K2" s="7"/>
      <c r="L2" s="7"/>
      <c r="M2" s="7"/>
      <c r="P2" s="7"/>
      <c r="Q2" s="7"/>
      <c r="R2" s="7"/>
      <c r="T2" s="7"/>
      <c r="V2" s="7"/>
      <c r="W2" s="7"/>
      <c r="X2" s="7"/>
      <c r="Y2" s="7"/>
      <c r="Z2" s="7"/>
    </row>
    <row r="3" spans="1:26" ht="23.4" x14ac:dyDescent="0.45">
      <c r="A3" s="7"/>
      <c r="B3" s="17"/>
      <c r="C3" s="34" t="s">
        <v>1</v>
      </c>
      <c r="D3" s="20"/>
      <c r="E3" s="7"/>
      <c r="F3" s="7"/>
      <c r="G3" s="7"/>
      <c r="H3" s="7"/>
      <c r="I3" s="7"/>
      <c r="J3" s="7"/>
      <c r="K3" s="7"/>
      <c r="L3" s="7"/>
      <c r="M3" s="7"/>
      <c r="P3" s="7"/>
      <c r="Q3" s="7"/>
      <c r="R3" s="7"/>
      <c r="T3" s="7"/>
      <c r="V3" s="7"/>
      <c r="W3" s="7"/>
      <c r="X3" s="7"/>
      <c r="Y3" s="7"/>
      <c r="Z3" s="7"/>
    </row>
    <row r="4" spans="1:26" ht="23.4" x14ac:dyDescent="0.45">
      <c r="A4" s="7"/>
      <c r="B4" s="17"/>
      <c r="C4" s="7"/>
      <c r="D4" s="20"/>
      <c r="E4" s="7"/>
      <c r="F4" s="7"/>
      <c r="G4" s="7"/>
      <c r="H4" s="7"/>
      <c r="I4" s="7"/>
      <c r="J4" s="7"/>
      <c r="K4" s="7"/>
      <c r="L4" s="7"/>
      <c r="M4" s="7"/>
      <c r="P4" s="7"/>
      <c r="Q4" s="7"/>
      <c r="R4" s="7"/>
      <c r="T4" s="7"/>
      <c r="V4" s="7"/>
      <c r="W4" s="7"/>
      <c r="X4" s="7"/>
      <c r="Y4" s="7"/>
      <c r="Z4" s="7"/>
    </row>
    <row r="5" spans="1:26" x14ac:dyDescent="0.3">
      <c r="B5" s="20"/>
      <c r="C5" s="1" t="s">
        <v>2</v>
      </c>
      <c r="D5" s="20"/>
    </row>
    <row r="6" spans="1:26" x14ac:dyDescent="0.3">
      <c r="B6" s="20"/>
      <c r="C6" t="s">
        <v>3</v>
      </c>
      <c r="D6" s="20"/>
    </row>
    <row r="7" spans="1:26" x14ac:dyDescent="0.3">
      <c r="B7" s="20"/>
      <c r="C7" t="s">
        <v>4</v>
      </c>
      <c r="D7" s="20"/>
    </row>
    <row r="8" spans="1:26" x14ac:dyDescent="0.3">
      <c r="B8" s="20"/>
      <c r="C8" t="s">
        <v>5</v>
      </c>
      <c r="D8" s="20"/>
    </row>
    <row r="9" spans="1:26" x14ac:dyDescent="0.3">
      <c r="B9" s="20"/>
      <c r="C9" t="s">
        <v>6</v>
      </c>
      <c r="D9" s="20"/>
    </row>
    <row r="10" spans="1:26" x14ac:dyDescent="0.3">
      <c r="B10" s="20"/>
      <c r="C10" t="s">
        <v>7</v>
      </c>
      <c r="D10" s="20"/>
    </row>
    <row r="11" spans="1:26" x14ac:dyDescent="0.3">
      <c r="B11" s="20"/>
      <c r="D11" s="20"/>
    </row>
    <row r="12" spans="1:26" x14ac:dyDescent="0.3">
      <c r="B12" s="20"/>
      <c r="C12" s="1" t="s">
        <v>8</v>
      </c>
      <c r="D12" s="20"/>
    </row>
    <row r="13" spans="1:26" x14ac:dyDescent="0.3">
      <c r="B13" s="20"/>
      <c r="C13" t="s">
        <v>9</v>
      </c>
      <c r="D13" s="20"/>
    </row>
    <row r="14" spans="1:26" x14ac:dyDescent="0.3">
      <c r="B14" s="20"/>
      <c r="C14" t="s">
        <v>10</v>
      </c>
      <c r="D14" s="20"/>
    </row>
    <row r="15" spans="1:26" x14ac:dyDescent="0.3">
      <c r="B15" s="20"/>
      <c r="C15" t="s">
        <v>11</v>
      </c>
      <c r="D15" s="20"/>
    </row>
    <row r="16" spans="1:26" x14ac:dyDescent="0.3">
      <c r="B16" s="20"/>
      <c r="D16" s="20"/>
    </row>
    <row r="17" spans="2:13" x14ac:dyDescent="0.3">
      <c r="B17" s="20"/>
      <c r="C17" t="s">
        <v>12</v>
      </c>
      <c r="D17" s="20"/>
    </row>
    <row r="18" spans="2:13" x14ac:dyDescent="0.3">
      <c r="B18" s="20"/>
      <c r="C18" t="s">
        <v>13</v>
      </c>
      <c r="D18" s="20"/>
    </row>
    <row r="19" spans="2:13" x14ac:dyDescent="0.3">
      <c r="B19" s="20"/>
      <c r="C19" t="s">
        <v>14</v>
      </c>
      <c r="D19" s="20"/>
    </row>
    <row r="20" spans="2:13" x14ac:dyDescent="0.3">
      <c r="B20" s="20"/>
      <c r="C20" t="s">
        <v>15</v>
      </c>
      <c r="D20" s="20"/>
    </row>
    <row r="21" spans="2:13" x14ac:dyDescent="0.3">
      <c r="B21" s="20"/>
      <c r="C21" t="s">
        <v>16</v>
      </c>
      <c r="D21" s="20"/>
      <c r="M21" t="s">
        <v>17</v>
      </c>
    </row>
    <row r="22" spans="2:13" x14ac:dyDescent="0.3">
      <c r="B22" s="20"/>
      <c r="D22" s="20"/>
    </row>
    <row r="23" spans="2:13" x14ac:dyDescent="0.3">
      <c r="B23" s="20"/>
      <c r="C23" s="20"/>
      <c r="D23" s="20"/>
    </row>
  </sheetData>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BCD5B1-3624-44B2-B3CE-7BD7DEBF4E1E}">
  <sheetPr>
    <tabColor rgb="FF00B050"/>
  </sheetPr>
  <dimension ref="B1:AR102"/>
  <sheetViews>
    <sheetView showGridLines="0" tabSelected="1" workbookViewId="0">
      <selection activeCell="H6" sqref="H6"/>
    </sheetView>
  </sheetViews>
  <sheetFormatPr defaultColWidth="9.109375" defaultRowHeight="14.4" x14ac:dyDescent="0.3"/>
  <cols>
    <col min="1" max="1" width="4.109375" customWidth="1"/>
    <col min="2" max="2" width="0.6640625" customWidth="1"/>
    <col min="3" max="3" width="49.33203125" customWidth="1"/>
    <col min="4" max="4" width="18" customWidth="1"/>
    <col min="5" max="5" width="17.6640625" customWidth="1"/>
    <col min="6" max="6" width="18" customWidth="1"/>
    <col min="7" max="7" width="27" customWidth="1"/>
    <col min="8" max="8" width="31.6640625" customWidth="1"/>
    <col min="9" max="9" width="33.6640625" customWidth="1"/>
    <col min="10" max="10" width="1" customWidth="1"/>
    <col min="11" max="11" width="34.33203125" customWidth="1"/>
    <col min="12" max="12" width="28.44140625" customWidth="1"/>
    <col min="13" max="13" width="20.88671875" customWidth="1"/>
    <col min="14" max="14" width="23.109375" customWidth="1"/>
    <col min="15" max="15" width="24" customWidth="1"/>
    <col min="16" max="16" width="22.44140625" customWidth="1"/>
    <col min="17" max="17" width="27.6640625" customWidth="1"/>
    <col min="18" max="18" width="25.5546875" customWidth="1"/>
    <col min="19" max="19" width="1" customWidth="1"/>
    <col min="20" max="20" width="9.109375" bestFit="1" customWidth="1"/>
    <col min="21" max="21" width="15.33203125" hidden="1" customWidth="1"/>
    <col min="22" max="23" width="9.109375" hidden="1" customWidth="1"/>
    <col min="24" max="24" width="34.5546875" hidden="1" customWidth="1"/>
    <col min="25" max="25" width="11.88671875" hidden="1" customWidth="1"/>
    <col min="26" max="26" width="75" hidden="1" customWidth="1"/>
    <col min="27" max="34" width="9.109375" hidden="1" customWidth="1"/>
    <col min="35" max="35" width="19.5546875" hidden="1" customWidth="1"/>
    <col min="36" max="36" width="23.109375" hidden="1" customWidth="1"/>
    <col min="37" max="37" width="9.109375" hidden="1" customWidth="1"/>
    <col min="38" max="38" width="13.88671875" hidden="1" customWidth="1"/>
    <col min="39" max="39" width="17.109375" hidden="1" customWidth="1"/>
    <col min="40" max="40" width="9.109375" hidden="1" customWidth="1"/>
    <col min="41" max="41" width="9.33203125" hidden="1" customWidth="1"/>
    <col min="42" max="42" width="9.109375" hidden="1" customWidth="1"/>
    <col min="43" max="43" width="9.33203125" hidden="1" customWidth="1"/>
    <col min="44" max="44" width="9.109375" hidden="1" customWidth="1"/>
  </cols>
  <sheetData>
    <row r="1" spans="2:24" s="7" customFormat="1" ht="54.75" customHeight="1" x14ac:dyDescent="0.45">
      <c r="B1" s="17"/>
      <c r="C1" s="55" t="s">
        <v>18</v>
      </c>
      <c r="M1"/>
      <c r="N1"/>
      <c r="S1" s="20"/>
      <c r="U1"/>
    </row>
    <row r="2" spans="2:24" s="7" customFormat="1" ht="12.75" customHeight="1" x14ac:dyDescent="0.45">
      <c r="B2" s="17"/>
      <c r="M2"/>
      <c r="N2"/>
      <c r="S2" s="20"/>
      <c r="U2"/>
    </row>
    <row r="3" spans="2:24" s="7" customFormat="1" ht="29.25" customHeight="1" x14ac:dyDescent="0.45">
      <c r="B3" s="17"/>
      <c r="C3" s="34" t="s">
        <v>1</v>
      </c>
      <c r="D3" s="35"/>
      <c r="E3" s="35"/>
      <c r="F3" s="35"/>
      <c r="G3" s="35"/>
      <c r="H3" s="35"/>
      <c r="I3" s="36"/>
      <c r="M3"/>
      <c r="N3"/>
      <c r="S3" s="20"/>
      <c r="U3"/>
    </row>
    <row r="4" spans="2:24" s="7" customFormat="1" ht="15.75" customHeight="1" x14ac:dyDescent="0.45">
      <c r="B4" s="17"/>
      <c r="M4"/>
      <c r="N4"/>
      <c r="S4" s="20"/>
      <c r="U4"/>
    </row>
    <row r="5" spans="2:24" ht="6" customHeight="1" x14ac:dyDescent="0.45">
      <c r="B5" s="18"/>
      <c r="C5" s="6"/>
      <c r="D5" s="6"/>
      <c r="E5" s="6"/>
      <c r="F5" s="6"/>
      <c r="G5" s="6"/>
      <c r="H5" s="6"/>
      <c r="I5" s="6"/>
      <c r="J5" s="31"/>
      <c r="K5" s="7"/>
      <c r="S5" s="20"/>
    </row>
    <row r="6" spans="2:24" s="1" customFormat="1" ht="31.5" customHeight="1" x14ac:dyDescent="0.45">
      <c r="B6" s="19"/>
      <c r="C6" s="32" t="s">
        <v>19</v>
      </c>
      <c r="D6" s="145" t="s">
        <v>20</v>
      </c>
      <c r="E6" s="145"/>
      <c r="F6" s="145"/>
      <c r="G6" s="25" t="s">
        <v>21</v>
      </c>
      <c r="H6" s="25" t="s">
        <v>22</v>
      </c>
      <c r="I6" s="25" t="s">
        <v>23</v>
      </c>
      <c r="J6" s="31"/>
      <c r="K6" s="7"/>
      <c r="M6"/>
      <c r="N6"/>
      <c r="S6" s="20"/>
      <c r="U6" t="s">
        <v>24</v>
      </c>
      <c r="V6">
        <v>188</v>
      </c>
      <c r="W6" t="s">
        <v>25</v>
      </c>
    </row>
    <row r="7" spans="2:24" ht="6" customHeight="1" x14ac:dyDescent="0.45">
      <c r="B7" s="18"/>
      <c r="C7" s="6"/>
      <c r="D7" s="6"/>
      <c r="E7" s="6"/>
      <c r="F7" s="6"/>
      <c r="G7" s="6"/>
      <c r="H7" s="6"/>
      <c r="I7" s="6"/>
      <c r="J7" s="31"/>
      <c r="K7" s="7"/>
      <c r="S7" s="20"/>
      <c r="U7" t="s">
        <v>26</v>
      </c>
      <c r="V7">
        <v>27</v>
      </c>
      <c r="W7" t="s">
        <v>25</v>
      </c>
    </row>
    <row r="8" spans="2:24" s="7" customFormat="1" ht="38.25" customHeight="1" x14ac:dyDescent="0.45">
      <c r="B8" s="17"/>
      <c r="C8" s="24" t="s">
        <v>27</v>
      </c>
      <c r="D8" s="146"/>
      <c r="E8" s="147"/>
      <c r="F8" s="147"/>
      <c r="G8" s="128"/>
      <c r="H8" s="129"/>
      <c r="I8" s="26"/>
      <c r="J8" s="31"/>
      <c r="L8" s="27"/>
      <c r="M8"/>
      <c r="N8"/>
      <c r="S8" s="20"/>
      <c r="U8" t="s">
        <v>28</v>
      </c>
      <c r="V8">
        <v>33</v>
      </c>
      <c r="W8" t="s">
        <v>25</v>
      </c>
    </row>
    <row r="9" spans="2:24" s="7" customFormat="1" ht="38.25" customHeight="1" x14ac:dyDescent="0.45">
      <c r="B9" s="17"/>
      <c r="C9" s="24" t="s">
        <v>29</v>
      </c>
      <c r="D9" s="148"/>
      <c r="E9" s="148"/>
      <c r="F9" s="148"/>
      <c r="G9" s="128"/>
      <c r="H9" s="129"/>
      <c r="I9" s="130"/>
      <c r="J9" s="31"/>
      <c r="M9"/>
      <c r="N9"/>
      <c r="S9" s="20"/>
      <c r="U9" t="s">
        <v>30</v>
      </c>
      <c r="V9">
        <v>1.9</v>
      </c>
      <c r="W9" t="s">
        <v>31</v>
      </c>
    </row>
    <row r="10" spans="2:24" s="7" customFormat="1" ht="38.25" customHeight="1" x14ac:dyDescent="0.45">
      <c r="B10" s="17"/>
      <c r="C10" s="24" t="s">
        <v>32</v>
      </c>
      <c r="D10" s="147"/>
      <c r="E10" s="147"/>
      <c r="F10" s="147"/>
      <c r="G10" s="128"/>
      <c r="H10" s="129"/>
      <c r="I10" s="26"/>
      <c r="J10" s="31"/>
      <c r="M10"/>
      <c r="N10"/>
      <c r="S10" s="20"/>
      <c r="U10"/>
      <c r="V10"/>
      <c r="W10"/>
    </row>
    <row r="11" spans="2:24" s="7" customFormat="1" ht="38.25" customHeight="1" x14ac:dyDescent="0.45">
      <c r="B11" s="17"/>
      <c r="C11" s="24" t="s">
        <v>33</v>
      </c>
      <c r="D11" s="148"/>
      <c r="E11" s="148"/>
      <c r="F11" s="148"/>
      <c r="G11" s="128"/>
      <c r="H11" s="129"/>
      <c r="I11" s="130"/>
      <c r="J11" s="31"/>
      <c r="L11" s="7" t="s">
        <v>17</v>
      </c>
      <c r="M11"/>
      <c r="N11"/>
      <c r="S11" s="20"/>
      <c r="U11"/>
      <c r="V11"/>
      <c r="W11"/>
    </row>
    <row r="12" spans="2:24" ht="6" customHeight="1" x14ac:dyDescent="0.45">
      <c r="B12" s="18"/>
      <c r="C12" s="6"/>
      <c r="D12" s="6"/>
      <c r="E12" s="6"/>
      <c r="F12" s="6"/>
      <c r="G12" s="6"/>
      <c r="H12" s="6"/>
      <c r="I12" s="6"/>
      <c r="J12" s="31"/>
      <c r="K12" s="7"/>
      <c r="S12" s="20"/>
    </row>
    <row r="13" spans="2:24" s="7" customFormat="1" ht="15.75" customHeight="1" x14ac:dyDescent="0.45">
      <c r="B13" s="17"/>
      <c r="C13" s="79" t="s">
        <v>34</v>
      </c>
      <c r="M13"/>
      <c r="N13"/>
      <c r="S13" s="20"/>
    </row>
    <row r="14" spans="2:24" s="7" customFormat="1" ht="15.75" customHeight="1" x14ac:dyDescent="0.45">
      <c r="B14" s="17"/>
      <c r="C14" s="13" t="s">
        <v>35</v>
      </c>
      <c r="G14" s="82"/>
      <c r="M14"/>
      <c r="N14"/>
      <c r="S14" s="20"/>
    </row>
    <row r="15" spans="2:24" s="7" customFormat="1" ht="15.75" customHeight="1" x14ac:dyDescent="0.45">
      <c r="B15" s="17"/>
      <c r="C15" s="29"/>
      <c r="D15" s="28"/>
      <c r="E15" s="28"/>
      <c r="F15" s="28"/>
      <c r="G15" s="28"/>
      <c r="H15" s="28"/>
      <c r="I15" s="28"/>
      <c r="J15" s="28"/>
      <c r="K15" s="28"/>
      <c r="L15" s="28"/>
      <c r="M15" s="28"/>
      <c r="N15" s="28"/>
      <c r="O15" s="28"/>
      <c r="P15" s="28"/>
      <c r="Q15" s="28"/>
      <c r="R15" s="28"/>
      <c r="S15" s="20"/>
    </row>
    <row r="16" spans="2:24" ht="15.75" customHeight="1" x14ac:dyDescent="0.3">
      <c r="B16" s="18"/>
      <c r="K16" t="s">
        <v>17</v>
      </c>
      <c r="S16" s="20"/>
      <c r="U16" s="1" t="s">
        <v>36</v>
      </c>
      <c r="X16" s="1" t="s">
        <v>36</v>
      </c>
    </row>
    <row r="17" spans="2:44" ht="6" customHeight="1" x14ac:dyDescent="0.3">
      <c r="B17" s="18"/>
      <c r="C17" s="6"/>
      <c r="D17" s="6"/>
      <c r="E17" s="6"/>
      <c r="F17" s="6"/>
      <c r="G17" s="6"/>
      <c r="H17" s="6"/>
      <c r="I17" s="6"/>
      <c r="K17" s="6"/>
      <c r="L17" s="6"/>
      <c r="M17" s="6"/>
      <c r="N17" s="6"/>
      <c r="O17" s="6"/>
      <c r="P17" s="6"/>
      <c r="Q17" s="6"/>
      <c r="R17" s="6"/>
      <c r="S17" s="20"/>
      <c r="U17" t="s">
        <v>37</v>
      </c>
      <c r="X17" t="s">
        <v>38</v>
      </c>
    </row>
    <row r="18" spans="2:44" s="1" customFormat="1" x14ac:dyDescent="0.3">
      <c r="B18" s="20"/>
      <c r="C18" s="1" t="s">
        <v>39</v>
      </c>
      <c r="D18" s="14" t="s">
        <v>40</v>
      </c>
      <c r="E18" s="14" t="s">
        <v>41</v>
      </c>
      <c r="F18" s="14" t="s">
        <v>42</v>
      </c>
      <c r="G18" s="14" t="s">
        <v>43</v>
      </c>
      <c r="H18" s="14" t="s">
        <v>44</v>
      </c>
      <c r="I18" s="14" t="s">
        <v>45</v>
      </c>
      <c r="K18" s="14" t="s">
        <v>46</v>
      </c>
      <c r="L18" s="14" t="s">
        <v>47</v>
      </c>
      <c r="M18" s="14" t="s">
        <v>48</v>
      </c>
      <c r="N18" s="14" t="s">
        <v>49</v>
      </c>
      <c r="O18" s="14" t="s">
        <v>50</v>
      </c>
      <c r="P18" s="14" t="s">
        <v>51</v>
      </c>
      <c r="Q18" s="14" t="s">
        <v>52</v>
      </c>
      <c r="R18" s="14" t="s">
        <v>53</v>
      </c>
      <c r="S18" s="20"/>
      <c r="U18" t="s">
        <v>54</v>
      </c>
      <c r="V18"/>
      <c r="W18"/>
      <c r="X18" t="s">
        <v>55</v>
      </c>
      <c r="Y18"/>
      <c r="AD18" s="143" t="s">
        <v>56</v>
      </c>
      <c r="AE18" s="143"/>
      <c r="AF18" s="143"/>
      <c r="AG18" s="143"/>
      <c r="AH18" s="96"/>
    </row>
    <row r="19" spans="2:44" ht="32.25" customHeight="1" x14ac:dyDescent="0.45">
      <c r="B19" s="21"/>
      <c r="C19" s="104" t="s">
        <v>57</v>
      </c>
      <c r="D19" s="12"/>
      <c r="E19" s="12"/>
      <c r="F19" s="12"/>
      <c r="G19" s="50" t="s">
        <v>58</v>
      </c>
      <c r="H19" s="12"/>
      <c r="I19" s="12"/>
      <c r="K19" s="12"/>
      <c r="L19" s="12"/>
      <c r="M19" s="12"/>
      <c r="N19" s="12"/>
      <c r="O19" s="12"/>
      <c r="P19" s="12"/>
      <c r="Q19" s="12"/>
      <c r="R19" s="12"/>
      <c r="S19" s="21"/>
      <c r="Z19" s="1" t="s">
        <v>59</v>
      </c>
      <c r="AA19" s="14" t="s">
        <v>60</v>
      </c>
      <c r="AB19" s="1" t="s">
        <v>61</v>
      </c>
      <c r="AD19" s="1" t="s">
        <v>62</v>
      </c>
      <c r="AE19" s="1" t="s">
        <v>63</v>
      </c>
      <c r="AF19" s="1" t="s">
        <v>64</v>
      </c>
      <c r="AG19" s="1" t="s">
        <v>65</v>
      </c>
      <c r="AH19" s="1" t="s">
        <v>64</v>
      </c>
      <c r="AI19" s="1" t="s">
        <v>66</v>
      </c>
      <c r="AJ19" s="1" t="s">
        <v>67</v>
      </c>
      <c r="AK19" s="1" t="s">
        <v>68</v>
      </c>
      <c r="AL19" s="1" t="s">
        <v>69</v>
      </c>
      <c r="AM19" s="1" t="s">
        <v>70</v>
      </c>
      <c r="AN19" s="1"/>
      <c r="AO19" s="1" t="s">
        <v>71</v>
      </c>
      <c r="AP19" s="1" t="s">
        <v>72</v>
      </c>
      <c r="AQ19" s="1" t="s">
        <v>73</v>
      </c>
      <c r="AR19" s="1" t="s">
        <v>74</v>
      </c>
    </row>
    <row r="20" spans="2:44" x14ac:dyDescent="0.3">
      <c r="B20" s="18"/>
      <c r="C20" s="41" t="str">
        <f>Z20</f>
        <v xml:space="preserve">Wonderwoods MSVA </v>
      </c>
      <c r="D20" s="105">
        <v>591</v>
      </c>
      <c r="E20" s="52">
        <v>110</v>
      </c>
      <c r="F20" s="48">
        <f t="shared" ref="F20:F25" si="0">$W$27</f>
        <v>4</v>
      </c>
      <c r="G20" s="80">
        <f>(D20/E20)/F20</f>
        <v>1.3431818181818183</v>
      </c>
      <c r="H20" s="46"/>
      <c r="I20" s="44"/>
      <c r="K20" s="64" t="str">
        <f t="shared" ref="K20:K35" si="1">IFERROR(IF(H20="Containeroptie 1 (zie regel 8)",($G$8*0.8)*I20,IF(H20="Containeroptie 2 (zie regel 9)",($G$9*0.8)*I20,"")),"")</f>
        <v/>
      </c>
      <c r="L20" s="39" t="str">
        <f>IFERROR(IF(H20="Containeroptie 1 (zie regel 8)",$H$8,IF(H20="Containeroptie 2 (zie regel 9)",$H$9,"")),"")</f>
        <v/>
      </c>
      <c r="M20" s="66" t="str">
        <f t="shared" ref="M20:M35" si="2">IFERROR(L20*I20,"")</f>
        <v/>
      </c>
      <c r="N20" s="40" t="str">
        <f t="shared" ref="N20:N35" si="3">IF(H20="Containeroptie 1 (zie regel 8)",$I$8,IF(H20="Containeroptie 2 (zie regel 9)",$I$9,""))</f>
        <v/>
      </c>
      <c r="O20" s="75" t="str">
        <f t="shared" ref="O20:O35" si="4">IFERROR((G20/K20),"Vul kolom I en K in")</f>
        <v>Vul kolom I en K in</v>
      </c>
      <c r="P20" s="72" t="str">
        <f t="shared" ref="P20:P35" si="5">IF(O20&gt;2,"Aantal ledigingen onjuist",IFERROR(CEILING((O20*I20)*52,1),""))</f>
        <v>Aantal ledigingen onjuist</v>
      </c>
      <c r="Q20" s="69" t="str">
        <f t="shared" ref="Q20:Q27" si="6">IFERROR(P20*N20,"")</f>
        <v/>
      </c>
      <c r="R20" s="8" t="str">
        <f>IFERROR(Q20+M20,"")</f>
        <v/>
      </c>
      <c r="S20" s="18"/>
      <c r="Z20" s="41" t="s">
        <v>75</v>
      </c>
      <c r="AA20" s="48">
        <v>109</v>
      </c>
      <c r="AB20">
        <v>0</v>
      </c>
      <c r="AD20" s="87">
        <f>AB20*$Z$41</f>
        <v>0</v>
      </c>
      <c r="AE20" s="87">
        <f>AB20*$Z$42</f>
        <v>0</v>
      </c>
      <c r="AF20" s="124">
        <f>AE20*52</f>
        <v>0</v>
      </c>
      <c r="AG20" s="124">
        <f>AB20*$Z$43</f>
        <v>0</v>
      </c>
      <c r="AH20" s="124">
        <f>AG20*52</f>
        <v>0</v>
      </c>
      <c r="AI20" s="90">
        <v>591</v>
      </c>
      <c r="AJ20" s="91">
        <f>AI20+AD20</f>
        <v>591</v>
      </c>
      <c r="AK20" s="92">
        <f>AJ20/AI20</f>
        <v>1</v>
      </c>
      <c r="AL20" s="93">
        <v>112</v>
      </c>
      <c r="AM20">
        <f>AJ20/AL20</f>
        <v>5.2767857142857144</v>
      </c>
      <c r="AO20" s="87">
        <v>85</v>
      </c>
      <c r="AP20" s="87">
        <v>85</v>
      </c>
      <c r="AQ20" s="87">
        <v>104</v>
      </c>
      <c r="AR20" s="87">
        <v>104</v>
      </c>
    </row>
    <row r="21" spans="2:44" x14ac:dyDescent="0.3">
      <c r="B21" s="18"/>
      <c r="C21" s="41" t="str">
        <f t="shared" ref="C21:C28" si="7">Z21</f>
        <v xml:space="preserve">Wonderwoods Boeri </v>
      </c>
      <c r="D21" s="105">
        <v>1681</v>
      </c>
      <c r="E21" s="52">
        <f t="shared" ref="E21:E35" si="8">$E$20</f>
        <v>110</v>
      </c>
      <c r="F21" s="48">
        <f t="shared" si="0"/>
        <v>4</v>
      </c>
      <c r="G21" s="80">
        <f t="shared" ref="G21:G26" si="9">(D21/E21)/F21</f>
        <v>3.8204545454545453</v>
      </c>
      <c r="H21" s="46"/>
      <c r="I21" s="44"/>
      <c r="K21" s="64" t="str">
        <f t="shared" si="1"/>
        <v/>
      </c>
      <c r="L21" s="39" t="str">
        <f t="shared" ref="L21:L35" si="10">IFERROR(IF(H21="Containeroptie 1 (zie regel 8)",$H$8,IF(H21="Containeroptie 2 (zie regel 9)",$H$9,""))," ")</f>
        <v/>
      </c>
      <c r="M21" s="66" t="str">
        <f t="shared" si="2"/>
        <v/>
      </c>
      <c r="N21" s="40" t="str">
        <f t="shared" si="3"/>
        <v/>
      </c>
      <c r="O21" s="75" t="str">
        <f t="shared" si="4"/>
        <v>Vul kolom I en K in</v>
      </c>
      <c r="P21" s="72" t="str">
        <f t="shared" si="5"/>
        <v>Aantal ledigingen onjuist</v>
      </c>
      <c r="Q21" s="69" t="str">
        <f t="shared" si="6"/>
        <v/>
      </c>
      <c r="R21" s="8" t="str">
        <f t="shared" ref="R21:R27" si="11">IFERROR(Q21+M21,"")</f>
        <v/>
      </c>
      <c r="S21" s="18"/>
      <c r="Z21" s="41" t="s">
        <v>76</v>
      </c>
      <c r="AA21" s="48">
        <v>310</v>
      </c>
      <c r="AB21">
        <v>0</v>
      </c>
      <c r="AD21" s="87">
        <f t="shared" ref="AD21:AD28" si="12">AB21*$Z$41</f>
        <v>0</v>
      </c>
      <c r="AE21" s="87">
        <f t="shared" ref="AE21:AE28" si="13">AB21*$Z$42</f>
        <v>0</v>
      </c>
      <c r="AF21" s="124">
        <f t="shared" ref="AF21:AF35" si="14">AE21*52</f>
        <v>0</v>
      </c>
      <c r="AG21" s="124">
        <f t="shared" ref="AG21:AG28" si="15">AB21*$Z$43</f>
        <v>0</v>
      </c>
      <c r="AH21" s="124">
        <f t="shared" ref="AH21:AH35" si="16">AG21*52</f>
        <v>0</v>
      </c>
      <c r="AI21" s="90">
        <v>1681</v>
      </c>
      <c r="AJ21" s="91">
        <f t="shared" ref="AJ21:AJ28" si="17">AI21+AD21</f>
        <v>1681</v>
      </c>
      <c r="AK21" s="92">
        <f t="shared" ref="AK21:AK28" si="18">AJ21/AI21</f>
        <v>1</v>
      </c>
      <c r="AL21" s="93">
        <v>43</v>
      </c>
      <c r="AM21">
        <f>AJ21/AL21</f>
        <v>39.093023255813954</v>
      </c>
      <c r="AO21" s="87">
        <v>241</v>
      </c>
      <c r="AP21" s="87">
        <v>241</v>
      </c>
      <c r="AQ21" s="87">
        <v>295</v>
      </c>
      <c r="AR21" s="87">
        <v>295</v>
      </c>
    </row>
    <row r="22" spans="2:44" x14ac:dyDescent="0.3">
      <c r="B22" s="18"/>
      <c r="C22" s="41" t="str">
        <f>Z22</f>
        <v>Bouwblok 1 a-b</v>
      </c>
      <c r="D22" s="105">
        <v>2112.0000000000005</v>
      </c>
      <c r="E22" s="52">
        <f t="shared" si="8"/>
        <v>110</v>
      </c>
      <c r="F22" s="48">
        <f t="shared" si="0"/>
        <v>4</v>
      </c>
      <c r="G22" s="80">
        <f>(D22/E22)/F22</f>
        <v>4.8000000000000007</v>
      </c>
      <c r="H22" s="46"/>
      <c r="I22" s="44"/>
      <c r="K22" s="64" t="str">
        <f t="shared" si="1"/>
        <v/>
      </c>
      <c r="L22" s="39" t="str">
        <f t="shared" si="10"/>
        <v/>
      </c>
      <c r="M22" s="66" t="str">
        <f t="shared" si="2"/>
        <v/>
      </c>
      <c r="N22" s="40" t="str">
        <f t="shared" si="3"/>
        <v/>
      </c>
      <c r="O22" s="75" t="str">
        <f t="shared" si="4"/>
        <v>Vul kolom I en K in</v>
      </c>
      <c r="P22" s="72" t="str">
        <f t="shared" si="5"/>
        <v>Aantal ledigingen onjuist</v>
      </c>
      <c r="Q22" s="69" t="str">
        <f>IFERROR(P22*N22,"")</f>
        <v/>
      </c>
      <c r="R22" s="8" t="str">
        <f t="shared" si="11"/>
        <v/>
      </c>
      <c r="S22" s="18"/>
      <c r="U22" t="s">
        <v>77</v>
      </c>
      <c r="Z22" s="2" t="s">
        <v>78</v>
      </c>
      <c r="AA22" s="48">
        <v>300</v>
      </c>
      <c r="AB22">
        <v>722</v>
      </c>
      <c r="AD22" s="87">
        <f>AB22*$Z$41</f>
        <v>259.94753636724437</v>
      </c>
      <c r="AE22" s="87">
        <f t="shared" si="13"/>
        <v>58.737854945766735</v>
      </c>
      <c r="AF22" s="124">
        <f t="shared" si="14"/>
        <v>3054.3684571798703</v>
      </c>
      <c r="AG22" s="124">
        <f t="shared" si="15"/>
        <v>18.760937600561324</v>
      </c>
      <c r="AH22" s="124">
        <f t="shared" si="16"/>
        <v>975.56875522918881</v>
      </c>
      <c r="AI22" s="90">
        <v>2060.76923076923</v>
      </c>
      <c r="AJ22" s="91">
        <f t="shared" si="17"/>
        <v>2320.7167671364746</v>
      </c>
      <c r="AK22" s="92">
        <f t="shared" si="18"/>
        <v>1.1261410217534222</v>
      </c>
      <c r="AL22" s="93">
        <v>93</v>
      </c>
      <c r="AM22">
        <f>AJ22/AL22</f>
        <v>24.953943732650263</v>
      </c>
      <c r="AO22">
        <v>295.96153846153845</v>
      </c>
      <c r="AP22" s="87">
        <f t="shared" ref="AP22:AP35" si="19">AO22+AE22</f>
        <v>354.69939340730519</v>
      </c>
      <c r="AQ22">
        <v>361.73076923076923</v>
      </c>
      <c r="AR22" s="87">
        <f t="shared" ref="AR22:AR35" si="20">AQ22+AG22</f>
        <v>380.49170683133053</v>
      </c>
    </row>
    <row r="23" spans="2:44" x14ac:dyDescent="0.3">
      <c r="B23" s="18"/>
      <c r="C23" s="41" t="str">
        <f t="shared" si="7"/>
        <v>Bouwblok 1 a-g</v>
      </c>
      <c r="D23" s="105">
        <v>4224.0000000000009</v>
      </c>
      <c r="E23" s="52">
        <f t="shared" si="8"/>
        <v>110</v>
      </c>
      <c r="F23" s="48">
        <f t="shared" si="0"/>
        <v>4</v>
      </c>
      <c r="G23" s="80">
        <f>(D23/E23)/F23</f>
        <v>9.6000000000000014</v>
      </c>
      <c r="H23" s="46"/>
      <c r="I23" s="44"/>
      <c r="K23" s="64" t="str">
        <f t="shared" si="1"/>
        <v/>
      </c>
      <c r="L23" s="39" t="str">
        <f t="shared" si="10"/>
        <v/>
      </c>
      <c r="M23" s="66" t="str">
        <f t="shared" si="2"/>
        <v/>
      </c>
      <c r="N23" s="40" t="str">
        <f t="shared" si="3"/>
        <v/>
      </c>
      <c r="O23" s="75" t="str">
        <f t="shared" si="4"/>
        <v>Vul kolom I en K in</v>
      </c>
      <c r="P23" s="72" t="str">
        <f t="shared" si="5"/>
        <v>Aantal ledigingen onjuist</v>
      </c>
      <c r="Q23" s="69" t="str">
        <f>IFERROR(P23*N23,"")</f>
        <v/>
      </c>
      <c r="R23" s="8" t="str">
        <f>IFERROR(Q23+M23,"")</f>
        <v/>
      </c>
      <c r="S23" s="18"/>
      <c r="U23" s="1" t="s">
        <v>79</v>
      </c>
      <c r="V23" s="1" t="s">
        <v>80</v>
      </c>
      <c r="W23" s="1" t="s">
        <v>42</v>
      </c>
      <c r="X23" s="1" t="s">
        <v>81</v>
      </c>
      <c r="Y23" s="1" t="s">
        <v>82</v>
      </c>
      <c r="Z23" s="118" t="s">
        <v>83</v>
      </c>
      <c r="AA23" s="119">
        <v>694</v>
      </c>
      <c r="AB23" s="120">
        <v>7455</v>
      </c>
      <c r="AC23" s="120"/>
      <c r="AD23" s="121">
        <f t="shared" si="12"/>
        <v>2684.0843263404527</v>
      </c>
      <c r="AE23" s="121">
        <f t="shared" si="13"/>
        <v>606.49682634444741</v>
      </c>
      <c r="AF23" s="124"/>
      <c r="AG23" s="125">
        <f t="shared" si="15"/>
        <v>193.71577536313666</v>
      </c>
      <c r="AH23" s="124"/>
      <c r="AI23" s="122">
        <v>4767.2461538461503</v>
      </c>
      <c r="AJ23" s="91">
        <f t="shared" si="17"/>
        <v>7451.3304801866034</v>
      </c>
      <c r="AK23" s="92">
        <f t="shared" si="18"/>
        <v>1.5630261664116023</v>
      </c>
      <c r="AL23" s="93">
        <v>74</v>
      </c>
      <c r="AM23">
        <f>AJ23/AL23</f>
        <v>100.6936551376568</v>
      </c>
      <c r="AO23" s="120">
        <v>684.65769230769229</v>
      </c>
      <c r="AP23" s="121">
        <f t="shared" si="19"/>
        <v>1291.1545186521398</v>
      </c>
      <c r="AQ23" s="120">
        <v>836.80384615384605</v>
      </c>
      <c r="AR23" s="121">
        <f t="shared" si="20"/>
        <v>1030.5196215169826</v>
      </c>
    </row>
    <row r="24" spans="2:44" x14ac:dyDescent="0.3">
      <c r="B24" s="18"/>
      <c r="C24" s="41" t="str">
        <f t="shared" si="7"/>
        <v xml:space="preserve">Bouwblok 2a </v>
      </c>
      <c r="D24" s="105">
        <v>2775.491407440797</v>
      </c>
      <c r="E24" s="52">
        <f t="shared" si="8"/>
        <v>110</v>
      </c>
      <c r="F24" s="48">
        <f t="shared" si="0"/>
        <v>4</v>
      </c>
      <c r="G24" s="80">
        <f t="shared" si="9"/>
        <v>6.3079350169109025</v>
      </c>
      <c r="H24" s="46"/>
      <c r="I24" s="44"/>
      <c r="K24" s="64" t="str">
        <f t="shared" si="1"/>
        <v/>
      </c>
      <c r="L24" s="39" t="str">
        <f t="shared" si="10"/>
        <v/>
      </c>
      <c r="M24" s="66" t="str">
        <f t="shared" si="2"/>
        <v/>
      </c>
      <c r="N24" s="40" t="str">
        <f t="shared" si="3"/>
        <v/>
      </c>
      <c r="O24" s="75" t="str">
        <f t="shared" si="4"/>
        <v>Vul kolom I en K in</v>
      </c>
      <c r="P24" s="72" t="str">
        <f t="shared" si="5"/>
        <v>Aantal ledigingen onjuist</v>
      </c>
      <c r="Q24" s="69" t="str">
        <f t="shared" si="6"/>
        <v/>
      </c>
      <c r="R24" s="8" t="str">
        <f t="shared" si="11"/>
        <v/>
      </c>
      <c r="S24" s="18"/>
      <c r="U24" s="77" t="s">
        <v>84</v>
      </c>
      <c r="V24" s="77"/>
      <c r="W24" s="77"/>
      <c r="X24" s="77"/>
      <c r="Y24" s="77"/>
      <c r="Z24" s="2" t="s">
        <v>85</v>
      </c>
      <c r="AA24" s="48">
        <v>289</v>
      </c>
      <c r="AB24" s="99">
        <v>2195</v>
      </c>
      <c r="AD24" s="87">
        <f t="shared" si="12"/>
        <v>790.28371513310447</v>
      </c>
      <c r="AE24" s="87">
        <f t="shared" si="13"/>
        <v>178.57284155949858</v>
      </c>
      <c r="AF24" s="124">
        <f t="shared" si="14"/>
        <v>9285.7877610939267</v>
      </c>
      <c r="AG24" s="124">
        <f t="shared" si="15"/>
        <v>57.036368467080479</v>
      </c>
      <c r="AH24" s="124">
        <f t="shared" si="16"/>
        <v>2965.8911602881849</v>
      </c>
      <c r="AI24" s="90">
        <v>1985.20769230769</v>
      </c>
      <c r="AJ24" s="91">
        <f t="shared" si="17"/>
        <v>2775.4914074407943</v>
      </c>
      <c r="AK24" s="92">
        <f t="shared" si="18"/>
        <v>1.3980861640801143</v>
      </c>
      <c r="AL24" s="93">
        <v>95</v>
      </c>
      <c r="AM24">
        <f>AJ24/AL24</f>
        <v>29.215699025692572</v>
      </c>
      <c r="AO24">
        <v>285.10961538461538</v>
      </c>
      <c r="AP24" s="87">
        <f t="shared" si="19"/>
        <v>463.68245694411394</v>
      </c>
      <c r="AQ24">
        <v>348.46730769230766</v>
      </c>
      <c r="AR24" s="87">
        <f t="shared" si="20"/>
        <v>405.50367615938814</v>
      </c>
    </row>
    <row r="25" spans="2:44" x14ac:dyDescent="0.3">
      <c r="B25" s="18"/>
      <c r="C25" s="41" t="str">
        <f t="shared" si="7"/>
        <v>Bouwblok 3 School + sporthal</v>
      </c>
      <c r="D25" s="105">
        <v>4224.0000000000009</v>
      </c>
      <c r="E25" s="52">
        <f t="shared" si="8"/>
        <v>110</v>
      </c>
      <c r="F25" s="48">
        <f t="shared" si="0"/>
        <v>4</v>
      </c>
      <c r="G25" s="80">
        <f>(D25/E25)/F25</f>
        <v>9.6000000000000014</v>
      </c>
      <c r="H25" s="46"/>
      <c r="I25" s="44"/>
      <c r="K25" s="64" t="str">
        <f t="shared" si="1"/>
        <v/>
      </c>
      <c r="L25" s="39" t="str">
        <f t="shared" si="10"/>
        <v/>
      </c>
      <c r="M25" s="66" t="str">
        <f t="shared" si="2"/>
        <v/>
      </c>
      <c r="N25" s="40" t="str">
        <f t="shared" si="3"/>
        <v/>
      </c>
      <c r="O25" s="75" t="str">
        <f t="shared" si="4"/>
        <v>Vul kolom I en K in</v>
      </c>
      <c r="P25" s="72" t="str">
        <f t="shared" si="5"/>
        <v>Aantal ledigingen onjuist</v>
      </c>
      <c r="Q25" s="69" t="str">
        <f>IFERROR(P25*N25,"")</f>
        <v/>
      </c>
      <c r="R25" s="8" t="str">
        <f>IFERROR(Q25+M25,"")</f>
        <v/>
      </c>
      <c r="S25" s="18"/>
      <c r="U25" t="s">
        <v>86</v>
      </c>
      <c r="V25" t="s">
        <v>87</v>
      </c>
      <c r="W25">
        <v>3</v>
      </c>
      <c r="X25">
        <v>360</v>
      </c>
      <c r="Y25" s="42" t="s">
        <v>88</v>
      </c>
      <c r="Z25" s="118" t="s">
        <v>89</v>
      </c>
      <c r="AA25" s="119">
        <v>150</v>
      </c>
      <c r="AB25" s="120">
        <f>12446+3024</f>
        <v>15470</v>
      </c>
      <c r="AC25" s="120"/>
      <c r="AD25" s="121">
        <f t="shared" si="12"/>
        <v>5569.790010528076</v>
      </c>
      <c r="AE25" s="121">
        <f t="shared" si="13"/>
        <v>1258.552099738243</v>
      </c>
      <c r="AF25" s="124">
        <f t="shared" si="14"/>
        <v>65444.709186388638</v>
      </c>
      <c r="AG25" s="125">
        <f t="shared" si="15"/>
        <v>401.98297047186105</v>
      </c>
      <c r="AH25" s="124">
        <f t="shared" si="16"/>
        <v>20903.114464536775</v>
      </c>
      <c r="AI25" s="122">
        <v>1030.38461538462</v>
      </c>
      <c r="AJ25" s="91">
        <f t="shared" si="17"/>
        <v>6600.1746259126958</v>
      </c>
      <c r="AK25" s="92">
        <f t="shared" si="18"/>
        <v>6.4055446164139349</v>
      </c>
      <c r="AL25" s="102" t="s">
        <v>90</v>
      </c>
      <c r="AO25" s="120">
        <v>147.98076923076923</v>
      </c>
      <c r="AP25" s="121">
        <f t="shared" si="19"/>
        <v>1406.5328689690123</v>
      </c>
      <c r="AQ25" s="120">
        <v>180.86538461538461</v>
      </c>
      <c r="AR25" s="121">
        <f t="shared" si="20"/>
        <v>582.84835508724564</v>
      </c>
    </row>
    <row r="26" spans="2:44" x14ac:dyDescent="0.3">
      <c r="B26" s="18"/>
      <c r="C26" s="41" t="str">
        <f t="shared" si="7"/>
        <v>Bouwblok 4 Bloom Zuid</v>
      </c>
      <c r="D26" s="105">
        <v>2112.0000000000005</v>
      </c>
      <c r="E26" s="52">
        <f t="shared" si="8"/>
        <v>110</v>
      </c>
      <c r="F26" s="48">
        <v>4</v>
      </c>
      <c r="G26" s="80">
        <f t="shared" si="9"/>
        <v>4.8000000000000007</v>
      </c>
      <c r="H26" s="46"/>
      <c r="I26" s="44"/>
      <c r="K26" s="64" t="str">
        <f t="shared" si="1"/>
        <v/>
      </c>
      <c r="L26" s="39" t="str">
        <f t="shared" si="10"/>
        <v/>
      </c>
      <c r="M26" s="66" t="str">
        <f t="shared" si="2"/>
        <v/>
      </c>
      <c r="N26" s="40" t="str">
        <f t="shared" si="3"/>
        <v/>
      </c>
      <c r="O26" s="75" t="str">
        <f t="shared" si="4"/>
        <v>Vul kolom I en K in</v>
      </c>
      <c r="P26" s="72" t="str">
        <f t="shared" si="5"/>
        <v>Aantal ledigingen onjuist</v>
      </c>
      <c r="Q26" s="69" t="str">
        <f t="shared" si="6"/>
        <v/>
      </c>
      <c r="R26" s="8" t="str">
        <f t="shared" si="11"/>
        <v/>
      </c>
      <c r="S26" s="18"/>
      <c r="U26" t="s">
        <v>91</v>
      </c>
      <c r="V26" t="s">
        <v>92</v>
      </c>
      <c r="W26">
        <v>1</v>
      </c>
      <c r="X26">
        <v>300</v>
      </c>
      <c r="Y26" s="42" t="s">
        <v>88</v>
      </c>
      <c r="Z26" s="2" t="s">
        <v>93</v>
      </c>
      <c r="AA26" s="48">
        <v>378</v>
      </c>
      <c r="AB26">
        <v>340</v>
      </c>
      <c r="AD26" s="87">
        <f t="shared" si="12"/>
        <v>122.41296726435331</v>
      </c>
      <c r="AE26" s="87">
        <f t="shared" si="13"/>
        <v>27.660485708532811</v>
      </c>
      <c r="AF26" s="124">
        <f t="shared" si="14"/>
        <v>1438.3452568437062</v>
      </c>
      <c r="AG26" s="124">
        <f t="shared" si="15"/>
        <v>8.8347905598211209</v>
      </c>
      <c r="AH26" s="124">
        <f t="shared" si="16"/>
        <v>459.4091091106983</v>
      </c>
      <c r="AI26" s="90">
        <v>2596.5692307692302</v>
      </c>
      <c r="AJ26" s="91">
        <f t="shared" si="17"/>
        <v>2718.9821980335837</v>
      </c>
      <c r="AK26" s="92">
        <f t="shared" si="18"/>
        <v>1.047144118405843</v>
      </c>
      <c r="AL26" s="93">
        <v>68</v>
      </c>
      <c r="AM26">
        <f>AJ26/AL26</f>
        <v>39.985032324023287</v>
      </c>
      <c r="AO26">
        <v>372.91153846153844</v>
      </c>
      <c r="AP26" s="87">
        <f t="shared" si="19"/>
        <v>400.57202417007124</v>
      </c>
      <c r="AQ26">
        <v>455.78076923076918</v>
      </c>
      <c r="AR26" s="87">
        <f t="shared" si="20"/>
        <v>464.61555979059028</v>
      </c>
    </row>
    <row r="27" spans="2:44" x14ac:dyDescent="0.3">
      <c r="B27" s="18"/>
      <c r="C27" s="41" t="str">
        <f t="shared" si="7"/>
        <v xml:space="preserve">Bouwblok 5 Bloom Zuid </v>
      </c>
      <c r="D27" s="105">
        <v>2112.0000000000005</v>
      </c>
      <c r="E27" s="52">
        <f t="shared" si="8"/>
        <v>110</v>
      </c>
      <c r="F27" s="48">
        <f>$W$27</f>
        <v>4</v>
      </c>
      <c r="G27" s="80">
        <f t="shared" ref="G27:G35" si="21">(D27/E27)/F27</f>
        <v>4.8000000000000007</v>
      </c>
      <c r="H27" s="46"/>
      <c r="I27" s="44"/>
      <c r="K27" s="64" t="str">
        <f t="shared" si="1"/>
        <v/>
      </c>
      <c r="L27" s="39" t="str">
        <f t="shared" si="10"/>
        <v/>
      </c>
      <c r="M27" s="66" t="str">
        <f t="shared" si="2"/>
        <v/>
      </c>
      <c r="N27" s="40" t="str">
        <f t="shared" si="3"/>
        <v/>
      </c>
      <c r="O27" s="75" t="str">
        <f t="shared" si="4"/>
        <v>Vul kolom I en K in</v>
      </c>
      <c r="P27" s="72" t="str">
        <f t="shared" si="5"/>
        <v>Aantal ledigingen onjuist</v>
      </c>
      <c r="Q27" s="69" t="str">
        <f t="shared" si="6"/>
        <v/>
      </c>
      <c r="R27" s="8" t="str">
        <f t="shared" si="11"/>
        <v/>
      </c>
      <c r="S27" s="18"/>
      <c r="U27" t="s">
        <v>94</v>
      </c>
      <c r="V27" s="51" t="s">
        <v>95</v>
      </c>
      <c r="W27">
        <v>4</v>
      </c>
      <c r="X27">
        <v>440</v>
      </c>
      <c r="Y27" s="42" t="s">
        <v>88</v>
      </c>
      <c r="Z27" s="2" t="s">
        <v>96</v>
      </c>
      <c r="AA27" s="48">
        <v>236</v>
      </c>
      <c r="AB27">
        <v>1629</v>
      </c>
      <c r="AD27" s="87">
        <f t="shared" si="12"/>
        <v>586.50212845185752</v>
      </c>
      <c r="AE27" s="87">
        <f t="shared" si="13"/>
        <v>132.52626829176455</v>
      </c>
      <c r="AF27" s="124">
        <f t="shared" si="14"/>
        <v>6891.3659511717569</v>
      </c>
      <c r="AG27" s="124">
        <f t="shared" si="15"/>
        <v>42.32904065279002</v>
      </c>
      <c r="AH27" s="124">
        <f t="shared" si="16"/>
        <v>2201.1101139450811</v>
      </c>
      <c r="AI27" s="90">
        <v>1621.13846153846</v>
      </c>
      <c r="AJ27" s="91">
        <f t="shared" si="17"/>
        <v>2207.6405899903175</v>
      </c>
      <c r="AK27" s="92">
        <f t="shared" si="18"/>
        <v>1.3617841056557669</v>
      </c>
      <c r="AL27" s="93">
        <v>65</v>
      </c>
      <c r="AM27">
        <f>AJ27/AL27</f>
        <v>33.963701384466425</v>
      </c>
      <c r="AO27">
        <v>232.82307692307691</v>
      </c>
      <c r="AP27" s="87">
        <f t="shared" si="19"/>
        <v>365.34934521484149</v>
      </c>
      <c r="AQ27">
        <v>284.56153846153842</v>
      </c>
      <c r="AR27" s="87">
        <f t="shared" si="20"/>
        <v>326.89057911432843</v>
      </c>
    </row>
    <row r="28" spans="2:44" x14ac:dyDescent="0.3">
      <c r="B28" s="18"/>
      <c r="C28" s="41" t="str">
        <f t="shared" si="7"/>
        <v>Bouwblok 7</v>
      </c>
      <c r="D28" s="105">
        <v>2112.0000000000005</v>
      </c>
      <c r="E28" s="52">
        <f t="shared" si="8"/>
        <v>110</v>
      </c>
      <c r="F28" s="48">
        <f>$W$27</f>
        <v>4</v>
      </c>
      <c r="G28" s="80">
        <f t="shared" si="21"/>
        <v>4.8000000000000007</v>
      </c>
      <c r="H28" s="46"/>
      <c r="I28" s="44"/>
      <c r="K28" s="64" t="str">
        <f t="shared" si="1"/>
        <v/>
      </c>
      <c r="L28" s="39" t="str">
        <f t="shared" si="10"/>
        <v/>
      </c>
      <c r="M28" s="66" t="str">
        <f t="shared" si="2"/>
        <v/>
      </c>
      <c r="N28" s="40" t="str">
        <f t="shared" si="3"/>
        <v/>
      </c>
      <c r="O28" s="75" t="str">
        <f t="shared" si="4"/>
        <v>Vul kolom I en K in</v>
      </c>
      <c r="P28" s="72" t="str">
        <f t="shared" si="5"/>
        <v>Aantal ledigingen onjuist</v>
      </c>
      <c r="Q28" s="69" t="str">
        <f>IFERROR(P28*N28,"")</f>
        <v/>
      </c>
      <c r="R28" s="8" t="str">
        <f>IFERROR(Q28+M28,"")</f>
        <v/>
      </c>
      <c r="S28" s="18"/>
      <c r="Z28" s="118" t="s">
        <v>97</v>
      </c>
      <c r="AA28" s="119">
        <f>128+170</f>
        <v>298</v>
      </c>
      <c r="AB28" s="120">
        <f>375+5281</f>
        <v>5656</v>
      </c>
      <c r="AC28" s="120" t="s">
        <v>98</v>
      </c>
      <c r="AD28" s="121">
        <f t="shared" si="12"/>
        <v>2036.3757142564186</v>
      </c>
      <c r="AE28" s="121">
        <f t="shared" si="13"/>
        <v>460.14031519841643</v>
      </c>
      <c r="AF28" s="124"/>
      <c r="AG28" s="125">
        <f t="shared" si="15"/>
        <v>146.96933943043607</v>
      </c>
      <c r="AH28" s="124"/>
      <c r="AI28" s="122">
        <f>879.261538461538+1167.76923076923</f>
        <v>2047.0307692307679</v>
      </c>
      <c r="AJ28" s="91">
        <f t="shared" si="17"/>
        <v>4083.4064834871865</v>
      </c>
      <c r="AK28" s="92">
        <f t="shared" si="18"/>
        <v>1.9947948730744516</v>
      </c>
      <c r="AL28" s="102" t="s">
        <v>90</v>
      </c>
      <c r="AO28" s="120">
        <f>126.276923076923+167.711538461538</f>
        <v>293.98846153846102</v>
      </c>
      <c r="AP28" s="121">
        <f t="shared" si="19"/>
        <v>754.1287767368774</v>
      </c>
      <c r="AQ28" s="120">
        <f>154.338461538462+204.980769230769</f>
        <v>359.31923076923101</v>
      </c>
      <c r="AR28" s="121">
        <f t="shared" si="20"/>
        <v>506.28857019966711</v>
      </c>
    </row>
    <row r="29" spans="2:44" x14ac:dyDescent="0.3">
      <c r="B29" s="18"/>
      <c r="C29" s="41" t="str">
        <f t="shared" ref="C29:C35" si="22">Z29</f>
        <v xml:space="preserve">Bouwblok 8 Grow </v>
      </c>
      <c r="D29" s="105">
        <v>3950</v>
      </c>
      <c r="E29" s="52">
        <f t="shared" si="8"/>
        <v>110</v>
      </c>
      <c r="F29" s="48">
        <f t="shared" ref="F29" si="23">$W$27</f>
        <v>4</v>
      </c>
      <c r="G29" s="80">
        <f t="shared" si="21"/>
        <v>8.9772727272727266</v>
      </c>
      <c r="H29" s="46"/>
      <c r="I29" s="44"/>
      <c r="K29" s="64" t="str">
        <f t="shared" si="1"/>
        <v/>
      </c>
      <c r="L29" s="39" t="str">
        <f t="shared" si="10"/>
        <v/>
      </c>
      <c r="M29" s="66" t="str">
        <f t="shared" si="2"/>
        <v/>
      </c>
      <c r="N29" s="40" t="str">
        <f t="shared" si="3"/>
        <v/>
      </c>
      <c r="O29" s="75" t="str">
        <f t="shared" si="4"/>
        <v>Vul kolom I en K in</v>
      </c>
      <c r="P29" s="72" t="str">
        <f t="shared" si="5"/>
        <v>Aantal ledigingen onjuist</v>
      </c>
      <c r="Q29" s="69" t="str">
        <f t="shared" ref="Q29" si="24">IFERROR(P29*N29,"")</f>
        <v/>
      </c>
      <c r="R29" s="8" t="str">
        <f t="shared" ref="R29" si="25">IFERROR(Q29+M29,"")</f>
        <v/>
      </c>
      <c r="S29" s="18"/>
      <c r="U29" s="1" t="s">
        <v>99</v>
      </c>
      <c r="Z29" s="118" t="s">
        <v>100</v>
      </c>
      <c r="AA29" s="119">
        <v>575</v>
      </c>
      <c r="AB29" s="120">
        <v>7368</v>
      </c>
      <c r="AC29" s="120"/>
      <c r="AD29" s="121">
        <f t="shared" ref="AD29:AD35" si="26">AB29*$Z$41</f>
        <v>2652.7610082463389</v>
      </c>
      <c r="AE29" s="121">
        <f t="shared" ref="AE29:AE35" si="27">AB29*$Z$42</f>
        <v>599.41899617785225</v>
      </c>
      <c r="AF29" s="124"/>
      <c r="AG29" s="125">
        <f t="shared" ref="AG29:AG35" si="28">AB29*$Z$43</f>
        <v>191.45510836694712</v>
      </c>
      <c r="AH29" s="124"/>
      <c r="AI29" s="122">
        <v>3949.8076923076901</v>
      </c>
      <c r="AJ29" s="91">
        <f t="shared" ref="AJ29:AJ35" si="29">AI29+AD29</f>
        <v>6602.5687005540294</v>
      </c>
      <c r="AK29" s="92">
        <f t="shared" ref="AK29:AK35" si="30">AJ29/AI29</f>
        <v>1.6716177634198828</v>
      </c>
      <c r="AL29" s="93">
        <v>160</v>
      </c>
      <c r="AM29">
        <f t="shared" ref="AM29:AM35" si="31">AJ29/AL29</f>
        <v>41.266054378462684</v>
      </c>
      <c r="AO29" s="120">
        <v>567.25961538461536</v>
      </c>
      <c r="AP29" s="121">
        <f t="shared" si="19"/>
        <v>1166.6786115624677</v>
      </c>
      <c r="AQ29" s="120">
        <v>693.31730769230774</v>
      </c>
      <c r="AR29" s="121">
        <f t="shared" si="20"/>
        <v>884.77241605925485</v>
      </c>
    </row>
    <row r="30" spans="2:44" x14ac:dyDescent="0.3">
      <c r="B30" s="18"/>
      <c r="C30" s="41" t="str">
        <f t="shared" si="22"/>
        <v>Bouwblok 9 Joy</v>
      </c>
      <c r="D30" s="105">
        <v>1524.8235816828069</v>
      </c>
      <c r="E30" s="52">
        <f t="shared" si="8"/>
        <v>110</v>
      </c>
      <c r="F30" s="48">
        <f t="shared" ref="F30:F35" si="32">$W$27</f>
        <v>4</v>
      </c>
      <c r="G30" s="80">
        <f t="shared" si="21"/>
        <v>3.4655081401881973</v>
      </c>
      <c r="H30" s="46"/>
      <c r="I30" s="44"/>
      <c r="K30" s="64" t="str">
        <f t="shared" si="1"/>
        <v/>
      </c>
      <c r="L30" s="39" t="str">
        <f t="shared" si="10"/>
        <v/>
      </c>
      <c r="M30" s="66" t="str">
        <f t="shared" si="2"/>
        <v/>
      </c>
      <c r="N30" s="40" t="str">
        <f t="shared" si="3"/>
        <v/>
      </c>
      <c r="O30" s="75" t="str">
        <f t="shared" si="4"/>
        <v>Vul kolom I en K in</v>
      </c>
      <c r="P30" s="72" t="str">
        <f t="shared" si="5"/>
        <v>Aantal ledigingen onjuist</v>
      </c>
      <c r="Q30" s="69" t="str">
        <f t="shared" ref="Q30:Q35" si="33">IFERROR(P30*N30,"")</f>
        <v/>
      </c>
      <c r="R30" s="8" t="str">
        <f t="shared" ref="R30:R35" si="34">IFERROR(Q30+M30,"")</f>
        <v/>
      </c>
      <c r="S30" s="18"/>
      <c r="U30">
        <v>1</v>
      </c>
      <c r="Z30" s="2" t="s">
        <v>101</v>
      </c>
      <c r="AA30" s="126">
        <v>179</v>
      </c>
      <c r="AB30">
        <v>820</v>
      </c>
      <c r="AD30" s="87">
        <f t="shared" si="26"/>
        <v>295.23127399049918</v>
      </c>
      <c r="AE30" s="87">
        <f t="shared" si="27"/>
        <v>66.710583179402661</v>
      </c>
      <c r="AF30" s="124">
        <f t="shared" si="14"/>
        <v>3468.9503253289386</v>
      </c>
      <c r="AG30" s="124">
        <f t="shared" si="28"/>
        <v>21.307436056039176</v>
      </c>
      <c r="AH30" s="124">
        <f t="shared" si="16"/>
        <v>1107.9866749140372</v>
      </c>
      <c r="AI30" s="90">
        <v>1229.5923076923077</v>
      </c>
      <c r="AJ30" s="91">
        <f t="shared" si="29"/>
        <v>1524.8235816828069</v>
      </c>
      <c r="AK30" s="92">
        <f t="shared" si="30"/>
        <v>1.2401050105336033</v>
      </c>
      <c r="AL30" s="93">
        <v>62</v>
      </c>
      <c r="AM30">
        <f t="shared" si="31"/>
        <v>24.593928736819468</v>
      </c>
      <c r="AO30">
        <v>141.07499999999999</v>
      </c>
      <c r="AP30" s="87">
        <f t="shared" si="19"/>
        <v>207.78558317940264</v>
      </c>
      <c r="AQ30">
        <v>172.42500000000001</v>
      </c>
      <c r="AR30" s="87">
        <f t="shared" si="20"/>
        <v>193.73243605603918</v>
      </c>
    </row>
    <row r="31" spans="2:44" x14ac:dyDescent="0.3">
      <c r="B31" s="18"/>
      <c r="C31" s="41" t="str">
        <f t="shared" si="22"/>
        <v>Bouwblok 10 Pulse</v>
      </c>
      <c r="D31" s="105">
        <v>1276.7287977749975</v>
      </c>
      <c r="E31" s="52">
        <f t="shared" si="8"/>
        <v>110</v>
      </c>
      <c r="F31" s="48">
        <f t="shared" si="32"/>
        <v>4</v>
      </c>
      <c r="G31" s="80">
        <f t="shared" si="21"/>
        <v>2.9016563585795399</v>
      </c>
      <c r="H31" s="46"/>
      <c r="I31" s="44"/>
      <c r="K31" s="64" t="str">
        <f t="shared" si="1"/>
        <v/>
      </c>
      <c r="L31" s="39" t="str">
        <f t="shared" si="10"/>
        <v/>
      </c>
      <c r="M31" s="66" t="str">
        <f t="shared" si="2"/>
        <v/>
      </c>
      <c r="N31" s="40" t="str">
        <f t="shared" si="3"/>
        <v/>
      </c>
      <c r="O31" s="75" t="str">
        <f t="shared" si="4"/>
        <v>Vul kolom I en K in</v>
      </c>
      <c r="P31" s="72" t="str">
        <f t="shared" si="5"/>
        <v>Aantal ledigingen onjuist</v>
      </c>
      <c r="Q31" s="69" t="str">
        <f t="shared" si="33"/>
        <v/>
      </c>
      <c r="R31" s="8" t="str">
        <f t="shared" si="34"/>
        <v/>
      </c>
      <c r="S31" s="18"/>
      <c r="U31">
        <v>2</v>
      </c>
      <c r="Z31" s="2" t="s">
        <v>102</v>
      </c>
      <c r="AA31" s="126">
        <v>178</v>
      </c>
      <c r="AB31">
        <v>150</v>
      </c>
      <c r="AD31" s="87">
        <f t="shared" si="26"/>
        <v>54.005720851920579</v>
      </c>
      <c r="AE31" s="87">
        <f t="shared" si="27"/>
        <v>12.203155459646828</v>
      </c>
      <c r="AF31" s="124">
        <f t="shared" si="14"/>
        <v>634.56408390163506</v>
      </c>
      <c r="AG31" s="124">
        <f t="shared" si="28"/>
        <v>3.8977017175681419</v>
      </c>
      <c r="AH31" s="124">
        <f t="shared" si="16"/>
        <v>202.68048931354338</v>
      </c>
      <c r="AI31" s="90">
        <v>1222.7230769230769</v>
      </c>
      <c r="AJ31" s="91">
        <f t="shared" si="29"/>
        <v>1276.7287977749975</v>
      </c>
      <c r="AK31" s="92">
        <f t="shared" si="30"/>
        <v>1.0441683991013102</v>
      </c>
      <c r="AL31" s="93">
        <v>70</v>
      </c>
      <c r="AM31">
        <f t="shared" si="31"/>
        <v>18.238982825357105</v>
      </c>
      <c r="AO31">
        <v>208.15961538461536</v>
      </c>
      <c r="AP31" s="87">
        <f t="shared" si="19"/>
        <v>220.3627708442622</v>
      </c>
      <c r="AQ31">
        <v>254.41730769230767</v>
      </c>
      <c r="AR31" s="87">
        <f t="shared" si="20"/>
        <v>258.31500940987581</v>
      </c>
    </row>
    <row r="32" spans="2:44" x14ac:dyDescent="0.3">
      <c r="B32" s="18"/>
      <c r="C32" s="41" t="str">
        <f t="shared" si="22"/>
        <v>Bouwblok 11</v>
      </c>
      <c r="D32" s="105">
        <v>3229.4592668977648</v>
      </c>
      <c r="E32" s="52">
        <f t="shared" si="8"/>
        <v>110</v>
      </c>
      <c r="F32" s="48">
        <f t="shared" si="32"/>
        <v>4</v>
      </c>
      <c r="G32" s="80">
        <f t="shared" si="21"/>
        <v>7.3396801520403745</v>
      </c>
      <c r="H32" s="46"/>
      <c r="I32" s="44"/>
      <c r="K32" s="64" t="str">
        <f t="shared" si="1"/>
        <v/>
      </c>
      <c r="L32" s="39" t="str">
        <f t="shared" si="10"/>
        <v/>
      </c>
      <c r="M32" s="66" t="str">
        <f t="shared" si="2"/>
        <v/>
      </c>
      <c r="N32" s="40" t="str">
        <f t="shared" si="3"/>
        <v/>
      </c>
      <c r="O32" s="75" t="str">
        <f t="shared" si="4"/>
        <v>Vul kolom I en K in</v>
      </c>
      <c r="P32" s="72" t="str">
        <f t="shared" si="5"/>
        <v>Aantal ledigingen onjuist</v>
      </c>
      <c r="Q32" s="69" t="str">
        <f t="shared" si="33"/>
        <v/>
      </c>
      <c r="R32" s="8" t="str">
        <f t="shared" si="34"/>
        <v/>
      </c>
      <c r="S32" s="18"/>
      <c r="U32">
        <v>3</v>
      </c>
      <c r="Z32" s="2" t="s">
        <v>103</v>
      </c>
      <c r="AA32" s="126">
        <v>376</v>
      </c>
      <c r="AB32">
        <v>1796</v>
      </c>
      <c r="AD32" s="87">
        <f t="shared" si="26"/>
        <v>646.62849766699571</v>
      </c>
      <c r="AE32" s="87">
        <f t="shared" si="27"/>
        <v>146.11244803683803</v>
      </c>
      <c r="AF32" s="124">
        <f t="shared" si="14"/>
        <v>7597.8472979155777</v>
      </c>
      <c r="AG32" s="124">
        <f t="shared" si="28"/>
        <v>46.668481898349221</v>
      </c>
      <c r="AH32" s="124">
        <f t="shared" si="16"/>
        <v>2426.7610587141594</v>
      </c>
      <c r="AI32" s="90">
        <v>2582.830769230769</v>
      </c>
      <c r="AJ32" s="91">
        <f t="shared" si="29"/>
        <v>3229.4592668977648</v>
      </c>
      <c r="AK32" s="92">
        <f t="shared" si="30"/>
        <v>1.2503565101400653</v>
      </c>
      <c r="AL32" s="93">
        <v>161</v>
      </c>
      <c r="AM32">
        <f t="shared" si="31"/>
        <v>20.058753210545124</v>
      </c>
      <c r="AO32">
        <v>456.76730769230767</v>
      </c>
      <c r="AP32" s="87">
        <f t="shared" si="19"/>
        <v>602.8797557291457</v>
      </c>
      <c r="AQ32">
        <v>558.27115384615377</v>
      </c>
      <c r="AR32" s="87">
        <f t="shared" si="20"/>
        <v>604.93963574450299</v>
      </c>
    </row>
    <row r="33" spans="2:44" x14ac:dyDescent="0.3">
      <c r="B33" s="18"/>
      <c r="C33" s="41" t="str">
        <f t="shared" si="22"/>
        <v>Bouwblok 12 a Bloom Park</v>
      </c>
      <c r="D33" s="105">
        <v>2112.0000000000005</v>
      </c>
      <c r="E33" s="52">
        <f t="shared" si="8"/>
        <v>110</v>
      </c>
      <c r="F33" s="48">
        <f t="shared" si="32"/>
        <v>4</v>
      </c>
      <c r="G33" s="80">
        <f t="shared" si="21"/>
        <v>4.8000000000000007</v>
      </c>
      <c r="H33" s="46"/>
      <c r="I33" s="44"/>
      <c r="K33" s="64" t="str">
        <f t="shared" si="1"/>
        <v/>
      </c>
      <c r="L33" s="39" t="str">
        <f t="shared" si="10"/>
        <v/>
      </c>
      <c r="M33" s="66" t="str">
        <f t="shared" si="2"/>
        <v/>
      </c>
      <c r="N33" s="40" t="str">
        <f t="shared" si="3"/>
        <v/>
      </c>
      <c r="O33" s="75" t="str">
        <f t="shared" si="4"/>
        <v>Vul kolom I en K in</v>
      </c>
      <c r="P33" s="72" t="str">
        <f t="shared" si="5"/>
        <v>Aantal ledigingen onjuist</v>
      </c>
      <c r="Q33" s="69" t="str">
        <f t="shared" si="33"/>
        <v/>
      </c>
      <c r="R33" s="8" t="str">
        <f t="shared" si="34"/>
        <v/>
      </c>
      <c r="S33" s="18"/>
      <c r="Y33" s="42"/>
      <c r="Z33" s="2" t="s">
        <v>104</v>
      </c>
      <c r="AA33" s="126">
        <v>189</v>
      </c>
      <c r="AB33">
        <v>3235</v>
      </c>
      <c r="AD33" s="87">
        <f t="shared" si="26"/>
        <v>1164.7233797064205</v>
      </c>
      <c r="AE33" s="87">
        <f t="shared" si="27"/>
        <v>263.18138607971662</v>
      </c>
      <c r="AF33" s="124">
        <f t="shared" si="14"/>
        <v>13685.432076145264</v>
      </c>
      <c r="AG33" s="124">
        <f t="shared" si="28"/>
        <v>84.060433708886265</v>
      </c>
      <c r="AH33" s="124">
        <f t="shared" si="16"/>
        <v>4371.1425528620857</v>
      </c>
      <c r="AI33" s="90">
        <v>1298.2846153846151</v>
      </c>
      <c r="AJ33" s="91">
        <f t="shared" si="29"/>
        <v>2463.0079950910358</v>
      </c>
      <c r="AK33" s="92">
        <f t="shared" si="30"/>
        <v>1.8971248414288364</v>
      </c>
      <c r="AL33" s="93">
        <v>67</v>
      </c>
      <c r="AM33">
        <f t="shared" si="31"/>
        <v>36.761313359567701</v>
      </c>
      <c r="AO33">
        <v>220.98461538461535</v>
      </c>
      <c r="AP33" s="87">
        <f t="shared" si="19"/>
        <v>484.166001464332</v>
      </c>
      <c r="AQ33">
        <v>270.09230769230766</v>
      </c>
      <c r="AR33" s="87">
        <f t="shared" si="20"/>
        <v>354.15274140119391</v>
      </c>
    </row>
    <row r="34" spans="2:44" x14ac:dyDescent="0.3">
      <c r="B34" s="18"/>
      <c r="C34" s="41" t="str">
        <f t="shared" si="22"/>
        <v>Bouwblok 13 Cix City</v>
      </c>
      <c r="D34" s="105">
        <v>4153.4819314795714</v>
      </c>
      <c r="E34" s="52">
        <f t="shared" si="8"/>
        <v>110</v>
      </c>
      <c r="F34" s="48">
        <f t="shared" si="32"/>
        <v>4</v>
      </c>
      <c r="G34" s="80">
        <f t="shared" si="21"/>
        <v>9.4397316624535712</v>
      </c>
      <c r="H34" s="46"/>
      <c r="I34" s="44"/>
      <c r="K34" s="64" t="str">
        <f t="shared" si="1"/>
        <v/>
      </c>
      <c r="L34" s="39" t="str">
        <f t="shared" si="10"/>
        <v/>
      </c>
      <c r="M34" s="66" t="str">
        <f t="shared" si="2"/>
        <v/>
      </c>
      <c r="N34" s="40" t="str">
        <f t="shared" si="3"/>
        <v/>
      </c>
      <c r="O34" s="75" t="str">
        <f t="shared" si="4"/>
        <v>Vul kolom I en K in</v>
      </c>
      <c r="P34" s="72" t="str">
        <f t="shared" si="5"/>
        <v>Aantal ledigingen onjuist</v>
      </c>
      <c r="Q34" s="69" t="str">
        <f t="shared" si="33"/>
        <v/>
      </c>
      <c r="R34" s="8" t="str">
        <f t="shared" si="34"/>
        <v/>
      </c>
      <c r="S34" s="18"/>
      <c r="Z34" s="2" t="s">
        <v>105</v>
      </c>
      <c r="AA34" s="126">
        <v>306</v>
      </c>
      <c r="AB34">
        <v>5698</v>
      </c>
      <c r="AD34" s="87">
        <f t="shared" si="26"/>
        <v>2051.4973160949562</v>
      </c>
      <c r="AE34" s="87">
        <f t="shared" si="27"/>
        <v>463.55719872711751</v>
      </c>
      <c r="AF34" s="124">
        <f t="shared" si="14"/>
        <v>24104.974333810111</v>
      </c>
      <c r="AG34" s="124">
        <f t="shared" si="28"/>
        <v>148.06069591135514</v>
      </c>
      <c r="AH34" s="124">
        <f t="shared" si="16"/>
        <v>7699.1561873904675</v>
      </c>
      <c r="AI34" s="90">
        <v>2101.9846153846152</v>
      </c>
      <c r="AJ34" s="91">
        <f t="shared" si="29"/>
        <v>4153.4819314795714</v>
      </c>
      <c r="AK34" s="92">
        <f t="shared" si="30"/>
        <v>1.9759811280633846</v>
      </c>
      <c r="AL34" s="93">
        <v>80</v>
      </c>
      <c r="AM34">
        <f t="shared" si="31"/>
        <v>51.918524143494643</v>
      </c>
      <c r="AO34">
        <v>293.98846153846148</v>
      </c>
      <c r="AP34" s="87">
        <f t="shared" si="19"/>
        <v>757.54566026557904</v>
      </c>
      <c r="AQ34">
        <v>359.31923076923073</v>
      </c>
      <c r="AR34" s="87">
        <f t="shared" si="20"/>
        <v>507.37992668058587</v>
      </c>
    </row>
    <row r="35" spans="2:44" x14ac:dyDescent="0.3">
      <c r="B35" s="18"/>
      <c r="C35" s="78" t="str">
        <f t="shared" si="22"/>
        <v>Bouwblok 14 Cix Theatre</v>
      </c>
      <c r="D35" s="116">
        <v>1335.0307747989359</v>
      </c>
      <c r="E35" s="53">
        <f t="shared" si="8"/>
        <v>110</v>
      </c>
      <c r="F35" s="49">
        <f t="shared" si="32"/>
        <v>4</v>
      </c>
      <c r="G35" s="81">
        <f t="shared" si="21"/>
        <v>3.0341608518157632</v>
      </c>
      <c r="H35" s="74"/>
      <c r="I35" s="45"/>
      <c r="J35" s="117"/>
      <c r="K35" s="65" t="str">
        <f t="shared" si="1"/>
        <v/>
      </c>
      <c r="L35" s="63" t="str">
        <f t="shared" si="10"/>
        <v/>
      </c>
      <c r="M35" s="67" t="str">
        <f t="shared" si="2"/>
        <v/>
      </c>
      <c r="N35" s="56" t="str">
        <f t="shared" si="3"/>
        <v/>
      </c>
      <c r="O35" s="76" t="str">
        <f t="shared" si="4"/>
        <v>Vul kolom I en K in</v>
      </c>
      <c r="P35" s="73" t="str">
        <f t="shared" si="5"/>
        <v>Aantal ledigingen onjuist</v>
      </c>
      <c r="Q35" s="70" t="str">
        <f t="shared" si="33"/>
        <v/>
      </c>
      <c r="R35" s="83" t="str">
        <f t="shared" si="34"/>
        <v/>
      </c>
      <c r="S35" s="18"/>
      <c r="Z35" s="2" t="s">
        <v>106</v>
      </c>
      <c r="AA35" s="126">
        <v>89</v>
      </c>
      <c r="AB35">
        <v>1533</v>
      </c>
      <c r="AD35" s="87">
        <f t="shared" si="26"/>
        <v>551.93846710662831</v>
      </c>
      <c r="AE35" s="87">
        <f t="shared" si="27"/>
        <v>124.71624879759058</v>
      </c>
      <c r="AF35" s="124">
        <f t="shared" si="14"/>
        <v>6485.2449374747102</v>
      </c>
      <c r="AG35" s="124">
        <f t="shared" si="28"/>
        <v>39.834511553546406</v>
      </c>
      <c r="AH35" s="124">
        <f t="shared" si="16"/>
        <v>2071.3946007844133</v>
      </c>
      <c r="AI35" s="90">
        <v>783.0923076923076</v>
      </c>
      <c r="AJ35" s="91">
        <f t="shared" si="29"/>
        <v>1335.0307747989359</v>
      </c>
      <c r="AK35" s="92">
        <f t="shared" si="30"/>
        <v>1.7048191658696459</v>
      </c>
      <c r="AL35" s="93">
        <v>55</v>
      </c>
      <c r="AM35">
        <f t="shared" si="31"/>
        <v>24.273286814526106</v>
      </c>
      <c r="AO35">
        <v>112.46538461538461</v>
      </c>
      <c r="AP35" s="87">
        <f t="shared" si="19"/>
        <v>237.1816334129752</v>
      </c>
      <c r="AQ35">
        <v>137.4576923076923</v>
      </c>
      <c r="AR35" s="87">
        <f t="shared" si="20"/>
        <v>177.2922038612387</v>
      </c>
    </row>
    <row r="36" spans="2:44" x14ac:dyDescent="0.3">
      <c r="B36" s="18"/>
      <c r="C36" s="2"/>
      <c r="D36" s="15">
        <f>SUM(D20:D35)</f>
        <v>39525.015760074872</v>
      </c>
      <c r="E36" s="43"/>
      <c r="G36" s="54">
        <f>SUM(G20:G35)</f>
        <v>89.829581272897443</v>
      </c>
      <c r="H36" s="15"/>
      <c r="L36" s="68" t="s">
        <v>107</v>
      </c>
      <c r="M36" s="66" t="str">
        <f>IF(COUNTBLANK(M20:M35)=0,SUM(M20:M35),"NIET COMPLEET")</f>
        <v>NIET COMPLEET</v>
      </c>
      <c r="P36" s="71" t="s">
        <v>108</v>
      </c>
      <c r="Q36" s="69" t="b">
        <f>IF(COUNTBLANK(Q20:Q35)=0,SUM(Q20:Q35))</f>
        <v>0</v>
      </c>
      <c r="R36" s="8" t="b">
        <f>IF(COUNTBLANK(R20:R35)=0,SUM(R20:R35))</f>
        <v>0</v>
      </c>
      <c r="S36" s="18"/>
      <c r="Y36" s="42"/>
    </row>
    <row r="37" spans="2:44" x14ac:dyDescent="0.3">
      <c r="B37" s="18"/>
      <c r="E37" s="10"/>
      <c r="K37" s="10"/>
      <c r="L37" s="10"/>
      <c r="M37" s="10"/>
      <c r="N37" s="10"/>
      <c r="O37" s="10"/>
      <c r="P37" s="10"/>
      <c r="Q37" s="10"/>
      <c r="R37" s="10"/>
      <c r="S37" s="18"/>
    </row>
    <row r="38" spans="2:44" ht="6" customHeight="1" x14ac:dyDescent="0.3">
      <c r="B38" s="18"/>
      <c r="C38" s="6"/>
      <c r="D38" s="6"/>
      <c r="E38" s="6"/>
      <c r="F38" s="6"/>
      <c r="G38" s="6"/>
      <c r="H38" s="6"/>
      <c r="I38" s="6"/>
      <c r="K38" s="6"/>
      <c r="L38" s="6"/>
      <c r="M38" s="6"/>
      <c r="N38" s="6"/>
      <c r="O38" s="6"/>
      <c r="P38" s="6"/>
      <c r="Q38" s="6"/>
      <c r="R38" s="6"/>
      <c r="S38" s="18"/>
    </row>
    <row r="39" spans="2:44" ht="18.75" customHeight="1" x14ac:dyDescent="0.3">
      <c r="B39" s="18"/>
      <c r="C39" s="1" t="s">
        <v>39</v>
      </c>
      <c r="D39" s="14" t="s">
        <v>109</v>
      </c>
      <c r="E39" s="14" t="s">
        <v>41</v>
      </c>
      <c r="F39" s="14" t="s">
        <v>42</v>
      </c>
      <c r="G39" s="14" t="s">
        <v>43</v>
      </c>
      <c r="H39" s="14" t="s">
        <v>44</v>
      </c>
      <c r="I39" s="14" t="s">
        <v>45</v>
      </c>
      <c r="K39" s="14" t="s">
        <v>46</v>
      </c>
      <c r="L39" s="14" t="s">
        <v>47</v>
      </c>
      <c r="M39" s="14" t="s">
        <v>48</v>
      </c>
      <c r="N39" s="14" t="s">
        <v>49</v>
      </c>
      <c r="O39" s="14" t="s">
        <v>50</v>
      </c>
      <c r="P39" s="14" t="s">
        <v>51</v>
      </c>
      <c r="Q39" s="14" t="s">
        <v>52</v>
      </c>
      <c r="R39" s="14" t="s">
        <v>53</v>
      </c>
      <c r="S39" s="18"/>
      <c r="AI39">
        <f>(463*1.9*188)/52</f>
        <v>3180.4538461538459</v>
      </c>
      <c r="AJ39" s="105"/>
    </row>
    <row r="40" spans="2:44" ht="30" customHeight="1" x14ac:dyDescent="0.45">
      <c r="B40" s="18"/>
      <c r="C40" s="104" t="s">
        <v>110</v>
      </c>
      <c r="D40" s="12"/>
      <c r="E40" s="12"/>
      <c r="F40" s="12"/>
      <c r="G40" s="50" t="s">
        <v>58</v>
      </c>
      <c r="H40" s="6"/>
      <c r="I40" s="12"/>
      <c r="K40" s="6"/>
      <c r="L40" s="12"/>
      <c r="M40" s="12"/>
      <c r="N40" s="12"/>
      <c r="O40" s="12"/>
      <c r="P40" s="12"/>
      <c r="Q40" s="12"/>
      <c r="R40" s="12"/>
      <c r="S40" s="18"/>
      <c r="AB40">
        <f>SUM(AA23,AA24,AA32)</f>
        <v>1359</v>
      </c>
    </row>
    <row r="41" spans="2:44" ht="16.8" x14ac:dyDescent="0.4">
      <c r="B41" s="18"/>
      <c r="C41" s="41" t="str">
        <f t="shared" ref="C41:C56" si="35">Z20</f>
        <v xml:space="preserve">Wonderwoods MSVA </v>
      </c>
      <c r="D41" s="105">
        <f>AP20</f>
        <v>85</v>
      </c>
      <c r="E41" s="52">
        <v>120</v>
      </c>
      <c r="F41" s="48">
        <f t="shared" ref="F41:F56" si="36">$W$25</f>
        <v>3</v>
      </c>
      <c r="G41" s="80">
        <f t="shared" ref="G41:G46" si="37">(D41/E41)/F41</f>
        <v>0.23611111111111113</v>
      </c>
      <c r="H41" s="46"/>
      <c r="I41" s="44"/>
      <c r="K41" s="64" t="str">
        <f t="shared" ref="K41:K56" si="38">IFERROR(IF(H41="Containeroptie 1 (zie regel 8)",($G$8*0.8)*I41,IF(H41="Containeroptie 2 (zie regel 9)",($G$9*0.8)*I41,"")),"")</f>
        <v/>
      </c>
      <c r="L41" s="39" t="str">
        <f t="shared" ref="L41:L56" si="39">IFERROR(IF(H41="Containeroptie 1 (zie regel 8)",$H$8,IF(H41="Containeroptie 2 (zie regel 9)",$H$9,""))," ")</f>
        <v/>
      </c>
      <c r="M41" s="66" t="str">
        <f t="shared" ref="M41:M56" si="40">IFERROR(L41*I41,"")</f>
        <v/>
      </c>
      <c r="N41" s="40" t="str">
        <f t="shared" ref="N41:N56" si="41">IF(H41="Containeroptie 1 (zie regel 8)",$I$8,IF(H41="Containeroptie 2 (zie regel 9)",$I$9,""))</f>
        <v/>
      </c>
      <c r="O41" s="75" t="str">
        <f t="shared" ref="O41:O56" si="42">IFERROR((G41/K41),"Vul kolom I en K in")</f>
        <v>Vul kolom I en K in</v>
      </c>
      <c r="P41" s="72" t="str">
        <f t="shared" ref="P41:P56" si="43">IF(O41&gt;2,"Aantal ledigingen onjuist",IFERROR(CEILING((O41*I41)*52,1),""))</f>
        <v>Aantal ledigingen onjuist</v>
      </c>
      <c r="Q41" s="69" t="str">
        <f>IFERROR(P41*N41,"")</f>
        <v/>
      </c>
      <c r="R41" s="8" t="str">
        <f t="shared" ref="R41:R49" si="44">IFERROR(Q41+M41,"")</f>
        <v/>
      </c>
      <c r="S41" s="18"/>
      <c r="U41" s="84" t="s">
        <v>111</v>
      </c>
      <c r="Y41" s="85">
        <f>17.4719832286658+1.25</f>
        <v>18.721983228665799</v>
      </c>
      <c r="Z41">
        <f>Y41/52</f>
        <v>0.36003813901280385</v>
      </c>
      <c r="AB41">
        <v>739</v>
      </c>
      <c r="AC41" t="s">
        <v>112</v>
      </c>
      <c r="AJ41" s="2"/>
    </row>
    <row r="42" spans="2:44" ht="16.8" x14ac:dyDescent="0.4">
      <c r="B42" s="18"/>
      <c r="C42" s="41" t="str">
        <f t="shared" si="35"/>
        <v xml:space="preserve">Wonderwoods Boeri </v>
      </c>
      <c r="D42" s="105">
        <f>AP21</f>
        <v>241</v>
      </c>
      <c r="E42" s="52">
        <f t="shared" ref="E42:E47" si="45">E41</f>
        <v>120</v>
      </c>
      <c r="F42" s="48">
        <f t="shared" si="36"/>
        <v>3</v>
      </c>
      <c r="G42" s="80">
        <f t="shared" si="37"/>
        <v>0.6694444444444444</v>
      </c>
      <c r="H42" s="46"/>
      <c r="I42" s="44"/>
      <c r="K42" s="64" t="str">
        <f t="shared" si="38"/>
        <v/>
      </c>
      <c r="L42" s="39" t="str">
        <f t="shared" si="39"/>
        <v/>
      </c>
      <c r="M42" s="66" t="str">
        <f t="shared" si="40"/>
        <v/>
      </c>
      <c r="N42" s="40" t="str">
        <f t="shared" si="41"/>
        <v/>
      </c>
      <c r="O42" s="75" t="str">
        <f t="shared" si="42"/>
        <v>Vul kolom I en K in</v>
      </c>
      <c r="P42" s="72" t="str">
        <f t="shared" si="43"/>
        <v>Aantal ledigingen onjuist</v>
      </c>
      <c r="Q42" s="69" t="str">
        <f t="shared" ref="Q42:Q49" si="46">IFERROR(P42*N42,"")</f>
        <v/>
      </c>
      <c r="R42" s="8" t="str">
        <f t="shared" si="44"/>
        <v/>
      </c>
      <c r="S42" s="18"/>
      <c r="U42" s="84" t="s">
        <v>113</v>
      </c>
      <c r="Y42" s="86">
        <v>4.2304272260109004</v>
      </c>
      <c r="Z42">
        <f t="shared" ref="Z42:Z43" si="47">Y42/52</f>
        <v>8.1354369730978857E-2</v>
      </c>
      <c r="AI42" t="s">
        <v>17</v>
      </c>
      <c r="AJ42" s="2"/>
    </row>
    <row r="43" spans="2:44" ht="16.8" x14ac:dyDescent="0.4">
      <c r="B43" s="18"/>
      <c r="C43" s="41" t="str">
        <f t="shared" si="35"/>
        <v>Bouwblok 1 a-b</v>
      </c>
      <c r="D43" s="105">
        <f>AP22</f>
        <v>354.69939340730519</v>
      </c>
      <c r="E43" s="52">
        <f t="shared" si="45"/>
        <v>120</v>
      </c>
      <c r="F43" s="48">
        <f t="shared" si="36"/>
        <v>3</v>
      </c>
      <c r="G43" s="80">
        <f t="shared" si="37"/>
        <v>0.98527609279806994</v>
      </c>
      <c r="H43" s="46"/>
      <c r="I43" s="44"/>
      <c r="K43" s="64" t="str">
        <f t="shared" si="38"/>
        <v/>
      </c>
      <c r="L43" s="39" t="str">
        <f t="shared" si="39"/>
        <v/>
      </c>
      <c r="M43" s="66" t="str">
        <f t="shared" si="40"/>
        <v/>
      </c>
      <c r="N43" s="40" t="str">
        <f t="shared" si="41"/>
        <v/>
      </c>
      <c r="O43" s="75" t="str">
        <f t="shared" si="42"/>
        <v>Vul kolom I en K in</v>
      </c>
      <c r="P43" s="72" t="str">
        <f t="shared" si="43"/>
        <v>Aantal ledigingen onjuist</v>
      </c>
      <c r="Q43" s="69" t="str">
        <f t="shared" si="46"/>
        <v/>
      </c>
      <c r="R43" s="8" t="str">
        <f t="shared" si="44"/>
        <v/>
      </c>
      <c r="S43" s="18"/>
      <c r="U43" s="84" t="s">
        <v>114</v>
      </c>
      <c r="Y43" s="86">
        <v>1.3512032620902892</v>
      </c>
      <c r="Z43">
        <f t="shared" si="47"/>
        <v>2.5984678117120946E-2</v>
      </c>
      <c r="AJ43" s="2"/>
    </row>
    <row r="44" spans="2:44" x14ac:dyDescent="0.3">
      <c r="B44" s="18"/>
      <c r="C44" s="41" t="str">
        <f t="shared" si="35"/>
        <v>Bouwblok 1 a-g</v>
      </c>
      <c r="D44" s="105">
        <f>AO23</f>
        <v>684.65769230769229</v>
      </c>
      <c r="E44" s="52">
        <f t="shared" si="45"/>
        <v>120</v>
      </c>
      <c r="F44" s="48">
        <f t="shared" si="36"/>
        <v>3</v>
      </c>
      <c r="G44" s="80">
        <f t="shared" si="37"/>
        <v>1.9018269230769231</v>
      </c>
      <c r="H44" s="46"/>
      <c r="I44" s="44"/>
      <c r="K44" s="64" t="str">
        <f t="shared" si="38"/>
        <v/>
      </c>
      <c r="L44" s="39" t="str">
        <f t="shared" si="39"/>
        <v/>
      </c>
      <c r="M44" s="66" t="str">
        <f t="shared" si="40"/>
        <v/>
      </c>
      <c r="N44" s="40" t="str">
        <f t="shared" si="41"/>
        <v/>
      </c>
      <c r="O44" s="75" t="str">
        <f t="shared" si="42"/>
        <v>Vul kolom I en K in</v>
      </c>
      <c r="P44" s="72" t="str">
        <f t="shared" si="43"/>
        <v>Aantal ledigingen onjuist</v>
      </c>
      <c r="Q44" s="69" t="str">
        <f t="shared" si="46"/>
        <v/>
      </c>
      <c r="R44" s="8" t="str">
        <f t="shared" si="44"/>
        <v/>
      </c>
      <c r="S44" s="18"/>
      <c r="AJ44" s="2"/>
    </row>
    <row r="45" spans="2:44" x14ac:dyDescent="0.3">
      <c r="B45" s="18"/>
      <c r="C45" s="41" t="str">
        <f t="shared" si="35"/>
        <v xml:space="preserve">Bouwblok 2a </v>
      </c>
      <c r="D45" s="105">
        <f>AP24</f>
        <v>463.68245694411394</v>
      </c>
      <c r="E45" s="52">
        <f t="shared" si="45"/>
        <v>120</v>
      </c>
      <c r="F45" s="48">
        <f t="shared" si="36"/>
        <v>3</v>
      </c>
      <c r="G45" s="80">
        <f t="shared" si="37"/>
        <v>1.2880068248447609</v>
      </c>
      <c r="H45" s="46"/>
      <c r="I45" s="44"/>
      <c r="K45" s="64" t="str">
        <f t="shared" si="38"/>
        <v/>
      </c>
      <c r="L45" s="39" t="str">
        <f t="shared" si="39"/>
        <v/>
      </c>
      <c r="M45" s="66" t="str">
        <f t="shared" si="40"/>
        <v/>
      </c>
      <c r="N45" s="40" t="str">
        <f t="shared" si="41"/>
        <v/>
      </c>
      <c r="O45" s="75" t="str">
        <f t="shared" si="42"/>
        <v>Vul kolom I en K in</v>
      </c>
      <c r="P45" s="72" t="str">
        <f t="shared" si="43"/>
        <v>Aantal ledigingen onjuist</v>
      </c>
      <c r="Q45" s="69" t="str">
        <f t="shared" si="46"/>
        <v/>
      </c>
      <c r="R45" s="8" t="str">
        <f t="shared" si="44"/>
        <v/>
      </c>
      <c r="S45" s="18"/>
      <c r="AJ45" s="2"/>
    </row>
    <row r="46" spans="2:44" x14ac:dyDescent="0.3">
      <c r="B46" s="18"/>
      <c r="C46" s="41" t="str">
        <f t="shared" si="35"/>
        <v>Bouwblok 3 School + sporthal</v>
      </c>
      <c r="D46" s="105">
        <f>AO25</f>
        <v>147.98076923076923</v>
      </c>
      <c r="E46" s="52">
        <f t="shared" si="45"/>
        <v>120</v>
      </c>
      <c r="F46" s="48">
        <f t="shared" si="36"/>
        <v>3</v>
      </c>
      <c r="G46" s="80">
        <f t="shared" si="37"/>
        <v>0.41105769230769229</v>
      </c>
      <c r="H46" s="46"/>
      <c r="I46" s="44"/>
      <c r="J46" s="52">
        <f t="shared" ref="J46:J47" si="48">J45</f>
        <v>0</v>
      </c>
      <c r="K46" s="64" t="str">
        <f t="shared" si="38"/>
        <v/>
      </c>
      <c r="L46" s="39" t="str">
        <f t="shared" si="39"/>
        <v/>
      </c>
      <c r="M46" s="66" t="str">
        <f t="shared" si="40"/>
        <v/>
      </c>
      <c r="N46" s="40" t="str">
        <f t="shared" si="41"/>
        <v/>
      </c>
      <c r="O46" s="75" t="str">
        <f t="shared" si="42"/>
        <v>Vul kolom I en K in</v>
      </c>
      <c r="P46" s="72" t="str">
        <f t="shared" si="43"/>
        <v>Aantal ledigingen onjuist</v>
      </c>
      <c r="Q46" s="69" t="str">
        <f t="shared" si="46"/>
        <v/>
      </c>
      <c r="R46" s="8" t="str">
        <f t="shared" si="44"/>
        <v/>
      </c>
      <c r="S46" s="18"/>
      <c r="AJ46" s="2"/>
    </row>
    <row r="47" spans="2:44" x14ac:dyDescent="0.3">
      <c r="B47" s="18"/>
      <c r="C47" s="41" t="str">
        <f t="shared" si="35"/>
        <v>Bouwblok 4 Bloom Zuid</v>
      </c>
      <c r="D47" s="105">
        <f>AP26</f>
        <v>400.57202417007124</v>
      </c>
      <c r="E47" s="52">
        <f t="shared" si="45"/>
        <v>120</v>
      </c>
      <c r="F47" s="48">
        <f t="shared" si="36"/>
        <v>3</v>
      </c>
      <c r="G47" s="80">
        <f t="shared" ref="G47" si="49">(D47/E47)/F47</f>
        <v>1.1127000671390868</v>
      </c>
      <c r="H47" s="46"/>
      <c r="I47" s="44"/>
      <c r="J47" s="52">
        <f t="shared" si="48"/>
        <v>0</v>
      </c>
      <c r="K47" s="64" t="str">
        <f t="shared" si="38"/>
        <v/>
      </c>
      <c r="L47" s="39" t="str">
        <f t="shared" si="39"/>
        <v/>
      </c>
      <c r="M47" s="66" t="str">
        <f t="shared" si="40"/>
        <v/>
      </c>
      <c r="N47" s="40" t="str">
        <f t="shared" si="41"/>
        <v/>
      </c>
      <c r="O47" s="75" t="str">
        <f t="shared" si="42"/>
        <v>Vul kolom I en K in</v>
      </c>
      <c r="P47" s="72" t="str">
        <f t="shared" si="43"/>
        <v>Aantal ledigingen onjuist</v>
      </c>
      <c r="Q47" s="69" t="str">
        <f t="shared" si="46"/>
        <v/>
      </c>
      <c r="R47" s="8" t="str">
        <f t="shared" si="44"/>
        <v/>
      </c>
      <c r="S47" s="18"/>
      <c r="Z47" t="s">
        <v>115</v>
      </c>
      <c r="AC47" t="s">
        <v>116</v>
      </c>
      <c r="AD47" t="s">
        <v>117</v>
      </c>
    </row>
    <row r="48" spans="2:44" x14ac:dyDescent="0.3">
      <c r="B48" s="18"/>
      <c r="C48" s="41" t="str">
        <f t="shared" si="35"/>
        <v xml:space="preserve">Bouwblok 5 Bloom Zuid </v>
      </c>
      <c r="D48" s="105">
        <f>AP27</f>
        <v>365.34934521484149</v>
      </c>
      <c r="E48" s="52">
        <f>E46</f>
        <v>120</v>
      </c>
      <c r="F48" s="48">
        <f t="shared" si="36"/>
        <v>3</v>
      </c>
      <c r="G48" s="80">
        <f t="shared" ref="G48:G56" si="50">(D48/E48)/F48</f>
        <v>1.0148592922634487</v>
      </c>
      <c r="H48" s="46"/>
      <c r="I48" s="44"/>
      <c r="K48" s="64" t="str">
        <f t="shared" si="38"/>
        <v/>
      </c>
      <c r="L48" s="39" t="str">
        <f t="shared" si="39"/>
        <v/>
      </c>
      <c r="M48" s="66" t="str">
        <f t="shared" si="40"/>
        <v/>
      </c>
      <c r="N48" s="40" t="str">
        <f t="shared" si="41"/>
        <v/>
      </c>
      <c r="O48" s="75" t="str">
        <f t="shared" si="42"/>
        <v>Vul kolom I en K in</v>
      </c>
      <c r="P48" s="72" t="str">
        <f t="shared" si="43"/>
        <v>Aantal ledigingen onjuist</v>
      </c>
      <c r="Q48" s="69" t="str">
        <f t="shared" si="46"/>
        <v/>
      </c>
      <c r="R48" s="8" t="str">
        <f t="shared" si="44"/>
        <v/>
      </c>
      <c r="S48" s="18"/>
      <c r="Z48" s="127">
        <f t="shared" ref="Z48:Z61" si="51">D22*52</f>
        <v>109824.00000000003</v>
      </c>
      <c r="AA48" t="s">
        <v>78</v>
      </c>
      <c r="AC48" s="127">
        <f>D43*52</f>
        <v>18444.368457179869</v>
      </c>
      <c r="AD48" s="127">
        <f>D64*52</f>
        <v>19785.568755229189</v>
      </c>
    </row>
    <row r="49" spans="2:31" x14ac:dyDescent="0.3">
      <c r="B49" s="18"/>
      <c r="C49" s="41" t="str">
        <f t="shared" si="35"/>
        <v>Bouwblok 7</v>
      </c>
      <c r="D49" s="105">
        <f>AO28</f>
        <v>293.98846153846102</v>
      </c>
      <c r="E49" s="52">
        <f>E48</f>
        <v>120</v>
      </c>
      <c r="F49" s="48">
        <f t="shared" si="36"/>
        <v>3</v>
      </c>
      <c r="G49" s="80">
        <f t="shared" si="50"/>
        <v>0.81663461538461402</v>
      </c>
      <c r="H49" s="46"/>
      <c r="I49" s="44"/>
      <c r="K49" s="64" t="str">
        <f t="shared" si="38"/>
        <v/>
      </c>
      <c r="L49" s="39" t="str">
        <f t="shared" si="39"/>
        <v/>
      </c>
      <c r="M49" s="66" t="str">
        <f t="shared" si="40"/>
        <v/>
      </c>
      <c r="N49" s="40" t="str">
        <f t="shared" si="41"/>
        <v/>
      </c>
      <c r="O49" s="75" t="str">
        <f t="shared" si="42"/>
        <v>Vul kolom I en K in</v>
      </c>
      <c r="P49" s="72" t="str">
        <f t="shared" si="43"/>
        <v>Aantal ledigingen onjuist</v>
      </c>
      <c r="Q49" s="69" t="str">
        <f t="shared" si="46"/>
        <v/>
      </c>
      <c r="R49" s="8" t="str">
        <f t="shared" si="44"/>
        <v/>
      </c>
      <c r="S49" s="18"/>
      <c r="Z49" s="127">
        <f t="shared" si="51"/>
        <v>219648.00000000006</v>
      </c>
      <c r="AA49" t="s">
        <v>83</v>
      </c>
      <c r="AC49" s="127">
        <f t="shared" ref="AC49:AC61" si="52">D44*52</f>
        <v>35602.199999999997</v>
      </c>
      <c r="AD49" s="127">
        <f t="shared" ref="AD49:AD61" si="53">D65*52</f>
        <v>43513.799999999996</v>
      </c>
    </row>
    <row r="50" spans="2:31" x14ac:dyDescent="0.3">
      <c r="B50" s="18"/>
      <c r="C50" s="41" t="str">
        <f t="shared" si="35"/>
        <v xml:space="preserve">Bouwblok 8 Grow </v>
      </c>
      <c r="D50" s="105">
        <f>AO29</f>
        <v>567.25961538461536</v>
      </c>
      <c r="E50" s="52">
        <f t="shared" ref="E50:E56" si="54">$E$41</f>
        <v>120</v>
      </c>
      <c r="F50" s="48">
        <f t="shared" si="36"/>
        <v>3</v>
      </c>
      <c r="G50" s="80">
        <f t="shared" si="50"/>
        <v>1.575721153846154</v>
      </c>
      <c r="H50" s="46"/>
      <c r="I50" s="44"/>
      <c r="K50" s="64" t="str">
        <f t="shared" si="38"/>
        <v/>
      </c>
      <c r="L50" s="39" t="str">
        <f t="shared" si="39"/>
        <v/>
      </c>
      <c r="M50" s="66" t="str">
        <f t="shared" si="40"/>
        <v/>
      </c>
      <c r="N50" s="40" t="str">
        <f t="shared" si="41"/>
        <v/>
      </c>
      <c r="O50" s="75" t="str">
        <f t="shared" si="42"/>
        <v>Vul kolom I en K in</v>
      </c>
      <c r="P50" s="72" t="str">
        <f t="shared" si="43"/>
        <v>Aantal ledigingen onjuist</v>
      </c>
      <c r="Q50" s="69" t="str">
        <f t="shared" ref="Q50:Q56" si="55">IFERROR(P50*N50,"")</f>
        <v/>
      </c>
      <c r="R50" s="8" t="str">
        <f t="shared" ref="R50:R56" si="56">IFERROR(Q50+M50,"")</f>
        <v/>
      </c>
      <c r="S50" s="18"/>
      <c r="Z50" s="127">
        <f t="shared" si="51"/>
        <v>144325.55318692146</v>
      </c>
      <c r="AA50" t="s">
        <v>85</v>
      </c>
      <c r="AC50" s="127">
        <f t="shared" si="52"/>
        <v>24111.487761093926</v>
      </c>
      <c r="AD50" s="127">
        <f t="shared" si="53"/>
        <v>21086.191160288185</v>
      </c>
    </row>
    <row r="51" spans="2:31" x14ac:dyDescent="0.3">
      <c r="B51" s="18"/>
      <c r="C51" s="41" t="str">
        <f t="shared" si="35"/>
        <v>Bouwblok 9 Joy</v>
      </c>
      <c r="D51" s="105">
        <f t="shared" ref="D51:D56" si="57">AP30</f>
        <v>207.78558317940264</v>
      </c>
      <c r="E51" s="52">
        <f t="shared" si="54"/>
        <v>120</v>
      </c>
      <c r="F51" s="48">
        <f t="shared" si="36"/>
        <v>3</v>
      </c>
      <c r="G51" s="80">
        <f t="shared" si="50"/>
        <v>0.57718217549834072</v>
      </c>
      <c r="H51" s="46"/>
      <c r="I51" s="44"/>
      <c r="K51" s="64" t="str">
        <f t="shared" si="38"/>
        <v/>
      </c>
      <c r="L51" s="39" t="str">
        <f t="shared" si="39"/>
        <v/>
      </c>
      <c r="M51" s="66" t="str">
        <f t="shared" si="40"/>
        <v/>
      </c>
      <c r="N51" s="40" t="str">
        <f t="shared" si="41"/>
        <v/>
      </c>
      <c r="O51" s="75" t="str">
        <f t="shared" si="42"/>
        <v>Vul kolom I en K in</v>
      </c>
      <c r="P51" s="72" t="str">
        <f t="shared" si="43"/>
        <v>Aantal ledigingen onjuist</v>
      </c>
      <c r="Q51" s="69" t="str">
        <f t="shared" si="55"/>
        <v/>
      </c>
      <c r="R51" s="8" t="str">
        <f t="shared" si="56"/>
        <v/>
      </c>
      <c r="S51" s="18"/>
      <c r="Z51" s="127">
        <f t="shared" si="51"/>
        <v>219648.00000000006</v>
      </c>
      <c r="AA51" t="s">
        <v>89</v>
      </c>
      <c r="AC51" s="127">
        <f t="shared" si="52"/>
        <v>7695</v>
      </c>
      <c r="AD51" s="127">
        <f t="shared" si="53"/>
        <v>9405</v>
      </c>
    </row>
    <row r="52" spans="2:31" x14ac:dyDescent="0.3">
      <c r="B52" s="18"/>
      <c r="C52" s="41" t="str">
        <f t="shared" si="35"/>
        <v>Bouwblok 10 Pulse</v>
      </c>
      <c r="D52" s="105">
        <f t="shared" si="57"/>
        <v>220.3627708442622</v>
      </c>
      <c r="E52" s="52">
        <f t="shared" si="54"/>
        <v>120</v>
      </c>
      <c r="F52" s="48">
        <f t="shared" si="36"/>
        <v>3</v>
      </c>
      <c r="G52" s="80">
        <f t="shared" si="50"/>
        <v>0.61211880790072837</v>
      </c>
      <c r="H52" s="46"/>
      <c r="I52" s="44"/>
      <c r="K52" s="64" t="str">
        <f t="shared" si="38"/>
        <v/>
      </c>
      <c r="L52" s="39" t="str">
        <f t="shared" si="39"/>
        <v/>
      </c>
      <c r="M52" s="66" t="str">
        <f t="shared" si="40"/>
        <v/>
      </c>
      <c r="N52" s="40" t="str">
        <f t="shared" si="41"/>
        <v/>
      </c>
      <c r="O52" s="75" t="str">
        <f t="shared" si="42"/>
        <v>Vul kolom I en K in</v>
      </c>
      <c r="P52" s="72" t="str">
        <f t="shared" si="43"/>
        <v>Aantal ledigingen onjuist</v>
      </c>
      <c r="Q52" s="69" t="str">
        <f t="shared" si="55"/>
        <v/>
      </c>
      <c r="R52" s="8" t="str">
        <f t="shared" si="56"/>
        <v/>
      </c>
      <c r="S52" s="18"/>
      <c r="Y52" s="42"/>
      <c r="Z52" s="127">
        <f t="shared" si="51"/>
        <v>109824.00000000003</v>
      </c>
      <c r="AA52" t="s">
        <v>93</v>
      </c>
      <c r="AC52" s="127">
        <f t="shared" si="52"/>
        <v>20829.745256843704</v>
      </c>
      <c r="AD52" s="127">
        <f t="shared" si="53"/>
        <v>24160.009109110695</v>
      </c>
    </row>
    <row r="53" spans="2:31" x14ac:dyDescent="0.3">
      <c r="B53" s="18"/>
      <c r="C53" s="41" t="str">
        <f t="shared" si="35"/>
        <v>Bouwblok 11</v>
      </c>
      <c r="D53" s="105">
        <f t="shared" si="57"/>
        <v>602.8797557291457</v>
      </c>
      <c r="E53" s="52">
        <f t="shared" si="54"/>
        <v>120</v>
      </c>
      <c r="F53" s="48">
        <f t="shared" si="36"/>
        <v>3</v>
      </c>
      <c r="G53" s="80">
        <f t="shared" si="50"/>
        <v>1.6746659881365158</v>
      </c>
      <c r="H53" s="46"/>
      <c r="I53" s="44"/>
      <c r="K53" s="64" t="str">
        <f t="shared" si="38"/>
        <v/>
      </c>
      <c r="L53" s="39" t="str">
        <f t="shared" si="39"/>
        <v/>
      </c>
      <c r="M53" s="66" t="str">
        <f t="shared" si="40"/>
        <v/>
      </c>
      <c r="N53" s="40" t="str">
        <f t="shared" si="41"/>
        <v/>
      </c>
      <c r="O53" s="75" t="str">
        <f t="shared" si="42"/>
        <v>Vul kolom I en K in</v>
      </c>
      <c r="P53" s="72" t="str">
        <f t="shared" si="43"/>
        <v>Aantal ledigingen onjuist</v>
      </c>
      <c r="Q53" s="69" t="str">
        <f t="shared" si="55"/>
        <v/>
      </c>
      <c r="R53" s="8" t="str">
        <f t="shared" si="56"/>
        <v/>
      </c>
      <c r="S53" s="18"/>
      <c r="Y53" s="42"/>
      <c r="Z53" s="127">
        <f t="shared" si="51"/>
        <v>109824.00000000003</v>
      </c>
      <c r="AA53" t="s">
        <v>96</v>
      </c>
      <c r="AC53" s="127">
        <f t="shared" si="52"/>
        <v>18998.165951171759</v>
      </c>
      <c r="AD53" s="127">
        <f t="shared" si="53"/>
        <v>16998.310113945077</v>
      </c>
      <c r="AE53" t="s">
        <v>17</v>
      </c>
    </row>
    <row r="54" spans="2:31" x14ac:dyDescent="0.3">
      <c r="B54" s="18"/>
      <c r="C54" s="41" t="str">
        <f t="shared" si="35"/>
        <v>Bouwblok 12 a Bloom Park</v>
      </c>
      <c r="D54" s="105">
        <f t="shared" si="57"/>
        <v>484.166001464332</v>
      </c>
      <c r="E54" s="52">
        <f t="shared" si="54"/>
        <v>120</v>
      </c>
      <c r="F54" s="48">
        <f t="shared" si="36"/>
        <v>3</v>
      </c>
      <c r="G54" s="80">
        <f t="shared" si="50"/>
        <v>1.3449055596231443</v>
      </c>
      <c r="H54" s="46"/>
      <c r="I54" s="44"/>
      <c r="K54" s="64" t="str">
        <f t="shared" si="38"/>
        <v/>
      </c>
      <c r="L54" s="39" t="str">
        <f t="shared" si="39"/>
        <v/>
      </c>
      <c r="M54" s="66" t="str">
        <f t="shared" si="40"/>
        <v/>
      </c>
      <c r="N54" s="40" t="str">
        <f t="shared" si="41"/>
        <v/>
      </c>
      <c r="O54" s="75" t="str">
        <f t="shared" si="42"/>
        <v>Vul kolom I en K in</v>
      </c>
      <c r="P54" s="72" t="str">
        <f t="shared" si="43"/>
        <v>Aantal ledigingen onjuist</v>
      </c>
      <c r="Q54" s="69" t="str">
        <f t="shared" si="55"/>
        <v/>
      </c>
      <c r="R54" s="8" t="str">
        <f t="shared" si="56"/>
        <v/>
      </c>
      <c r="S54" s="18"/>
      <c r="Y54" s="42"/>
      <c r="Z54" s="127">
        <f t="shared" si="51"/>
        <v>109824.00000000003</v>
      </c>
      <c r="AA54" t="s">
        <v>97</v>
      </c>
      <c r="AC54" s="127">
        <f t="shared" si="52"/>
        <v>15287.399999999972</v>
      </c>
      <c r="AD54" s="127">
        <f t="shared" si="53"/>
        <v>26327.005650382689</v>
      </c>
    </row>
    <row r="55" spans="2:31" x14ac:dyDescent="0.3">
      <c r="B55" s="18"/>
      <c r="C55" s="41" t="str">
        <f t="shared" si="35"/>
        <v>Bouwblok 13 Cix City</v>
      </c>
      <c r="D55" s="105">
        <f t="shared" si="57"/>
        <v>757.54566026557904</v>
      </c>
      <c r="E55" s="52">
        <f t="shared" si="54"/>
        <v>120</v>
      </c>
      <c r="F55" s="48">
        <f t="shared" si="36"/>
        <v>3</v>
      </c>
      <c r="G55" s="80">
        <f t="shared" si="50"/>
        <v>2.1042935007377195</v>
      </c>
      <c r="H55" s="46"/>
      <c r="I55" s="44"/>
      <c r="K55" s="64" t="str">
        <f t="shared" si="38"/>
        <v/>
      </c>
      <c r="L55" s="39" t="str">
        <f t="shared" si="39"/>
        <v/>
      </c>
      <c r="M55" s="66" t="str">
        <f t="shared" si="40"/>
        <v/>
      </c>
      <c r="N55" s="40" t="str">
        <f t="shared" si="41"/>
        <v/>
      </c>
      <c r="O55" s="75" t="str">
        <f t="shared" si="42"/>
        <v>Vul kolom I en K in</v>
      </c>
      <c r="P55" s="72" t="str">
        <f t="shared" si="43"/>
        <v>Aantal ledigingen onjuist</v>
      </c>
      <c r="Q55" s="69" t="str">
        <f t="shared" si="55"/>
        <v/>
      </c>
      <c r="R55" s="8" t="str">
        <f t="shared" si="56"/>
        <v/>
      </c>
      <c r="S55" s="18"/>
      <c r="Z55" s="127">
        <f t="shared" si="51"/>
        <v>205400</v>
      </c>
      <c r="AA55" t="s">
        <v>100</v>
      </c>
      <c r="AC55" s="127">
        <f t="shared" si="52"/>
        <v>29497.5</v>
      </c>
      <c r="AD55" s="127">
        <f t="shared" si="53"/>
        <v>36052.5</v>
      </c>
    </row>
    <row r="56" spans="2:31" x14ac:dyDescent="0.3">
      <c r="B56" s="18"/>
      <c r="C56" s="78" t="str">
        <f t="shared" si="35"/>
        <v>Bouwblok 14 Cix Theatre</v>
      </c>
      <c r="D56" s="116">
        <f t="shared" si="57"/>
        <v>237.1816334129752</v>
      </c>
      <c r="E56" s="53">
        <f t="shared" si="54"/>
        <v>120</v>
      </c>
      <c r="F56" s="49">
        <f t="shared" si="36"/>
        <v>3</v>
      </c>
      <c r="G56" s="81">
        <f t="shared" si="50"/>
        <v>0.65883787059159782</v>
      </c>
      <c r="H56" s="74"/>
      <c r="I56" s="45"/>
      <c r="J56" s="117"/>
      <c r="K56" s="65" t="str">
        <f t="shared" si="38"/>
        <v/>
      </c>
      <c r="L56" s="63" t="str">
        <f t="shared" si="39"/>
        <v/>
      </c>
      <c r="M56" s="67" t="str">
        <f t="shared" si="40"/>
        <v/>
      </c>
      <c r="N56" s="56" t="str">
        <f t="shared" si="41"/>
        <v/>
      </c>
      <c r="O56" s="76" t="str">
        <f t="shared" si="42"/>
        <v>Vul kolom I en K in</v>
      </c>
      <c r="P56" s="73" t="str">
        <f t="shared" si="43"/>
        <v>Aantal ledigingen onjuist</v>
      </c>
      <c r="Q56" s="70" t="str">
        <f t="shared" si="55"/>
        <v/>
      </c>
      <c r="R56" s="83" t="str">
        <f t="shared" si="56"/>
        <v/>
      </c>
      <c r="S56" s="18"/>
      <c r="Z56" s="127">
        <f t="shared" si="51"/>
        <v>79290.82624750596</v>
      </c>
      <c r="AA56" t="s">
        <v>101</v>
      </c>
      <c r="AC56" s="127">
        <f t="shared" si="52"/>
        <v>10804.850325328936</v>
      </c>
      <c r="AD56" s="127">
        <f t="shared" si="53"/>
        <v>10074.086674914037</v>
      </c>
    </row>
    <row r="57" spans="2:31" x14ac:dyDescent="0.3">
      <c r="B57" s="18"/>
      <c r="C57" s="2"/>
      <c r="D57" s="15">
        <f>SUM(D41:D56)</f>
        <v>6114.1111630935657</v>
      </c>
      <c r="E57" s="43"/>
      <c r="G57" s="54">
        <f>SUM(G41:G56)</f>
        <v>16.983642119704349</v>
      </c>
      <c r="K57" s="16"/>
      <c r="L57" s="68" t="s">
        <v>118</v>
      </c>
      <c r="M57" s="66" t="str">
        <f>IF(COUNTBLANK(M41:M56)=0,SUM(M41:M56),"NIET COMPLEET")</f>
        <v>NIET COMPLEET</v>
      </c>
      <c r="N57" s="8"/>
      <c r="P57" s="71" t="s">
        <v>119</v>
      </c>
      <c r="Q57" s="69" t="b">
        <f>IF(COUNTBLANK(Q41:Q56)=0,SUM(Q41:Q56))</f>
        <v>0</v>
      </c>
      <c r="R57" s="8" t="b">
        <f>IF(COUNTBLANK(R41:R56)=0,SUM(R41:R56))</f>
        <v>0</v>
      </c>
      <c r="S57" s="18"/>
      <c r="Z57" s="127">
        <f t="shared" si="51"/>
        <v>66389.897484299872</v>
      </c>
      <c r="AA57" t="s">
        <v>102</v>
      </c>
      <c r="AC57" s="127">
        <f t="shared" si="52"/>
        <v>11458.864083901635</v>
      </c>
      <c r="AD57" s="127">
        <f t="shared" si="53"/>
        <v>13432.380489313542</v>
      </c>
    </row>
    <row r="58" spans="2:31" x14ac:dyDescent="0.3">
      <c r="B58" s="18"/>
      <c r="C58" s="2"/>
      <c r="E58" s="10"/>
      <c r="F58" t="s">
        <v>17</v>
      </c>
      <c r="I58" s="10"/>
      <c r="M58" s="8"/>
      <c r="N58" s="8"/>
      <c r="O58" s="8"/>
      <c r="P58" s="8"/>
      <c r="Q58" s="8"/>
      <c r="R58" s="8"/>
      <c r="S58" s="18"/>
      <c r="Z58" s="127">
        <f t="shared" si="51"/>
        <v>167931.88187868378</v>
      </c>
      <c r="AA58" t="s">
        <v>103</v>
      </c>
      <c r="AC58" s="127">
        <f t="shared" si="52"/>
        <v>31349.747297915575</v>
      </c>
      <c r="AD58" s="127">
        <f t="shared" si="53"/>
        <v>31456.861058714156</v>
      </c>
    </row>
    <row r="59" spans="2:31" ht="6.75" customHeight="1" x14ac:dyDescent="0.3">
      <c r="B59" s="18"/>
      <c r="C59" s="6"/>
      <c r="D59" s="6"/>
      <c r="E59" s="6"/>
      <c r="F59" s="6"/>
      <c r="G59" s="6"/>
      <c r="H59" s="6"/>
      <c r="I59" s="6"/>
      <c r="K59" s="6"/>
      <c r="L59" s="6"/>
      <c r="M59" s="6"/>
      <c r="N59" s="6"/>
      <c r="O59" s="6"/>
      <c r="P59" s="6"/>
      <c r="Q59" s="6"/>
      <c r="R59" s="6"/>
      <c r="S59" s="18"/>
      <c r="Z59" s="127">
        <f t="shared" si="51"/>
        <v>109824.00000000003</v>
      </c>
      <c r="AA59" t="s">
        <v>104</v>
      </c>
      <c r="AC59" s="127">
        <f t="shared" si="52"/>
        <v>25176.632076145263</v>
      </c>
      <c r="AD59" s="127">
        <f t="shared" si="53"/>
        <v>18415.942552862085</v>
      </c>
    </row>
    <row r="60" spans="2:31" x14ac:dyDescent="0.3">
      <c r="B60" s="18"/>
      <c r="C60" s="1" t="s">
        <v>39</v>
      </c>
      <c r="D60" s="14" t="s">
        <v>109</v>
      </c>
      <c r="E60" s="14" t="s">
        <v>41</v>
      </c>
      <c r="F60" s="14" t="s">
        <v>42</v>
      </c>
      <c r="G60" s="14" t="s">
        <v>43</v>
      </c>
      <c r="H60" s="14" t="s">
        <v>44</v>
      </c>
      <c r="I60" s="14" t="s">
        <v>45</v>
      </c>
      <c r="K60" s="14" t="s">
        <v>46</v>
      </c>
      <c r="L60" s="14" t="s">
        <v>47</v>
      </c>
      <c r="M60" s="14" t="s">
        <v>48</v>
      </c>
      <c r="N60" s="14" t="s">
        <v>49</v>
      </c>
      <c r="O60" s="14" t="s">
        <v>50</v>
      </c>
      <c r="P60" s="14" t="s">
        <v>120</v>
      </c>
      <c r="Q60" s="14" t="s">
        <v>52</v>
      </c>
      <c r="R60" s="14" t="s">
        <v>53</v>
      </c>
      <c r="S60" s="18"/>
      <c r="Z60" s="127">
        <f t="shared" si="51"/>
        <v>215981.06043693773</v>
      </c>
      <c r="AA60" t="s">
        <v>105</v>
      </c>
      <c r="AC60" s="127">
        <f t="shared" si="52"/>
        <v>39392.374333810112</v>
      </c>
      <c r="AD60" s="127">
        <f t="shared" si="53"/>
        <v>26383.756187390463</v>
      </c>
    </row>
    <row r="61" spans="2:31" ht="33.75" customHeight="1" x14ac:dyDescent="0.45">
      <c r="B61" s="18"/>
      <c r="C61" s="104" t="s">
        <v>121</v>
      </c>
      <c r="D61" s="12"/>
      <c r="E61" s="12"/>
      <c r="F61" s="12"/>
      <c r="G61" s="50" t="s">
        <v>122</v>
      </c>
      <c r="H61" s="6"/>
      <c r="I61" s="12"/>
      <c r="K61" s="6"/>
      <c r="L61" s="12"/>
      <c r="M61" s="12"/>
      <c r="N61" s="12"/>
      <c r="O61" s="12"/>
      <c r="P61" s="12"/>
      <c r="Q61" s="12"/>
      <c r="R61" s="12"/>
      <c r="S61" s="18"/>
      <c r="T61" t="s">
        <v>17</v>
      </c>
      <c r="V61" s="15"/>
      <c r="Z61" s="127">
        <f t="shared" si="51"/>
        <v>69421.600289544673</v>
      </c>
      <c r="AA61" t="s">
        <v>106</v>
      </c>
      <c r="AC61" s="127">
        <f t="shared" si="52"/>
        <v>12333.444937474711</v>
      </c>
      <c r="AD61" s="127">
        <f t="shared" si="53"/>
        <v>9219.1946007844126</v>
      </c>
    </row>
    <row r="62" spans="2:31" x14ac:dyDescent="0.3">
      <c r="B62" s="18"/>
      <c r="C62" s="41" t="str">
        <f t="shared" ref="C62:C77" si="58">Z20</f>
        <v xml:space="preserve">Wonderwoods MSVA </v>
      </c>
      <c r="D62" s="105">
        <f>AR20</f>
        <v>104</v>
      </c>
      <c r="E62" s="52">
        <v>300</v>
      </c>
      <c r="F62" s="48" t="s">
        <v>123</v>
      </c>
      <c r="G62" s="80">
        <f t="shared" ref="G62:G69" si="59">(D62/E62)</f>
        <v>0.34666666666666668</v>
      </c>
      <c r="H62" s="46"/>
      <c r="I62" s="44"/>
      <c r="K62" s="64" t="str">
        <f t="shared" ref="K62:K77" si="60">IFERROR(IF(H62="Containeroptie 1 (zie regel 10)",($G$10*0.8)*I62,IF(H62="Containeroptie 2 (zie regel 11)",($G$11*0.8)*I62,"")),"")</f>
        <v/>
      </c>
      <c r="L62" s="39" t="str">
        <f t="shared" ref="L62:L77" si="61">IFERROR(IF(H62="Containeroptie 1 (zie regel 10)",$H$10,IF(H62="Containeroptie 2 (zie regel 11)",$H$11,""))," ")</f>
        <v/>
      </c>
      <c r="M62" s="66" t="str">
        <f t="shared" ref="M62:M77" si="62">IFERROR(L62*I62," ")</f>
        <v xml:space="preserve"> </v>
      </c>
      <c r="N62" s="40" t="str">
        <f t="shared" ref="N62:N77" si="63">IFERROR(IF(H62="Containeroptie 1 (zie regel 10)",$I$10,IF(H62="Containeroptie 2 (zie regel 11)",$I$11,""))," ")</f>
        <v/>
      </c>
      <c r="O62" s="75" t="str">
        <f t="shared" ref="O62:O77" si="64">IFERROR((G62/K62), "Vul kolom I en K in")</f>
        <v>Vul kolom I en K in</v>
      </c>
      <c r="P62" s="72" t="str">
        <f t="shared" ref="P62:P77" si="65">IF(O62&gt;2,"Aantal ledigingen onjuist",IFERROR(CEILING((O62*I62)*52,1),""))</f>
        <v>Aantal ledigingen onjuist</v>
      </c>
      <c r="Q62" s="69" t="str">
        <f>IFERROR(P62*N62,"")</f>
        <v/>
      </c>
      <c r="R62" s="8" t="str">
        <f t="shared" ref="R62:R70" si="66">IFERROR(Q62+M62,"")</f>
        <v/>
      </c>
      <c r="S62" s="18"/>
    </row>
    <row r="63" spans="2:31" x14ac:dyDescent="0.3">
      <c r="B63" s="18"/>
      <c r="C63" s="41" t="str">
        <f t="shared" si="58"/>
        <v xml:space="preserve">Wonderwoods Boeri </v>
      </c>
      <c r="D63" s="105">
        <f>AR21</f>
        <v>295</v>
      </c>
      <c r="E63" s="52">
        <f t="shared" ref="E63:E77" si="67">$E$62</f>
        <v>300</v>
      </c>
      <c r="F63" s="48" t="s">
        <v>123</v>
      </c>
      <c r="G63" s="80">
        <f t="shared" si="59"/>
        <v>0.98333333333333328</v>
      </c>
      <c r="H63" s="46"/>
      <c r="I63" s="44"/>
      <c r="K63" s="64" t="str">
        <f t="shared" si="60"/>
        <v/>
      </c>
      <c r="L63" s="39" t="str">
        <f t="shared" si="61"/>
        <v/>
      </c>
      <c r="M63" s="66" t="str">
        <f t="shared" si="62"/>
        <v xml:space="preserve"> </v>
      </c>
      <c r="N63" s="40" t="str">
        <f t="shared" si="63"/>
        <v/>
      </c>
      <c r="O63" s="75" t="str">
        <f t="shared" si="64"/>
        <v>Vul kolom I en K in</v>
      </c>
      <c r="P63" s="72" t="str">
        <f t="shared" si="65"/>
        <v>Aantal ledigingen onjuist</v>
      </c>
      <c r="Q63" s="69" t="str">
        <f t="shared" ref="Q63:Q70" si="68">IFERROR(P63*N63,"")</f>
        <v/>
      </c>
      <c r="R63" s="8" t="str">
        <f t="shared" si="66"/>
        <v/>
      </c>
      <c r="S63" s="18"/>
    </row>
    <row r="64" spans="2:31" x14ac:dyDescent="0.3">
      <c r="B64" s="18"/>
      <c r="C64" s="41" t="str">
        <f t="shared" si="58"/>
        <v>Bouwblok 1 a-b</v>
      </c>
      <c r="D64" s="105">
        <f>AR22</f>
        <v>380.49170683133053</v>
      </c>
      <c r="E64" s="52">
        <f t="shared" si="67"/>
        <v>300</v>
      </c>
      <c r="F64" s="48" t="s">
        <v>123</v>
      </c>
      <c r="G64" s="80">
        <f t="shared" si="59"/>
        <v>1.2683056894377684</v>
      </c>
      <c r="H64" s="47"/>
      <c r="I64" s="44"/>
      <c r="K64" s="64" t="str">
        <f t="shared" si="60"/>
        <v/>
      </c>
      <c r="L64" s="39" t="str">
        <f t="shared" si="61"/>
        <v/>
      </c>
      <c r="M64" s="66" t="str">
        <f t="shared" si="62"/>
        <v xml:space="preserve"> </v>
      </c>
      <c r="N64" s="40" t="str">
        <f t="shared" si="63"/>
        <v/>
      </c>
      <c r="O64" s="75" t="str">
        <f t="shared" si="64"/>
        <v>Vul kolom I en K in</v>
      </c>
      <c r="P64" s="72" t="str">
        <f t="shared" si="65"/>
        <v>Aantal ledigingen onjuist</v>
      </c>
      <c r="Q64" s="69" t="str">
        <f t="shared" si="68"/>
        <v/>
      </c>
      <c r="R64" s="8" t="str">
        <f t="shared" si="66"/>
        <v/>
      </c>
      <c r="S64" s="18"/>
    </row>
    <row r="65" spans="2:19" x14ac:dyDescent="0.3">
      <c r="B65" s="18"/>
      <c r="C65" s="41" t="str">
        <f t="shared" si="58"/>
        <v>Bouwblok 1 a-g</v>
      </c>
      <c r="D65" s="105">
        <f>AQ23</f>
        <v>836.80384615384605</v>
      </c>
      <c r="E65" s="52">
        <f t="shared" si="67"/>
        <v>300</v>
      </c>
      <c r="F65" s="48" t="s">
        <v>123</v>
      </c>
      <c r="G65" s="80">
        <f t="shared" si="59"/>
        <v>2.7893461538461537</v>
      </c>
      <c r="H65" s="47"/>
      <c r="I65" s="44"/>
      <c r="K65" s="64" t="str">
        <f t="shared" si="60"/>
        <v/>
      </c>
      <c r="L65" s="39" t="str">
        <f t="shared" si="61"/>
        <v/>
      </c>
      <c r="M65" s="66" t="str">
        <f t="shared" si="62"/>
        <v xml:space="preserve"> </v>
      </c>
      <c r="N65" s="40" t="str">
        <f t="shared" si="63"/>
        <v/>
      </c>
      <c r="O65" s="75" t="str">
        <f t="shared" si="64"/>
        <v>Vul kolom I en K in</v>
      </c>
      <c r="P65" s="72" t="str">
        <f t="shared" si="65"/>
        <v>Aantal ledigingen onjuist</v>
      </c>
      <c r="Q65" s="69" t="str">
        <f t="shared" si="68"/>
        <v/>
      </c>
      <c r="R65" s="8" t="str">
        <f t="shared" si="66"/>
        <v/>
      </c>
      <c r="S65" s="18"/>
    </row>
    <row r="66" spans="2:19" x14ac:dyDescent="0.3">
      <c r="B66" s="18"/>
      <c r="C66" s="41" t="str">
        <f t="shared" si="58"/>
        <v xml:space="preserve">Bouwblok 2a </v>
      </c>
      <c r="D66" s="105">
        <f>AR24</f>
        <v>405.50367615938814</v>
      </c>
      <c r="E66" s="52">
        <f t="shared" si="67"/>
        <v>300</v>
      </c>
      <c r="F66" s="48" t="s">
        <v>123</v>
      </c>
      <c r="G66" s="80">
        <f t="shared" si="59"/>
        <v>1.3516789205312938</v>
      </c>
      <c r="H66" s="47"/>
      <c r="I66" s="44"/>
      <c r="K66" s="64" t="str">
        <f t="shared" si="60"/>
        <v/>
      </c>
      <c r="L66" s="39" t="str">
        <f t="shared" si="61"/>
        <v/>
      </c>
      <c r="M66" s="66" t="str">
        <f t="shared" si="62"/>
        <v xml:space="preserve"> </v>
      </c>
      <c r="N66" s="40" t="str">
        <f t="shared" si="63"/>
        <v/>
      </c>
      <c r="O66" s="75" t="str">
        <f t="shared" si="64"/>
        <v>Vul kolom I en K in</v>
      </c>
      <c r="P66" s="72" t="str">
        <f t="shared" si="65"/>
        <v>Aantal ledigingen onjuist</v>
      </c>
      <c r="Q66" s="69" t="str">
        <f t="shared" si="68"/>
        <v/>
      </c>
      <c r="R66" s="8" t="str">
        <f t="shared" si="66"/>
        <v/>
      </c>
      <c r="S66" s="18"/>
    </row>
    <row r="67" spans="2:19" x14ac:dyDescent="0.3">
      <c r="B67" s="18"/>
      <c r="C67" s="41" t="str">
        <f t="shared" si="58"/>
        <v>Bouwblok 3 School + sporthal</v>
      </c>
      <c r="D67" s="105">
        <f>AQ25</f>
        <v>180.86538461538461</v>
      </c>
      <c r="E67" s="52">
        <f t="shared" si="67"/>
        <v>300</v>
      </c>
      <c r="F67" s="48" t="s">
        <v>123</v>
      </c>
      <c r="G67" s="80">
        <f t="shared" si="59"/>
        <v>0.60288461538461535</v>
      </c>
      <c r="H67" s="47"/>
      <c r="I67" s="44"/>
      <c r="K67" s="64" t="str">
        <f t="shared" si="60"/>
        <v/>
      </c>
      <c r="L67" s="39" t="str">
        <f t="shared" si="61"/>
        <v/>
      </c>
      <c r="M67" s="66" t="str">
        <f t="shared" si="62"/>
        <v xml:space="preserve"> </v>
      </c>
      <c r="N67" s="40" t="str">
        <f t="shared" si="63"/>
        <v/>
      </c>
      <c r="O67" s="75" t="str">
        <f t="shared" si="64"/>
        <v>Vul kolom I en K in</v>
      </c>
      <c r="P67" s="72" t="str">
        <f t="shared" si="65"/>
        <v>Aantal ledigingen onjuist</v>
      </c>
      <c r="Q67" s="69" t="str">
        <f t="shared" si="68"/>
        <v/>
      </c>
      <c r="R67" s="8" t="str">
        <f t="shared" si="66"/>
        <v/>
      </c>
      <c r="S67" s="18"/>
    </row>
    <row r="68" spans="2:19" x14ac:dyDescent="0.3">
      <c r="B68" s="18"/>
      <c r="C68" s="41" t="str">
        <f t="shared" si="58"/>
        <v>Bouwblok 4 Bloom Zuid</v>
      </c>
      <c r="D68" s="105">
        <f>AR26</f>
        <v>464.61555979059028</v>
      </c>
      <c r="E68" s="52">
        <f t="shared" si="67"/>
        <v>300</v>
      </c>
      <c r="F68" s="48" t="s">
        <v>123</v>
      </c>
      <c r="G68" s="80">
        <f t="shared" si="59"/>
        <v>1.548718532635301</v>
      </c>
      <c r="H68" s="47"/>
      <c r="I68" s="44"/>
      <c r="K68" s="64" t="str">
        <f t="shared" si="60"/>
        <v/>
      </c>
      <c r="L68" s="39" t="str">
        <f t="shared" si="61"/>
        <v/>
      </c>
      <c r="M68" s="66" t="str">
        <f t="shared" si="62"/>
        <v xml:space="preserve"> </v>
      </c>
      <c r="N68" s="40" t="str">
        <f t="shared" si="63"/>
        <v/>
      </c>
      <c r="O68" s="75" t="str">
        <f t="shared" si="64"/>
        <v>Vul kolom I en K in</v>
      </c>
      <c r="P68" s="72" t="str">
        <f t="shared" si="65"/>
        <v>Aantal ledigingen onjuist</v>
      </c>
      <c r="Q68" s="69" t="str">
        <f t="shared" si="68"/>
        <v/>
      </c>
      <c r="R68" s="8" t="str">
        <f t="shared" si="66"/>
        <v/>
      </c>
      <c r="S68" s="18"/>
    </row>
    <row r="69" spans="2:19" x14ac:dyDescent="0.3">
      <c r="B69" s="18"/>
      <c r="C69" s="41" t="str">
        <f t="shared" si="58"/>
        <v xml:space="preserve">Bouwblok 5 Bloom Zuid </v>
      </c>
      <c r="D69" s="105">
        <f>AR27</f>
        <v>326.89057911432843</v>
      </c>
      <c r="E69" s="52">
        <f t="shared" si="67"/>
        <v>300</v>
      </c>
      <c r="F69" s="48" t="s">
        <v>123</v>
      </c>
      <c r="G69" s="80">
        <f t="shared" si="59"/>
        <v>1.0896352637144282</v>
      </c>
      <c r="H69" s="47"/>
      <c r="I69" s="44"/>
      <c r="K69" s="64" t="str">
        <f t="shared" si="60"/>
        <v/>
      </c>
      <c r="L69" s="39" t="str">
        <f t="shared" si="61"/>
        <v/>
      </c>
      <c r="M69" s="66" t="str">
        <f t="shared" si="62"/>
        <v xml:space="preserve"> </v>
      </c>
      <c r="N69" s="40" t="str">
        <f t="shared" si="63"/>
        <v/>
      </c>
      <c r="O69" s="75" t="str">
        <f t="shared" si="64"/>
        <v>Vul kolom I en K in</v>
      </c>
      <c r="P69" s="72" t="str">
        <f t="shared" si="65"/>
        <v>Aantal ledigingen onjuist</v>
      </c>
      <c r="Q69" s="69" t="str">
        <f t="shared" si="68"/>
        <v/>
      </c>
      <c r="R69" s="8" t="str">
        <f t="shared" si="66"/>
        <v/>
      </c>
      <c r="S69" s="18"/>
    </row>
    <row r="70" spans="2:19" x14ac:dyDescent="0.3">
      <c r="B70" s="18"/>
      <c r="C70" s="41" t="str">
        <f t="shared" si="58"/>
        <v>Bouwblok 7</v>
      </c>
      <c r="D70" s="105">
        <f>AR28</f>
        <v>506.28857019966711</v>
      </c>
      <c r="E70" s="52">
        <f t="shared" si="67"/>
        <v>300</v>
      </c>
      <c r="F70" s="48" t="s">
        <v>123</v>
      </c>
      <c r="G70" s="80">
        <f t="shared" ref="G70" si="69">(D70/E70)</f>
        <v>1.6876285673322238</v>
      </c>
      <c r="H70" s="47"/>
      <c r="I70" s="44"/>
      <c r="K70" s="64" t="str">
        <f t="shared" si="60"/>
        <v/>
      </c>
      <c r="L70" s="39" t="str">
        <f t="shared" si="61"/>
        <v/>
      </c>
      <c r="M70" s="66" t="str">
        <f t="shared" si="62"/>
        <v xml:space="preserve"> </v>
      </c>
      <c r="N70" s="40" t="str">
        <f t="shared" si="63"/>
        <v/>
      </c>
      <c r="O70" s="75" t="str">
        <f t="shared" si="64"/>
        <v>Vul kolom I en K in</v>
      </c>
      <c r="P70" s="72" t="str">
        <f t="shared" si="65"/>
        <v>Aantal ledigingen onjuist</v>
      </c>
      <c r="Q70" s="69" t="str">
        <f t="shared" si="68"/>
        <v/>
      </c>
      <c r="R70" s="8" t="str">
        <f t="shared" si="66"/>
        <v/>
      </c>
      <c r="S70" s="18"/>
    </row>
    <row r="71" spans="2:19" x14ac:dyDescent="0.3">
      <c r="B71" s="18"/>
      <c r="C71" s="41" t="str">
        <f t="shared" si="58"/>
        <v xml:space="preserve">Bouwblok 8 Grow </v>
      </c>
      <c r="D71" s="105">
        <f>AQ29</f>
        <v>693.31730769230774</v>
      </c>
      <c r="E71" s="52">
        <f t="shared" si="67"/>
        <v>300</v>
      </c>
      <c r="F71" s="48" t="s">
        <v>123</v>
      </c>
      <c r="G71" s="80">
        <f t="shared" ref="G71:G77" si="70">(D71/E71)</f>
        <v>2.3110576923076924</v>
      </c>
      <c r="H71" s="47"/>
      <c r="I71" s="44"/>
      <c r="K71" s="64" t="str">
        <f t="shared" si="60"/>
        <v/>
      </c>
      <c r="L71" s="39" t="str">
        <f t="shared" si="61"/>
        <v/>
      </c>
      <c r="M71" s="66" t="str">
        <f t="shared" si="62"/>
        <v xml:space="preserve"> </v>
      </c>
      <c r="N71" s="40" t="str">
        <f t="shared" si="63"/>
        <v/>
      </c>
      <c r="O71" s="75" t="str">
        <f t="shared" si="64"/>
        <v>Vul kolom I en K in</v>
      </c>
      <c r="P71" s="72" t="str">
        <f t="shared" si="65"/>
        <v>Aantal ledigingen onjuist</v>
      </c>
      <c r="Q71" s="69" t="str">
        <f t="shared" ref="Q71:Q77" si="71">IFERROR(P71*N71,"")</f>
        <v/>
      </c>
      <c r="R71" s="8" t="str">
        <f t="shared" ref="R71:R77" si="72">IFERROR(Q71+M71,"")</f>
        <v/>
      </c>
      <c r="S71" s="18"/>
    </row>
    <row r="72" spans="2:19" x14ac:dyDescent="0.3">
      <c r="B72" s="18"/>
      <c r="C72" s="41" t="str">
        <f t="shared" si="58"/>
        <v>Bouwblok 9 Joy</v>
      </c>
      <c r="D72" s="105">
        <f t="shared" ref="D72:D77" si="73">AR30</f>
        <v>193.73243605603918</v>
      </c>
      <c r="E72" s="52">
        <f t="shared" si="67"/>
        <v>300</v>
      </c>
      <c r="F72" s="48" t="s">
        <v>123</v>
      </c>
      <c r="G72" s="80">
        <f t="shared" si="70"/>
        <v>0.6457747868534639</v>
      </c>
      <c r="H72" s="47"/>
      <c r="I72" s="44"/>
      <c r="K72" s="64" t="str">
        <f t="shared" si="60"/>
        <v/>
      </c>
      <c r="L72" s="39" t="str">
        <f t="shared" si="61"/>
        <v/>
      </c>
      <c r="M72" s="66" t="str">
        <f t="shared" si="62"/>
        <v xml:space="preserve"> </v>
      </c>
      <c r="N72" s="40" t="str">
        <f t="shared" si="63"/>
        <v/>
      </c>
      <c r="O72" s="75" t="str">
        <f t="shared" si="64"/>
        <v>Vul kolom I en K in</v>
      </c>
      <c r="P72" s="72" t="str">
        <f t="shared" si="65"/>
        <v>Aantal ledigingen onjuist</v>
      </c>
      <c r="Q72" s="69" t="str">
        <f t="shared" si="71"/>
        <v/>
      </c>
      <c r="R72" s="8" t="str">
        <f t="shared" si="72"/>
        <v/>
      </c>
      <c r="S72" s="18"/>
    </row>
    <row r="73" spans="2:19" x14ac:dyDescent="0.3">
      <c r="B73" s="18"/>
      <c r="C73" s="41" t="str">
        <f t="shared" si="58"/>
        <v>Bouwblok 10 Pulse</v>
      </c>
      <c r="D73" s="105">
        <f t="shared" si="73"/>
        <v>258.31500940987581</v>
      </c>
      <c r="E73" s="52">
        <f t="shared" si="67"/>
        <v>300</v>
      </c>
      <c r="F73" s="48" t="s">
        <v>123</v>
      </c>
      <c r="G73" s="80">
        <f t="shared" si="70"/>
        <v>0.86105003136625269</v>
      </c>
      <c r="H73" s="47"/>
      <c r="I73" s="44"/>
      <c r="K73" s="64" t="str">
        <f t="shared" si="60"/>
        <v/>
      </c>
      <c r="L73" s="39" t="str">
        <f t="shared" si="61"/>
        <v/>
      </c>
      <c r="M73" s="66" t="str">
        <f t="shared" si="62"/>
        <v xml:space="preserve"> </v>
      </c>
      <c r="N73" s="40" t="str">
        <f t="shared" si="63"/>
        <v/>
      </c>
      <c r="O73" s="75" t="str">
        <f t="shared" si="64"/>
        <v>Vul kolom I en K in</v>
      </c>
      <c r="P73" s="72" t="str">
        <f t="shared" si="65"/>
        <v>Aantal ledigingen onjuist</v>
      </c>
      <c r="Q73" s="69" t="str">
        <f t="shared" si="71"/>
        <v/>
      </c>
      <c r="R73" s="8" t="str">
        <f t="shared" si="72"/>
        <v/>
      </c>
      <c r="S73" s="18"/>
    </row>
    <row r="74" spans="2:19" x14ac:dyDescent="0.3">
      <c r="B74" s="18"/>
      <c r="C74" s="41" t="str">
        <f t="shared" si="58"/>
        <v>Bouwblok 11</v>
      </c>
      <c r="D74" s="105">
        <f t="shared" si="73"/>
        <v>604.93963574450299</v>
      </c>
      <c r="E74" s="52">
        <f t="shared" si="67"/>
        <v>300</v>
      </c>
      <c r="F74" s="48" t="s">
        <v>123</v>
      </c>
      <c r="G74" s="80">
        <f t="shared" si="70"/>
        <v>2.0164654524816767</v>
      </c>
      <c r="H74" s="47"/>
      <c r="I74" s="44"/>
      <c r="K74" s="64" t="str">
        <f t="shared" si="60"/>
        <v/>
      </c>
      <c r="L74" s="39" t="str">
        <f t="shared" si="61"/>
        <v/>
      </c>
      <c r="M74" s="66" t="str">
        <f t="shared" si="62"/>
        <v xml:space="preserve"> </v>
      </c>
      <c r="N74" s="40" t="str">
        <f t="shared" si="63"/>
        <v/>
      </c>
      <c r="O74" s="75" t="str">
        <f t="shared" si="64"/>
        <v>Vul kolom I en K in</v>
      </c>
      <c r="P74" s="72" t="str">
        <f t="shared" si="65"/>
        <v>Aantal ledigingen onjuist</v>
      </c>
      <c r="Q74" s="69" t="str">
        <f t="shared" si="71"/>
        <v/>
      </c>
      <c r="R74" s="8" t="str">
        <f t="shared" si="72"/>
        <v/>
      </c>
      <c r="S74" s="18"/>
    </row>
    <row r="75" spans="2:19" x14ac:dyDescent="0.3">
      <c r="B75" s="18"/>
      <c r="C75" s="41" t="str">
        <f t="shared" si="58"/>
        <v>Bouwblok 12 a Bloom Park</v>
      </c>
      <c r="D75" s="105">
        <f t="shared" si="73"/>
        <v>354.15274140119391</v>
      </c>
      <c r="E75" s="52">
        <f t="shared" si="67"/>
        <v>300</v>
      </c>
      <c r="F75" s="48" t="s">
        <v>123</v>
      </c>
      <c r="G75" s="80">
        <f t="shared" si="70"/>
        <v>1.1805091380039796</v>
      </c>
      <c r="H75" s="47"/>
      <c r="I75" s="44"/>
      <c r="K75" s="64" t="str">
        <f t="shared" si="60"/>
        <v/>
      </c>
      <c r="L75" s="39" t="str">
        <f t="shared" si="61"/>
        <v/>
      </c>
      <c r="M75" s="66" t="str">
        <f t="shared" si="62"/>
        <v xml:space="preserve"> </v>
      </c>
      <c r="N75" s="40" t="str">
        <f t="shared" si="63"/>
        <v/>
      </c>
      <c r="O75" s="75" t="str">
        <f t="shared" si="64"/>
        <v>Vul kolom I en K in</v>
      </c>
      <c r="P75" s="72" t="str">
        <f t="shared" si="65"/>
        <v>Aantal ledigingen onjuist</v>
      </c>
      <c r="Q75" s="69" t="str">
        <f t="shared" si="71"/>
        <v/>
      </c>
      <c r="R75" s="8" t="str">
        <f t="shared" si="72"/>
        <v/>
      </c>
      <c r="S75" s="18"/>
    </row>
    <row r="76" spans="2:19" x14ac:dyDescent="0.3">
      <c r="B76" s="18"/>
      <c r="C76" s="41" t="str">
        <f t="shared" si="58"/>
        <v>Bouwblok 13 Cix City</v>
      </c>
      <c r="D76" s="105">
        <f t="shared" si="73"/>
        <v>507.37992668058587</v>
      </c>
      <c r="E76" s="52">
        <f t="shared" si="67"/>
        <v>300</v>
      </c>
      <c r="F76" s="48" t="s">
        <v>123</v>
      </c>
      <c r="G76" s="80">
        <f t="shared" si="70"/>
        <v>1.6912664222686196</v>
      </c>
      <c r="H76" s="47"/>
      <c r="I76" s="44"/>
      <c r="K76" s="64" t="str">
        <f t="shared" si="60"/>
        <v/>
      </c>
      <c r="L76" s="39" t="str">
        <f t="shared" si="61"/>
        <v/>
      </c>
      <c r="M76" s="66" t="str">
        <f t="shared" si="62"/>
        <v xml:space="preserve"> </v>
      </c>
      <c r="N76" s="40" t="str">
        <f t="shared" si="63"/>
        <v/>
      </c>
      <c r="O76" s="75" t="str">
        <f t="shared" si="64"/>
        <v>Vul kolom I en K in</v>
      </c>
      <c r="P76" s="72" t="str">
        <f t="shared" si="65"/>
        <v>Aantal ledigingen onjuist</v>
      </c>
      <c r="Q76" s="69" t="str">
        <f t="shared" si="71"/>
        <v/>
      </c>
      <c r="R76" s="8" t="str">
        <f t="shared" si="72"/>
        <v/>
      </c>
      <c r="S76" s="18"/>
    </row>
    <row r="77" spans="2:19" x14ac:dyDescent="0.3">
      <c r="B77" s="18"/>
      <c r="C77" s="78" t="str">
        <f t="shared" si="58"/>
        <v>Bouwblok 14 Cix Theatre</v>
      </c>
      <c r="D77" s="116">
        <f t="shared" si="73"/>
        <v>177.2922038612387</v>
      </c>
      <c r="E77" s="53">
        <f t="shared" si="67"/>
        <v>300</v>
      </c>
      <c r="F77" s="49" t="s">
        <v>123</v>
      </c>
      <c r="G77" s="81">
        <f t="shared" si="70"/>
        <v>0.59097401287079565</v>
      </c>
      <c r="H77" s="103"/>
      <c r="I77" s="45"/>
      <c r="J77" s="117"/>
      <c r="K77" s="65" t="str">
        <f t="shared" si="60"/>
        <v/>
      </c>
      <c r="L77" s="63" t="str">
        <f t="shared" si="61"/>
        <v/>
      </c>
      <c r="M77" s="67" t="str">
        <f t="shared" si="62"/>
        <v xml:space="preserve"> </v>
      </c>
      <c r="N77" s="56" t="str">
        <f t="shared" si="63"/>
        <v/>
      </c>
      <c r="O77" s="76" t="str">
        <f t="shared" si="64"/>
        <v>Vul kolom I en K in</v>
      </c>
      <c r="P77" s="73" t="str">
        <f t="shared" si="65"/>
        <v>Aantal ledigingen onjuist</v>
      </c>
      <c r="Q77" s="70" t="str">
        <f t="shared" si="71"/>
        <v/>
      </c>
      <c r="R77" s="83" t="str">
        <f t="shared" si="72"/>
        <v/>
      </c>
      <c r="S77" s="18"/>
    </row>
    <row r="78" spans="2:19" x14ac:dyDescent="0.3">
      <c r="B78" s="18"/>
      <c r="C78" s="2"/>
      <c r="D78" s="15">
        <f>SUM(D62:D77)</f>
        <v>6289.5885837102787</v>
      </c>
      <c r="E78" s="43"/>
      <c r="G78" s="54">
        <f>SUM(G62:G77)</f>
        <v>20.965295279034262</v>
      </c>
      <c r="L78" s="68" t="s">
        <v>124</v>
      </c>
      <c r="M78" s="66">
        <f>IF(COUNTBLANK(M62:M77)=0,SUM(M62:M77),"NIET COMPLEET")</f>
        <v>0</v>
      </c>
      <c r="N78" s="8"/>
      <c r="P78" s="71" t="s">
        <v>125</v>
      </c>
      <c r="Q78" s="69" t="b">
        <f>IF(COUNTBLANK(Q62:Q77)=0,SUM(Q62:Q77))</f>
        <v>0</v>
      </c>
      <c r="R78" s="8" t="b">
        <f>IF(COUNTBLANK(R62:R77)=0,SUM(R62:R77))</f>
        <v>0</v>
      </c>
      <c r="S78" s="18"/>
    </row>
    <row r="79" spans="2:19" x14ac:dyDescent="0.3">
      <c r="B79" s="18"/>
      <c r="S79" s="18"/>
    </row>
    <row r="80" spans="2:19" x14ac:dyDescent="0.3">
      <c r="B80" s="18"/>
      <c r="C80" s="13" t="s">
        <v>126</v>
      </c>
      <c r="E80" s="10"/>
      <c r="F80" s="10"/>
      <c r="G80" s="10"/>
      <c r="H80" s="10"/>
      <c r="I80" s="10"/>
      <c r="S80" s="18"/>
    </row>
    <row r="81" spans="2:19" x14ac:dyDescent="0.3">
      <c r="B81" s="18"/>
      <c r="C81" s="13" t="s">
        <v>127</v>
      </c>
      <c r="E81" s="10"/>
      <c r="F81" s="10"/>
      <c r="G81" s="10"/>
      <c r="H81" s="10"/>
      <c r="I81" s="10"/>
      <c r="S81" s="18"/>
    </row>
    <row r="82" spans="2:19" x14ac:dyDescent="0.3">
      <c r="B82" s="18"/>
      <c r="C82" s="13" t="s">
        <v>128</v>
      </c>
      <c r="S82" s="18"/>
    </row>
    <row r="83" spans="2:19" x14ac:dyDescent="0.3">
      <c r="B83" s="18"/>
      <c r="C83" s="13" t="s">
        <v>129</v>
      </c>
      <c r="S83" s="18"/>
    </row>
    <row r="84" spans="2:19" x14ac:dyDescent="0.3">
      <c r="B84" s="18"/>
      <c r="C84" s="6"/>
      <c r="D84" s="6"/>
      <c r="E84" s="6"/>
      <c r="F84" s="6"/>
      <c r="G84" s="6"/>
      <c r="H84" s="6"/>
      <c r="I84" s="6"/>
      <c r="J84" s="6"/>
      <c r="K84" s="6"/>
      <c r="L84" s="6"/>
      <c r="M84" s="6"/>
      <c r="N84" s="6"/>
      <c r="O84" s="6"/>
      <c r="P84" s="6"/>
      <c r="Q84" s="6"/>
      <c r="R84" s="6"/>
      <c r="S84" s="18"/>
    </row>
    <row r="85" spans="2:19" x14ac:dyDescent="0.3">
      <c r="B85" s="22"/>
      <c r="C85" s="9"/>
      <c r="D85" s="3"/>
      <c r="E85" s="3"/>
      <c r="F85" s="3"/>
      <c r="G85" s="3"/>
      <c r="H85" s="3"/>
      <c r="I85" s="3"/>
      <c r="J85" s="3"/>
      <c r="K85" s="3"/>
      <c r="L85" s="3"/>
      <c r="M85" s="3"/>
      <c r="N85" s="3"/>
      <c r="O85" s="3"/>
      <c r="P85" s="3"/>
      <c r="Q85" s="3"/>
      <c r="R85" s="3"/>
      <c r="S85" s="22"/>
    </row>
    <row r="86" spans="2:19" ht="21.75" customHeight="1" x14ac:dyDescent="0.3">
      <c r="B86" s="22"/>
      <c r="C86" s="3"/>
      <c r="D86" s="144" t="str">
        <f>IF(MAX(O20:O35,O41:O56,O62:O77)&gt;2,"⚠ LET OP: Eén of meer inzamelmomenten zijn hoger dan 2. Dit is niet toegestaan. Controleer de containercapaciteit of aantal ingezette containers.","")</f>
        <v/>
      </c>
      <c r="E86" s="144"/>
      <c r="F86" s="144"/>
      <c r="G86" s="144"/>
      <c r="H86" s="144"/>
      <c r="I86" s="144"/>
      <c r="J86" s="3"/>
      <c r="K86" s="3"/>
      <c r="L86" s="3"/>
      <c r="M86" s="3"/>
      <c r="N86" s="3"/>
      <c r="O86" s="3"/>
      <c r="P86" s="3"/>
      <c r="Q86" s="3"/>
      <c r="R86" s="3"/>
      <c r="S86" s="22"/>
    </row>
    <row r="87" spans="2:19" s="3" customFormat="1" x14ac:dyDescent="0.3">
      <c r="B87" s="18"/>
      <c r="C87"/>
      <c r="D87"/>
      <c r="E87"/>
      <c r="F87"/>
      <c r="G87"/>
      <c r="H87"/>
      <c r="I87"/>
      <c r="J87"/>
      <c r="K87"/>
      <c r="L87"/>
      <c r="M87"/>
      <c r="N87"/>
      <c r="O87"/>
      <c r="P87"/>
      <c r="Q87"/>
      <c r="R87"/>
      <c r="S87" s="18"/>
    </row>
    <row r="88" spans="2:19" s="3" customFormat="1" x14ac:dyDescent="0.3">
      <c r="B88" s="18"/>
      <c r="C88" s="6"/>
      <c r="D88" s="6"/>
      <c r="E88" s="6"/>
      <c r="F88" s="6"/>
      <c r="G88" s="6"/>
      <c r="H88" s="6"/>
      <c r="I88" s="6"/>
      <c r="J88" s="6"/>
      <c r="K88" s="6"/>
      <c r="L88" s="6"/>
      <c r="M88" s="6"/>
      <c r="N88" s="6"/>
      <c r="O88" s="6"/>
      <c r="P88" s="6"/>
      <c r="Q88" s="6"/>
      <c r="R88" s="6"/>
      <c r="S88" s="18"/>
    </row>
    <row r="89" spans="2:19" ht="15.6" x14ac:dyDescent="0.3">
      <c r="B89" s="23"/>
      <c r="C89" s="4"/>
      <c r="D89" s="5"/>
      <c r="E89" s="60"/>
      <c r="F89" s="61" t="s">
        <v>130</v>
      </c>
      <c r="G89" s="62" t="str">
        <f>IF(AND(ISNUMBER(M36),ISNUMBER(M57),ISNUMBER(M78)),SUM(M36,M57,M78),"NIET COMPLEET")</f>
        <v>NIET COMPLEET</v>
      </c>
      <c r="H89" s="5"/>
      <c r="I89" s="5"/>
      <c r="J89" s="30"/>
      <c r="K89" s="5"/>
      <c r="L89" s="5"/>
      <c r="M89" s="5"/>
      <c r="N89" s="5"/>
      <c r="O89" s="5"/>
      <c r="P89" s="5"/>
      <c r="Q89" s="5"/>
      <c r="R89" s="5"/>
      <c r="S89" s="23"/>
    </row>
    <row r="90" spans="2:19" ht="15.75" customHeight="1" x14ac:dyDescent="0.3">
      <c r="B90" s="23"/>
      <c r="C90" s="4"/>
      <c r="D90" s="5"/>
      <c r="E90" s="57"/>
      <c r="F90" s="58" t="s">
        <v>131</v>
      </c>
      <c r="G90" s="59" t="str">
        <f>IF(AND(ISNUMBER(Q36),ISNUMBER(Q57),ISNUMBER(Q78)),SUM(Q36,Q57,Q78),"NIET COMPLEET")</f>
        <v>NIET COMPLEET</v>
      </c>
      <c r="H90" s="5"/>
      <c r="I90" s="5"/>
      <c r="J90" s="30"/>
      <c r="K90" s="5"/>
      <c r="L90" s="5"/>
      <c r="M90" s="5"/>
      <c r="N90" s="5"/>
      <c r="O90" s="5"/>
      <c r="P90" s="5"/>
      <c r="Q90" s="5"/>
      <c r="R90" s="5"/>
      <c r="S90" s="23"/>
    </row>
    <row r="91" spans="2:19" s="5" customFormat="1" ht="15.6" x14ac:dyDescent="0.3">
      <c r="B91" s="23"/>
      <c r="C91" s="4"/>
      <c r="J91" s="30"/>
      <c r="S91" s="23"/>
    </row>
    <row r="92" spans="2:19" s="5" customFormat="1" ht="15.6" x14ac:dyDescent="0.3">
      <c r="B92" s="23"/>
      <c r="C92" s="94" t="s">
        <v>132</v>
      </c>
      <c r="D92" s="94"/>
      <c r="E92" s="94"/>
      <c r="F92" s="94"/>
      <c r="G92" s="33">
        <f>SUM(G89:G90)</f>
        <v>0</v>
      </c>
      <c r="H92" s="95" t="s">
        <v>133</v>
      </c>
      <c r="I92" s="95"/>
      <c r="J92" s="95"/>
      <c r="K92" s="95"/>
      <c r="L92" s="6"/>
      <c r="M92" s="6"/>
      <c r="N92" s="6"/>
      <c r="O92" s="6"/>
      <c r="P92" s="6"/>
      <c r="Q92" s="6"/>
      <c r="R92" s="6"/>
      <c r="S92" s="23"/>
    </row>
    <row r="93" spans="2:19" s="5" customFormat="1" ht="15.6" x14ac:dyDescent="0.3">
      <c r="B93" s="23"/>
      <c r="C93" s="4"/>
      <c r="J93" s="30"/>
      <c r="S93" s="23"/>
    </row>
    <row r="94" spans="2:19" s="5" customFormat="1" ht="5.25" customHeight="1" x14ac:dyDescent="0.3">
      <c r="B94" s="18"/>
      <c r="C94" s="18"/>
      <c r="D94" s="18"/>
      <c r="E94" s="18"/>
      <c r="F94" s="18"/>
      <c r="G94" s="18"/>
      <c r="H94" s="18"/>
      <c r="I94" s="18"/>
      <c r="J94" s="18"/>
      <c r="K94" s="18"/>
      <c r="L94" s="18"/>
      <c r="M94" s="18"/>
      <c r="N94" s="18"/>
      <c r="O94" s="18"/>
      <c r="P94" s="18"/>
      <c r="Q94" s="18"/>
      <c r="R94" s="18"/>
      <c r="S94" s="18"/>
    </row>
    <row r="95" spans="2:19" s="5" customFormat="1" ht="15.6" x14ac:dyDescent="0.3">
      <c r="B95"/>
      <c r="C95"/>
      <c r="D95"/>
      <c r="E95"/>
      <c r="F95"/>
      <c r="G95"/>
      <c r="H95"/>
      <c r="I95"/>
      <c r="J95" t="s">
        <v>17</v>
      </c>
      <c r="K95"/>
      <c r="L95"/>
      <c r="M95"/>
      <c r="N95"/>
      <c r="O95"/>
      <c r="P95"/>
      <c r="Q95"/>
      <c r="R95"/>
      <c r="S95"/>
    </row>
    <row r="96" spans="2:19" ht="25.5" customHeight="1" x14ac:dyDescent="0.3">
      <c r="C96" s="37" t="s">
        <v>134</v>
      </c>
      <c r="D96" s="131" t="s">
        <v>135</v>
      </c>
      <c r="E96" s="132"/>
      <c r="F96" s="133" t="s">
        <v>136</v>
      </c>
      <c r="G96" s="134" t="s">
        <v>137</v>
      </c>
    </row>
    <row r="97" spans="3:7" ht="25.5" customHeight="1" x14ac:dyDescent="0.3">
      <c r="C97" s="38" t="s">
        <v>138</v>
      </c>
      <c r="D97" s="131"/>
      <c r="E97" s="135"/>
      <c r="F97" s="135"/>
      <c r="G97" s="132"/>
    </row>
    <row r="98" spans="3:7" ht="25.5" customHeight="1" x14ac:dyDescent="0.3">
      <c r="C98" s="136" t="s">
        <v>139</v>
      </c>
      <c r="D98" s="131"/>
      <c r="E98" s="135"/>
      <c r="F98" s="135"/>
      <c r="G98" s="132"/>
    </row>
    <row r="99" spans="3:7" ht="25.5" customHeight="1" x14ac:dyDescent="0.3">
      <c r="C99" s="136" t="s">
        <v>140</v>
      </c>
      <c r="D99" s="137"/>
      <c r="E99" s="138"/>
      <c r="F99" s="138"/>
      <c r="G99" s="134"/>
    </row>
    <row r="100" spans="3:7" ht="25.5" customHeight="1" x14ac:dyDescent="0.3">
      <c r="C100" s="139"/>
      <c r="D100" s="140"/>
      <c r="E100" s="141"/>
      <c r="F100" s="141"/>
      <c r="G100" s="142"/>
    </row>
    <row r="101" spans="3:7" ht="24.75" customHeight="1" x14ac:dyDescent="0.3"/>
    <row r="102" spans="3:7" ht="25.5" customHeight="1" x14ac:dyDescent="0.3"/>
  </sheetData>
  <sheetProtection algorithmName="SHA-512" hashValue="AomjydG+Snh1u8PcCjrB6gpb9iTJDowOy1+8RDeKbrftw+PAGyNj3kStBusVJnrjuwwzBLT3kZjMuNHBC//X7A==" saltValue="UG/NzXyKyz3SYOr2ghqlWQ==" spinCount="100000" sheet="1" objects="1" scenarios="1"/>
  <protectedRanges>
    <protectedRange sqref="D96:G100" name="Bereik1"/>
    <protectedRange sqref="D8:I11" name="Bereik2"/>
    <protectedRange sqref="H62:I77" name="Bereik3"/>
    <protectedRange sqref="H41:I56" name="Bereik4"/>
    <protectedRange sqref="H20:I35" name="Bereik5"/>
  </protectedRanges>
  <mergeCells count="7">
    <mergeCell ref="AD18:AG18"/>
    <mergeCell ref="D86:I86"/>
    <mergeCell ref="D6:F6"/>
    <mergeCell ref="D8:F8"/>
    <mergeCell ref="D9:F9"/>
    <mergeCell ref="D10:F10"/>
    <mergeCell ref="D11:F11"/>
  </mergeCells>
  <conditionalFormatting sqref="D86">
    <cfRule type="containsText" dxfId="7" priority="7" operator="containsText" text="Let op">
      <formula>NOT(ISERROR(SEARCH("Let op",D86)))</formula>
    </cfRule>
  </conditionalFormatting>
  <conditionalFormatting sqref="O20:O35 O41:O56 O62:O77">
    <cfRule type="containsText" dxfId="6" priority="8" stopIfTrue="1" operator="containsText" text="kolom">
      <formula>NOT(ISERROR(SEARCH("kolom",O20)))</formula>
    </cfRule>
    <cfRule type="cellIs" dxfId="5" priority="9" operator="greaterThan">
      <formula>2</formula>
    </cfRule>
  </conditionalFormatting>
  <conditionalFormatting sqref="P20:P35 P41:P56 P62:P77">
    <cfRule type="containsText" dxfId="4" priority="6" operator="containsText" text="Aantal">
      <formula>NOT(ISERROR(SEARCH("Aantal",P20)))</formula>
    </cfRule>
  </conditionalFormatting>
  <conditionalFormatting sqref="AK20:AK35">
    <cfRule type="colorScale" priority="10">
      <colorScale>
        <cfvo type="min"/>
        <cfvo type="percentile" val="50"/>
        <cfvo type="max"/>
        <color rgb="FFF8696B"/>
        <color rgb="FFFCFCFF"/>
        <color rgb="FF63BE7B"/>
      </colorScale>
    </cfRule>
    <cfRule type="colorScale" priority="11">
      <colorScale>
        <cfvo type="min"/>
        <cfvo type="percentile" val="50"/>
        <cfvo type="max"/>
        <color rgb="FF63BE7B"/>
        <color rgb="FFFCFCFF"/>
        <color rgb="FFF8696B"/>
      </colorScale>
    </cfRule>
  </conditionalFormatting>
  <conditionalFormatting sqref="AM20:AM35">
    <cfRule type="colorScale" priority="42">
      <colorScale>
        <cfvo type="min"/>
        <cfvo type="max"/>
        <color rgb="FFF8696B"/>
        <color rgb="FFFCFCFF"/>
      </colorScale>
    </cfRule>
    <cfRule type="colorScale" priority="43">
      <colorScale>
        <cfvo type="min"/>
        <cfvo type="max"/>
        <color rgb="FFFCFCFF"/>
        <color rgb="FFF8696B"/>
      </colorScale>
    </cfRule>
  </conditionalFormatting>
  <dataValidations count="9">
    <dataValidation type="list" allowBlank="1" showInputMessage="1" showErrorMessage="1" sqref="H62:H77" xr:uid="{3825FCD2-0C9A-4019-A4AE-FCD38102F4DF}">
      <formula1>$X$16:$X$18</formula1>
    </dataValidation>
    <dataValidation allowBlank="1" showInputMessage="1" showErrorMessage="1" prompt="Beschrijf in deze regel optie 2 voor het in te zetten inzamelsysteem voor gfe, geef voor deze container ook de capaciteit en prijzen op in deze regel." sqref="D11:F11" xr:uid="{0F96972C-0A0A-43AB-B908-D24EF5588625}"/>
    <dataValidation allowBlank="1" showInputMessage="1" showErrorMessage="1" prompt="Beschrijf in deze regel optie 1 voor het in te zetten inzamelsysteem voor gfe, geef voor deze container ook de capaciteit en prijzen op in deze regel." sqref="D10:F10" xr:uid="{8B3835A7-63EA-404C-8C54-57B0BD0414C9}"/>
    <dataValidation allowBlank="1" showInputMessage="1" showErrorMessage="1" prompt="Beschrijf in deze regel optie 2 voor het in te zetten perssysteem voor rest en OPK, geef voor deze container ook de capaciteit en prijzen op in deze regel." sqref="D9:F9" xr:uid="{D45EB898-BD39-4A33-98E7-2101D588ADF1}"/>
    <dataValidation allowBlank="1" showInputMessage="1" showErrorMessage="1" prompt="Beschrijf in deze regel optie 1 voor het in te zetten perssysteem voor rest en OPK, geef voor deze container ook de capaciteit en prijzen op in deze regel. " sqref="D8:F8" xr:uid="{B96B349C-9A2F-4F83-97AD-26C2FDE0BEA0}"/>
    <dataValidation type="list" allowBlank="1" showInputMessage="1" showErrorMessage="1" sqref="I20:I35 I41:I56 I62:I77" xr:uid="{BE7F7D9E-71B9-4F1F-9DFD-2EE4DDC97340}">
      <formula1>$U$29:$U$32</formula1>
    </dataValidation>
    <dataValidation allowBlank="1" sqref="P20:P35 P41:P56 P62:P77" xr:uid="{5670A4B5-175D-4E89-9841-D2B47EBD8333}"/>
    <dataValidation type="whole" errorStyle="warning" operator="lessThanOrEqual" allowBlank="1" showInputMessage="1" errorTitle="Waarde niet toegestaan" error="Het maximale aantal inzamelmomenten per week is 2. Hoger is niet toegestaan. Vergroot de capaciteit of het aantal containers. " sqref="O20:O35 O41:O56 O62:O77" xr:uid="{24A5FE25-4852-4C8B-B871-D29F5BBD44A5}">
      <formula1>2</formula1>
    </dataValidation>
    <dataValidation type="list" allowBlank="1" showInputMessage="1" showErrorMessage="1" sqref="H20:H35 H41:H56" xr:uid="{3144DEDB-E84E-46F1-A22E-FA4CED951B80}">
      <formula1>$U$16:$U$18</formula1>
    </dataValidation>
  </dataValidations>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0000"/>
  </sheetPr>
  <dimension ref="B1:AP105"/>
  <sheetViews>
    <sheetView topLeftCell="A17" workbookViewId="0">
      <selection activeCell="AB36" sqref="AB36"/>
    </sheetView>
  </sheetViews>
  <sheetFormatPr defaultColWidth="9.109375" defaultRowHeight="14.4" x14ac:dyDescent="0.3"/>
  <cols>
    <col min="1" max="1" width="4.109375" customWidth="1"/>
    <col min="2" max="2" width="0.6640625" customWidth="1"/>
    <col min="3" max="3" width="49.33203125" customWidth="1"/>
    <col min="4" max="4" width="18" customWidth="1"/>
    <col min="5" max="5" width="17.6640625" customWidth="1"/>
    <col min="6" max="6" width="18" customWidth="1"/>
    <col min="7" max="7" width="27" customWidth="1"/>
    <col min="8" max="8" width="31.6640625" customWidth="1"/>
    <col min="9" max="9" width="33.6640625" customWidth="1"/>
    <col min="10" max="10" width="1" customWidth="1"/>
    <col min="11" max="11" width="34.33203125" customWidth="1"/>
    <col min="12" max="12" width="28.44140625" customWidth="1"/>
    <col min="13" max="13" width="20.88671875" customWidth="1"/>
    <col min="14" max="14" width="23.109375" customWidth="1"/>
    <col min="15" max="15" width="24" customWidth="1"/>
    <col min="16" max="16" width="22.44140625" customWidth="1"/>
    <col min="17" max="17" width="27.6640625" customWidth="1"/>
    <col min="18" max="18" width="25.5546875" customWidth="1"/>
    <col min="19" max="19" width="1" customWidth="1"/>
    <col min="20" max="20" width="9.109375" bestFit="1" customWidth="1"/>
    <col min="21" max="21" width="15.33203125" customWidth="1"/>
    <col min="22" max="23" width="9.109375" customWidth="1"/>
    <col min="24" max="24" width="34.5546875" customWidth="1"/>
    <col min="25" max="25" width="11.88671875" customWidth="1"/>
    <col min="26" max="26" width="75" customWidth="1"/>
    <col min="27" max="32" width="9.109375" customWidth="1"/>
    <col min="33" max="33" width="19.5546875" customWidth="1"/>
    <col min="34" max="34" width="23.109375" customWidth="1"/>
    <col min="35" max="35" width="9.109375" customWidth="1"/>
    <col min="36" max="36" width="13.88671875" customWidth="1"/>
    <col min="37" max="37" width="17.109375" customWidth="1"/>
    <col min="39" max="39" width="9.33203125" bestFit="1" customWidth="1"/>
    <col min="41" max="41" width="9.33203125" bestFit="1" customWidth="1"/>
  </cols>
  <sheetData>
    <row r="1" spans="2:24" s="7" customFormat="1" ht="54.75" customHeight="1" x14ac:dyDescent="0.45">
      <c r="B1" s="17"/>
      <c r="C1" s="55" t="s">
        <v>18</v>
      </c>
      <c r="M1"/>
      <c r="N1"/>
      <c r="S1" s="20"/>
      <c r="U1"/>
    </row>
    <row r="2" spans="2:24" s="7" customFormat="1" ht="12.75" customHeight="1" x14ac:dyDescent="0.45">
      <c r="B2" s="17"/>
      <c r="M2"/>
      <c r="N2"/>
      <c r="S2" s="20"/>
      <c r="U2"/>
    </row>
    <row r="3" spans="2:24" s="7" customFormat="1" ht="29.25" customHeight="1" x14ac:dyDescent="0.45">
      <c r="B3" s="17"/>
      <c r="C3" s="34" t="s">
        <v>1</v>
      </c>
      <c r="D3" s="35"/>
      <c r="E3" s="35"/>
      <c r="F3" s="35"/>
      <c r="G3" s="35"/>
      <c r="H3" s="35"/>
      <c r="I3" s="36"/>
      <c r="M3"/>
      <c r="N3"/>
      <c r="S3" s="20"/>
      <c r="U3"/>
    </row>
    <row r="4" spans="2:24" s="7" customFormat="1" ht="15.75" customHeight="1" x14ac:dyDescent="0.45">
      <c r="B4" s="17"/>
      <c r="M4"/>
      <c r="N4"/>
      <c r="S4" s="20"/>
      <c r="U4"/>
    </row>
    <row r="5" spans="2:24" ht="6" customHeight="1" x14ac:dyDescent="0.45">
      <c r="B5" s="18"/>
      <c r="C5" s="6"/>
      <c r="D5" s="6"/>
      <c r="E5" s="6"/>
      <c r="F5" s="6"/>
      <c r="G5" s="6"/>
      <c r="H5" s="6"/>
      <c r="I5" s="6"/>
      <c r="J5" s="31"/>
      <c r="K5" s="7"/>
      <c r="S5" s="20"/>
    </row>
    <row r="6" spans="2:24" s="1" customFormat="1" ht="31.5" customHeight="1" x14ac:dyDescent="0.45">
      <c r="B6" s="19"/>
      <c r="C6" s="32" t="s">
        <v>19</v>
      </c>
      <c r="D6" s="145" t="s">
        <v>20</v>
      </c>
      <c r="E6" s="145"/>
      <c r="F6" s="145"/>
      <c r="G6" s="25" t="s">
        <v>21</v>
      </c>
      <c r="H6" s="25" t="s">
        <v>22</v>
      </c>
      <c r="I6" s="25" t="s">
        <v>23</v>
      </c>
      <c r="J6" s="31"/>
      <c r="K6" s="7"/>
      <c r="M6"/>
      <c r="N6"/>
      <c r="S6" s="20"/>
      <c r="U6" t="s">
        <v>24</v>
      </c>
      <c r="V6">
        <v>188</v>
      </c>
      <c r="W6" t="s">
        <v>25</v>
      </c>
    </row>
    <row r="7" spans="2:24" ht="6" customHeight="1" x14ac:dyDescent="0.45">
      <c r="B7" s="18"/>
      <c r="C7" s="6"/>
      <c r="D7" s="6"/>
      <c r="E7" s="6"/>
      <c r="F7" s="6"/>
      <c r="G7" s="6"/>
      <c r="H7" s="6"/>
      <c r="I7" s="6"/>
      <c r="J7" s="31"/>
      <c r="K7" s="7"/>
      <c r="S7" s="20"/>
      <c r="U7" t="s">
        <v>26</v>
      </c>
      <c r="V7">
        <v>27</v>
      </c>
      <c r="W7" t="s">
        <v>25</v>
      </c>
    </row>
    <row r="8" spans="2:24" s="7" customFormat="1" ht="38.25" customHeight="1" x14ac:dyDescent="0.45">
      <c r="B8" s="17"/>
      <c r="C8" s="24" t="s">
        <v>27</v>
      </c>
      <c r="D8" s="146" t="s">
        <v>141</v>
      </c>
      <c r="E8" s="147"/>
      <c r="F8" s="147"/>
      <c r="G8" s="128">
        <v>3</v>
      </c>
      <c r="H8" s="129">
        <v>3000</v>
      </c>
      <c r="I8" s="26">
        <v>100</v>
      </c>
      <c r="J8" s="31"/>
      <c r="L8" s="27"/>
      <c r="M8"/>
      <c r="N8"/>
      <c r="S8" s="20"/>
      <c r="U8" t="s">
        <v>28</v>
      </c>
      <c r="V8">
        <v>33</v>
      </c>
      <c r="W8" t="s">
        <v>25</v>
      </c>
    </row>
    <row r="9" spans="2:24" s="7" customFormat="1" ht="38.25" customHeight="1" x14ac:dyDescent="0.45">
      <c r="B9" s="17"/>
      <c r="C9" s="24" t="s">
        <v>29</v>
      </c>
      <c r="D9" s="148" t="s">
        <v>142</v>
      </c>
      <c r="E9" s="148"/>
      <c r="F9" s="148"/>
      <c r="G9" s="128">
        <v>2</v>
      </c>
      <c r="H9" s="129">
        <v>2000</v>
      </c>
      <c r="I9" s="130">
        <v>100</v>
      </c>
      <c r="J9" s="31"/>
      <c r="M9"/>
      <c r="N9"/>
      <c r="S9" s="20"/>
      <c r="U9" t="s">
        <v>30</v>
      </c>
      <c r="V9">
        <v>1.9</v>
      </c>
      <c r="W9" t="s">
        <v>31</v>
      </c>
    </row>
    <row r="10" spans="2:24" s="7" customFormat="1" ht="38.25" customHeight="1" x14ac:dyDescent="0.45">
      <c r="B10" s="17"/>
      <c r="C10" s="24" t="s">
        <v>32</v>
      </c>
      <c r="D10" s="147" t="s">
        <v>143</v>
      </c>
      <c r="E10" s="147"/>
      <c r="F10" s="147"/>
      <c r="G10" s="128">
        <v>0.24</v>
      </c>
      <c r="H10" s="129">
        <v>1000</v>
      </c>
      <c r="I10" s="26">
        <v>50</v>
      </c>
      <c r="J10" s="31"/>
      <c r="M10"/>
      <c r="N10"/>
      <c r="S10" s="20"/>
      <c r="U10"/>
      <c r="V10"/>
      <c r="W10"/>
    </row>
    <row r="11" spans="2:24" s="7" customFormat="1" ht="38.25" customHeight="1" x14ac:dyDescent="0.45">
      <c r="B11" s="17"/>
      <c r="C11" s="24" t="s">
        <v>33</v>
      </c>
      <c r="D11" s="148" t="s">
        <v>144</v>
      </c>
      <c r="E11" s="148"/>
      <c r="F11" s="148"/>
      <c r="G11" s="128">
        <v>1.1000000000000001</v>
      </c>
      <c r="H11" s="129">
        <v>1500</v>
      </c>
      <c r="I11" s="130">
        <v>75</v>
      </c>
      <c r="J11" s="31"/>
      <c r="L11" s="7" t="s">
        <v>17</v>
      </c>
      <c r="M11"/>
      <c r="N11"/>
      <c r="S11" s="20"/>
      <c r="U11"/>
      <c r="V11"/>
      <c r="W11"/>
    </row>
    <row r="12" spans="2:24" ht="6" customHeight="1" x14ac:dyDescent="0.45">
      <c r="B12" s="18"/>
      <c r="C12" s="6"/>
      <c r="D12" s="6"/>
      <c r="E12" s="6"/>
      <c r="F12" s="6"/>
      <c r="G12" s="6"/>
      <c r="H12" s="6"/>
      <c r="I12" s="6"/>
      <c r="J12" s="31"/>
      <c r="K12" s="7"/>
      <c r="S12" s="20"/>
    </row>
    <row r="13" spans="2:24" s="7" customFormat="1" ht="15.75" customHeight="1" x14ac:dyDescent="0.45">
      <c r="B13" s="17"/>
      <c r="C13" s="79" t="s">
        <v>34</v>
      </c>
      <c r="M13"/>
      <c r="N13"/>
      <c r="S13" s="20"/>
    </row>
    <row r="14" spans="2:24" s="7" customFormat="1" ht="15.75" customHeight="1" x14ac:dyDescent="0.45">
      <c r="B14" s="17"/>
      <c r="C14" s="13" t="s">
        <v>35</v>
      </c>
      <c r="G14" s="82"/>
      <c r="M14"/>
      <c r="N14"/>
      <c r="S14" s="20"/>
    </row>
    <row r="15" spans="2:24" s="7" customFormat="1" ht="15.75" customHeight="1" x14ac:dyDescent="0.45">
      <c r="B15" s="17"/>
      <c r="C15" s="29"/>
      <c r="D15" s="28"/>
      <c r="E15" s="28"/>
      <c r="F15" s="28"/>
      <c r="G15" s="28"/>
      <c r="H15" s="28"/>
      <c r="I15" s="28"/>
      <c r="J15" s="28"/>
      <c r="K15" s="28"/>
      <c r="L15" s="28"/>
      <c r="M15" s="28"/>
      <c r="N15" s="28"/>
      <c r="O15" s="28"/>
      <c r="P15" s="28"/>
      <c r="Q15" s="28"/>
      <c r="R15" s="28"/>
      <c r="S15" s="20"/>
    </row>
    <row r="16" spans="2:24" ht="15.75" customHeight="1" x14ac:dyDescent="0.3">
      <c r="B16" s="18"/>
      <c r="K16" t="s">
        <v>17</v>
      </c>
      <c r="S16" s="20"/>
      <c r="U16" s="1" t="s">
        <v>36</v>
      </c>
      <c r="X16" s="1" t="s">
        <v>36</v>
      </c>
    </row>
    <row r="17" spans="2:42" ht="6" customHeight="1" x14ac:dyDescent="0.3">
      <c r="B17" s="18"/>
      <c r="C17" s="6"/>
      <c r="D17" s="6"/>
      <c r="E17" s="6"/>
      <c r="F17" s="6"/>
      <c r="G17" s="6"/>
      <c r="H17" s="6"/>
      <c r="I17" s="6"/>
      <c r="K17" s="6"/>
      <c r="L17" s="6"/>
      <c r="M17" s="6"/>
      <c r="N17" s="6"/>
      <c r="O17" s="6"/>
      <c r="P17" s="6"/>
      <c r="Q17" s="6"/>
      <c r="R17" s="6"/>
      <c r="S17" s="20"/>
      <c r="U17" t="s">
        <v>37</v>
      </c>
      <c r="X17" t="s">
        <v>38</v>
      </c>
    </row>
    <row r="18" spans="2:42" s="1" customFormat="1" x14ac:dyDescent="0.3">
      <c r="B18" s="20"/>
      <c r="C18" s="1" t="s">
        <v>39</v>
      </c>
      <c r="D18" s="14" t="s">
        <v>40</v>
      </c>
      <c r="E18" s="14" t="s">
        <v>41</v>
      </c>
      <c r="F18" s="14" t="s">
        <v>42</v>
      </c>
      <c r="G18" s="14" t="s">
        <v>43</v>
      </c>
      <c r="H18" s="14" t="s">
        <v>44</v>
      </c>
      <c r="I18" s="14" t="s">
        <v>45</v>
      </c>
      <c r="K18" s="14" t="s">
        <v>46</v>
      </c>
      <c r="L18" s="14" t="s">
        <v>47</v>
      </c>
      <c r="M18" s="14" t="s">
        <v>48</v>
      </c>
      <c r="N18" s="14" t="s">
        <v>49</v>
      </c>
      <c r="O18" s="14" t="s">
        <v>50</v>
      </c>
      <c r="P18" s="14" t="s">
        <v>51</v>
      </c>
      <c r="Q18" s="14" t="s">
        <v>52</v>
      </c>
      <c r="R18" s="14" t="s">
        <v>53</v>
      </c>
      <c r="S18" s="20"/>
      <c r="U18" t="s">
        <v>54</v>
      </c>
      <c r="V18"/>
      <c r="W18"/>
      <c r="X18" t="s">
        <v>55</v>
      </c>
      <c r="Y18"/>
      <c r="AD18" s="143" t="s">
        <v>56</v>
      </c>
      <c r="AE18" s="143"/>
      <c r="AF18" s="143"/>
    </row>
    <row r="19" spans="2:42" ht="32.25" customHeight="1" x14ac:dyDescent="0.45">
      <c r="B19" s="21"/>
      <c r="C19" s="104" t="s">
        <v>57</v>
      </c>
      <c r="D19" s="12"/>
      <c r="E19" s="12"/>
      <c r="F19" s="12"/>
      <c r="G19" s="50" t="s">
        <v>58</v>
      </c>
      <c r="H19" s="12"/>
      <c r="I19" s="12"/>
      <c r="K19" s="12"/>
      <c r="L19" s="12"/>
      <c r="M19" s="12"/>
      <c r="N19" s="12"/>
      <c r="O19" s="12"/>
      <c r="P19" s="12"/>
      <c r="Q19" s="12"/>
      <c r="R19" s="12"/>
      <c r="S19" s="21"/>
      <c r="Z19" s="1" t="s">
        <v>59</v>
      </c>
      <c r="AA19" s="14" t="s">
        <v>60</v>
      </c>
      <c r="AB19" s="1" t="s">
        <v>61</v>
      </c>
      <c r="AD19" t="s">
        <v>62</v>
      </c>
      <c r="AE19" t="s">
        <v>63</v>
      </c>
      <c r="AF19" t="s">
        <v>65</v>
      </c>
      <c r="AG19" t="s">
        <v>66</v>
      </c>
      <c r="AH19" t="s">
        <v>67</v>
      </c>
      <c r="AI19" s="1" t="s">
        <v>68</v>
      </c>
      <c r="AJ19" t="s">
        <v>69</v>
      </c>
      <c r="AK19" t="s">
        <v>70</v>
      </c>
      <c r="AM19" t="s">
        <v>71</v>
      </c>
      <c r="AN19" t="s">
        <v>72</v>
      </c>
      <c r="AO19" t="s">
        <v>73</v>
      </c>
      <c r="AP19" t="s">
        <v>74</v>
      </c>
    </row>
    <row r="20" spans="2:42" x14ac:dyDescent="0.3">
      <c r="B20" s="18"/>
      <c r="C20" s="41" t="str">
        <f>Z20</f>
        <v xml:space="preserve">Wonderwoods MSVA </v>
      </c>
      <c r="D20" s="105">
        <f>AH20</f>
        <v>591</v>
      </c>
      <c r="E20" s="52">
        <v>110</v>
      </c>
      <c r="F20" s="48">
        <f t="shared" ref="F20:F25" si="0">$W$27</f>
        <v>4</v>
      </c>
      <c r="G20" s="80">
        <f>(D20/E20)/F20</f>
        <v>1.3431818181818183</v>
      </c>
      <c r="H20" s="46" t="s">
        <v>37</v>
      </c>
      <c r="I20" s="44">
        <v>1</v>
      </c>
      <c r="K20" s="64">
        <f t="shared" ref="K20:K36" si="1">IFERROR(IF(H20="Containeroptie 1 (zie regel 8)",($G$8*0.8)*I20,IF(H20="Containeroptie 2 (zie regel 9)",($G$9*0.8)*I20,"")),"")</f>
        <v>2.4000000000000004</v>
      </c>
      <c r="L20" s="39">
        <f>IFERROR(IF(H20="Containeroptie 1 (zie regel 8)",$H$8,IF(H20="Containeroptie 2 (zie regel 9)",$H$9,"")),"")</f>
        <v>3000</v>
      </c>
      <c r="M20" s="66">
        <f t="shared" ref="M20:M36" si="2">IFERROR(L20*I20,"")</f>
        <v>3000</v>
      </c>
      <c r="N20" s="40">
        <f t="shared" ref="N20:N36" si="3">IF(H20="Containeroptie 1 (zie regel 8)",$I$8,IF(H20="Containeroptie 2 (zie regel 9)",$I$9,""))</f>
        <v>100</v>
      </c>
      <c r="O20" s="75">
        <f t="shared" ref="O20:O36" si="4">IFERROR((G20/K20),"Vul kolom I en K in")</f>
        <v>0.55965909090909083</v>
      </c>
      <c r="P20" s="72">
        <f t="shared" ref="P20:P36" si="5">IF(O20&gt;2,"Aantal ledigingen onjuist",IFERROR(CEILING((O20*I20)*52,1),""))</f>
        <v>30</v>
      </c>
      <c r="Q20" s="69">
        <f t="shared" ref="Q20:Q27" si="6">IFERROR(P20*N20,"")</f>
        <v>3000</v>
      </c>
      <c r="R20" s="8">
        <f>IFERROR(Q20+M20,"")</f>
        <v>6000</v>
      </c>
      <c r="S20" s="18"/>
      <c r="Z20" s="41" t="s">
        <v>75</v>
      </c>
      <c r="AA20" s="48">
        <v>109</v>
      </c>
      <c r="AB20">
        <v>0</v>
      </c>
      <c r="AD20" s="87">
        <f>AB20*$Z$42</f>
        <v>0</v>
      </c>
      <c r="AE20" s="87">
        <f>AB20*$Z$43</f>
        <v>0</v>
      </c>
      <c r="AF20" s="87">
        <f>AB20*$Z$44</f>
        <v>0</v>
      </c>
      <c r="AG20" s="90">
        <v>591</v>
      </c>
      <c r="AH20" s="91">
        <f>AG20+AD20</f>
        <v>591</v>
      </c>
      <c r="AI20" s="92">
        <f>AH20/AG20</f>
        <v>1</v>
      </c>
      <c r="AJ20" s="93">
        <v>112</v>
      </c>
      <c r="AK20">
        <f>AH20/AJ20</f>
        <v>5.2767857142857144</v>
      </c>
      <c r="AM20" s="87">
        <v>85</v>
      </c>
      <c r="AN20" s="87">
        <v>85</v>
      </c>
      <c r="AO20" s="87">
        <v>104</v>
      </c>
      <c r="AP20" s="87">
        <v>104</v>
      </c>
    </row>
    <row r="21" spans="2:42" x14ac:dyDescent="0.3">
      <c r="B21" s="18"/>
      <c r="C21" s="41" t="str">
        <f t="shared" ref="C21:C28" si="7">Z21</f>
        <v xml:space="preserve">Wonderwoods Boeri </v>
      </c>
      <c r="D21" s="105">
        <f t="shared" ref="D21:D27" si="8">AH21</f>
        <v>1681</v>
      </c>
      <c r="E21" s="52">
        <f t="shared" ref="E21:E36" si="9">$E$20</f>
        <v>110</v>
      </c>
      <c r="F21" s="48">
        <f t="shared" si="0"/>
        <v>4</v>
      </c>
      <c r="G21" s="80">
        <f t="shared" ref="G21:G27" si="10">(D21/E21)/F21</f>
        <v>3.8204545454545453</v>
      </c>
      <c r="H21" s="46" t="s">
        <v>37</v>
      </c>
      <c r="I21" s="44">
        <v>2</v>
      </c>
      <c r="K21" s="64">
        <f t="shared" si="1"/>
        <v>4.8000000000000007</v>
      </c>
      <c r="L21" s="39">
        <f t="shared" ref="L21:L36" si="11">IFERROR(IF(H21="Containeroptie 1 (zie regel 8)",$H$8,IF(H21="Containeroptie 2 (zie regel 9)",$H$9,""))," ")</f>
        <v>3000</v>
      </c>
      <c r="M21" s="66">
        <f t="shared" si="2"/>
        <v>6000</v>
      </c>
      <c r="N21" s="40">
        <f t="shared" si="3"/>
        <v>100</v>
      </c>
      <c r="O21" s="75">
        <f t="shared" si="4"/>
        <v>0.79592803030303017</v>
      </c>
      <c r="P21" s="72">
        <f t="shared" si="5"/>
        <v>83</v>
      </c>
      <c r="Q21" s="69">
        <f t="shared" si="6"/>
        <v>8300</v>
      </c>
      <c r="R21" s="8">
        <f t="shared" ref="R21:R27" si="12">IFERROR(Q21+M21,"")</f>
        <v>14300</v>
      </c>
      <c r="S21" s="18"/>
      <c r="Z21" s="41" t="s">
        <v>76</v>
      </c>
      <c r="AA21" s="48">
        <v>310</v>
      </c>
      <c r="AB21">
        <v>0</v>
      </c>
      <c r="AD21" s="87">
        <f t="shared" ref="AD21:AD28" si="13">AB21*$Z$42</f>
        <v>0</v>
      </c>
      <c r="AE21" s="87">
        <f t="shared" ref="AE21:AE28" si="14">AB21*$Z$43</f>
        <v>0</v>
      </c>
      <c r="AF21" s="87">
        <f t="shared" ref="AF21:AF28" si="15">AB21*$Z$44</f>
        <v>0</v>
      </c>
      <c r="AG21" s="90">
        <v>1681</v>
      </c>
      <c r="AH21" s="91">
        <f t="shared" ref="AH21:AH28" si="16">AG21+AD21</f>
        <v>1681</v>
      </c>
      <c r="AI21" s="92">
        <f t="shared" ref="AI21:AI28" si="17">AH21/AG21</f>
        <v>1</v>
      </c>
      <c r="AJ21" s="93">
        <v>43</v>
      </c>
      <c r="AK21">
        <f t="shared" ref="AK21:AK27" si="18">AH21/AJ21</f>
        <v>39.093023255813954</v>
      </c>
      <c r="AM21" s="87">
        <v>241</v>
      </c>
      <c r="AN21" s="87">
        <v>241</v>
      </c>
      <c r="AO21" s="87">
        <v>295</v>
      </c>
      <c r="AP21" s="87">
        <v>295</v>
      </c>
    </row>
    <row r="22" spans="2:42" x14ac:dyDescent="0.3">
      <c r="B22" s="18"/>
      <c r="C22" s="41" t="str">
        <f t="shared" si="7"/>
        <v>Bouwblok 1 a-b</v>
      </c>
      <c r="D22" s="105">
        <f t="shared" si="8"/>
        <v>2320.7167671364755</v>
      </c>
      <c r="E22" s="52">
        <f t="shared" si="9"/>
        <v>110</v>
      </c>
      <c r="F22" s="48">
        <f t="shared" si="0"/>
        <v>4</v>
      </c>
      <c r="G22" s="80">
        <f>(D22/E22)/F22</f>
        <v>5.2743562889465352</v>
      </c>
      <c r="H22" s="46" t="s">
        <v>37</v>
      </c>
      <c r="I22" s="44">
        <v>2</v>
      </c>
      <c r="K22" s="64">
        <f t="shared" si="1"/>
        <v>4.8000000000000007</v>
      </c>
      <c r="L22" s="39">
        <f t="shared" si="11"/>
        <v>3000</v>
      </c>
      <c r="M22" s="66">
        <f t="shared" si="2"/>
        <v>6000</v>
      </c>
      <c r="N22" s="40">
        <f t="shared" si="3"/>
        <v>100</v>
      </c>
      <c r="O22" s="75">
        <f t="shared" si="4"/>
        <v>1.0988242268638613</v>
      </c>
      <c r="P22" s="72">
        <f t="shared" si="5"/>
        <v>115</v>
      </c>
      <c r="Q22" s="69">
        <f>IFERROR(P22*N22,"")</f>
        <v>11500</v>
      </c>
      <c r="R22" s="8">
        <f t="shared" si="12"/>
        <v>17500</v>
      </c>
      <c r="S22" s="18"/>
      <c r="U22" t="s">
        <v>77</v>
      </c>
      <c r="Z22" s="2" t="s">
        <v>78</v>
      </c>
      <c r="AA22" s="48">
        <v>300</v>
      </c>
      <c r="AB22">
        <v>722</v>
      </c>
      <c r="AD22" s="87">
        <f>AB22*$Z$42</f>
        <v>259.94753636724437</v>
      </c>
      <c r="AE22" s="87">
        <f t="shared" si="14"/>
        <v>58.737854945766735</v>
      </c>
      <c r="AF22" s="87">
        <f t="shared" si="15"/>
        <v>18.760937600561324</v>
      </c>
      <c r="AG22" s="90">
        <v>2060.7692307692309</v>
      </c>
      <c r="AH22" s="91">
        <f t="shared" si="16"/>
        <v>2320.7167671364755</v>
      </c>
      <c r="AI22" s="92">
        <f t="shared" si="17"/>
        <v>1.1261410217534222</v>
      </c>
      <c r="AJ22" s="93">
        <v>93</v>
      </c>
      <c r="AK22">
        <f t="shared" si="18"/>
        <v>24.953943732650274</v>
      </c>
      <c r="AM22">
        <v>295.96153846153845</v>
      </c>
      <c r="AN22" s="87">
        <f t="shared" ref="AN22:AN28" si="19">AM22+AE22</f>
        <v>354.69939340730519</v>
      </c>
      <c r="AO22">
        <v>361.73076923076923</v>
      </c>
      <c r="AP22" s="87">
        <f t="shared" ref="AP22:AP28" si="20">AO22+AF22</f>
        <v>380.49170683133053</v>
      </c>
    </row>
    <row r="23" spans="2:42" x14ac:dyDescent="0.3">
      <c r="B23" s="18"/>
      <c r="C23" s="41" t="str">
        <f t="shared" si="7"/>
        <v>Bouwblok 1 a-g</v>
      </c>
      <c r="D23" s="106">
        <f>AH23</f>
        <v>7451.330480186607</v>
      </c>
      <c r="E23" s="52">
        <f t="shared" si="9"/>
        <v>110</v>
      </c>
      <c r="F23" s="48">
        <f t="shared" si="0"/>
        <v>4</v>
      </c>
      <c r="G23" s="80">
        <f>(D23/E23)/F23</f>
        <v>16.934842000424108</v>
      </c>
      <c r="H23" s="46" t="s">
        <v>37</v>
      </c>
      <c r="I23" s="44">
        <v>4</v>
      </c>
      <c r="K23" s="64">
        <f t="shared" si="1"/>
        <v>9.6000000000000014</v>
      </c>
      <c r="L23" s="39">
        <f t="shared" si="11"/>
        <v>3000</v>
      </c>
      <c r="M23" s="66">
        <f t="shared" si="2"/>
        <v>12000</v>
      </c>
      <c r="N23" s="40">
        <f t="shared" si="3"/>
        <v>100</v>
      </c>
      <c r="O23" s="75">
        <f t="shared" si="4"/>
        <v>1.7640460417108443</v>
      </c>
      <c r="P23" s="72">
        <f t="shared" si="5"/>
        <v>367</v>
      </c>
      <c r="Q23" s="69">
        <f>IFERROR(P23*N23,"")</f>
        <v>36700</v>
      </c>
      <c r="R23" s="8">
        <f>IFERROR(Q23+M23,"")</f>
        <v>48700</v>
      </c>
      <c r="S23" s="18"/>
      <c r="U23" s="1" t="s">
        <v>79</v>
      </c>
      <c r="V23" s="1" t="s">
        <v>80</v>
      </c>
      <c r="W23" s="1" t="s">
        <v>42</v>
      </c>
      <c r="X23" s="1" t="s">
        <v>81</v>
      </c>
      <c r="Y23" s="1" t="s">
        <v>82</v>
      </c>
      <c r="Z23" s="2" t="s">
        <v>83</v>
      </c>
      <c r="AA23" s="48">
        <v>694</v>
      </c>
      <c r="AB23">
        <v>7455</v>
      </c>
      <c r="AD23" s="87">
        <f t="shared" si="13"/>
        <v>2684.0843263404527</v>
      </c>
      <c r="AE23" s="87">
        <f t="shared" si="14"/>
        <v>606.49682634444741</v>
      </c>
      <c r="AF23" s="87">
        <f t="shared" si="15"/>
        <v>193.71577536313666</v>
      </c>
      <c r="AG23" s="90">
        <v>4767.2461538461539</v>
      </c>
      <c r="AH23" s="91">
        <f t="shared" si="16"/>
        <v>7451.330480186607</v>
      </c>
      <c r="AI23" s="92">
        <f t="shared" si="17"/>
        <v>1.5630261664116019</v>
      </c>
      <c r="AJ23" s="93">
        <v>74</v>
      </c>
      <c r="AK23">
        <f t="shared" si="18"/>
        <v>100.69365513765685</v>
      </c>
      <c r="AM23">
        <v>684.65769230769229</v>
      </c>
      <c r="AN23" s="87">
        <f t="shared" si="19"/>
        <v>1291.1545186521398</v>
      </c>
      <c r="AO23">
        <v>836.80384615384605</v>
      </c>
      <c r="AP23" s="87">
        <f t="shared" si="20"/>
        <v>1030.5196215169826</v>
      </c>
    </row>
    <row r="24" spans="2:42" x14ac:dyDescent="0.3">
      <c r="B24" s="18"/>
      <c r="C24" s="41" t="str">
        <f t="shared" si="7"/>
        <v xml:space="preserve">Bouwblok 2a </v>
      </c>
      <c r="D24" s="105">
        <f t="shared" si="8"/>
        <v>2775.491407440797</v>
      </c>
      <c r="E24" s="52">
        <f t="shared" si="9"/>
        <v>110</v>
      </c>
      <c r="F24" s="48">
        <f t="shared" si="0"/>
        <v>4</v>
      </c>
      <c r="G24" s="80">
        <f t="shared" si="10"/>
        <v>6.3079350169109025</v>
      </c>
      <c r="H24" s="46" t="s">
        <v>37</v>
      </c>
      <c r="I24" s="44">
        <v>2</v>
      </c>
      <c r="K24" s="64">
        <f t="shared" si="1"/>
        <v>4.8000000000000007</v>
      </c>
      <c r="L24" s="39">
        <f t="shared" si="11"/>
        <v>3000</v>
      </c>
      <c r="M24" s="66">
        <f t="shared" si="2"/>
        <v>6000</v>
      </c>
      <c r="N24" s="40">
        <f t="shared" si="3"/>
        <v>100</v>
      </c>
      <c r="O24" s="75">
        <f t="shared" si="4"/>
        <v>1.3141531285231045</v>
      </c>
      <c r="P24" s="72">
        <f t="shared" si="5"/>
        <v>137</v>
      </c>
      <c r="Q24" s="69">
        <f t="shared" si="6"/>
        <v>13700</v>
      </c>
      <c r="R24" s="8">
        <f t="shared" si="12"/>
        <v>19700</v>
      </c>
      <c r="S24" s="18"/>
      <c r="U24" s="77" t="s">
        <v>84</v>
      </c>
      <c r="V24" s="77"/>
      <c r="W24" s="77"/>
      <c r="X24" s="77"/>
      <c r="Y24" s="77"/>
      <c r="Z24" s="2" t="s">
        <v>85</v>
      </c>
      <c r="AA24" s="48">
        <v>289</v>
      </c>
      <c r="AB24" s="99">
        <v>2195</v>
      </c>
      <c r="AD24" s="87">
        <f t="shared" si="13"/>
        <v>790.28371513310447</v>
      </c>
      <c r="AE24" s="87">
        <f t="shared" si="14"/>
        <v>178.57284155949858</v>
      </c>
      <c r="AF24" s="87">
        <f t="shared" si="15"/>
        <v>57.036368467080479</v>
      </c>
      <c r="AG24" s="90">
        <v>1985.2076923076925</v>
      </c>
      <c r="AH24" s="91">
        <f t="shared" si="16"/>
        <v>2775.491407440797</v>
      </c>
      <c r="AI24" s="92">
        <f t="shared" si="17"/>
        <v>1.3980861640801141</v>
      </c>
      <c r="AJ24" s="93">
        <v>95</v>
      </c>
      <c r="AK24">
        <f t="shared" si="18"/>
        <v>29.215699025692601</v>
      </c>
      <c r="AM24">
        <v>285.10961538461538</v>
      </c>
      <c r="AN24" s="87">
        <f t="shared" si="19"/>
        <v>463.68245694411394</v>
      </c>
      <c r="AO24">
        <v>348.46730769230766</v>
      </c>
      <c r="AP24" s="87">
        <f t="shared" si="20"/>
        <v>405.50367615938814</v>
      </c>
    </row>
    <row r="25" spans="2:42" x14ac:dyDescent="0.3">
      <c r="B25" s="18"/>
      <c r="C25" s="41" t="str">
        <f t="shared" si="7"/>
        <v>Bouwblok 3 School + sporthal</v>
      </c>
      <c r="D25" s="106">
        <f t="shared" si="8"/>
        <v>6600.1746259126912</v>
      </c>
      <c r="E25" s="52">
        <f t="shared" si="9"/>
        <v>110</v>
      </c>
      <c r="F25" s="48">
        <f t="shared" si="0"/>
        <v>4</v>
      </c>
      <c r="G25" s="80">
        <f>(D25/E25)/F25</f>
        <v>15.000396877074298</v>
      </c>
      <c r="H25" s="46" t="s">
        <v>37</v>
      </c>
      <c r="I25" s="44">
        <v>4</v>
      </c>
      <c r="K25" s="64">
        <f t="shared" si="1"/>
        <v>9.6000000000000014</v>
      </c>
      <c r="L25" s="39">
        <f t="shared" si="11"/>
        <v>3000</v>
      </c>
      <c r="M25" s="66">
        <f t="shared" si="2"/>
        <v>12000</v>
      </c>
      <c r="N25" s="40">
        <f t="shared" si="3"/>
        <v>100</v>
      </c>
      <c r="O25" s="75">
        <f t="shared" si="4"/>
        <v>1.5625413413619058</v>
      </c>
      <c r="P25" s="72">
        <f t="shared" si="5"/>
        <v>326</v>
      </c>
      <c r="Q25" s="69">
        <f>IFERROR(P25*N25,"")</f>
        <v>32600</v>
      </c>
      <c r="R25" s="8">
        <f>IFERROR(Q25+M25,"")</f>
        <v>44600</v>
      </c>
      <c r="S25" s="18"/>
      <c r="U25" t="s">
        <v>86</v>
      </c>
      <c r="V25" t="s">
        <v>87</v>
      </c>
      <c r="W25">
        <v>3</v>
      </c>
      <c r="X25">
        <v>360</v>
      </c>
      <c r="Y25" s="42" t="s">
        <v>88</v>
      </c>
      <c r="Z25" s="2" t="s">
        <v>89</v>
      </c>
      <c r="AA25" s="48">
        <v>150</v>
      </c>
      <c r="AB25">
        <f>12446+3024</f>
        <v>15470</v>
      </c>
      <c r="AD25" s="87">
        <f t="shared" si="13"/>
        <v>5569.790010528076</v>
      </c>
      <c r="AE25" s="87">
        <f t="shared" si="14"/>
        <v>1258.552099738243</v>
      </c>
      <c r="AF25" s="87">
        <f t="shared" si="15"/>
        <v>401.98297047186105</v>
      </c>
      <c r="AG25" s="90">
        <v>1030.3846153846155</v>
      </c>
      <c r="AH25" s="91">
        <f t="shared" si="16"/>
        <v>6600.1746259126912</v>
      </c>
      <c r="AI25" s="92">
        <f t="shared" si="17"/>
        <v>6.4055446164139589</v>
      </c>
      <c r="AJ25" s="102" t="s">
        <v>90</v>
      </c>
      <c r="AM25">
        <v>147.98076923076923</v>
      </c>
      <c r="AN25" s="87">
        <f t="shared" si="19"/>
        <v>1406.5328689690123</v>
      </c>
      <c r="AO25">
        <v>180.86538461538461</v>
      </c>
      <c r="AP25" s="87">
        <f t="shared" si="20"/>
        <v>582.84835508724564</v>
      </c>
    </row>
    <row r="26" spans="2:42" x14ac:dyDescent="0.3">
      <c r="B26" s="18"/>
      <c r="C26" s="41" t="str">
        <f t="shared" si="7"/>
        <v>Bouwblok 4 Bloom Zuid</v>
      </c>
      <c r="D26" s="105">
        <f t="shared" si="8"/>
        <v>2718.9821980335837</v>
      </c>
      <c r="E26" s="52">
        <f t="shared" si="9"/>
        <v>110</v>
      </c>
      <c r="F26" s="48">
        <v>4</v>
      </c>
      <c r="G26" s="80">
        <f t="shared" si="10"/>
        <v>6.1795049955308716</v>
      </c>
      <c r="H26" s="46" t="s">
        <v>37</v>
      </c>
      <c r="I26" s="44">
        <v>2</v>
      </c>
      <c r="K26" s="64">
        <f t="shared" si="1"/>
        <v>4.8000000000000007</v>
      </c>
      <c r="L26" s="39">
        <f t="shared" si="11"/>
        <v>3000</v>
      </c>
      <c r="M26" s="66">
        <f t="shared" si="2"/>
        <v>6000</v>
      </c>
      <c r="N26" s="40">
        <f t="shared" si="3"/>
        <v>100</v>
      </c>
      <c r="O26" s="75">
        <f t="shared" si="4"/>
        <v>1.2873968740689314</v>
      </c>
      <c r="P26" s="72">
        <f t="shared" si="5"/>
        <v>134</v>
      </c>
      <c r="Q26" s="69">
        <f t="shared" si="6"/>
        <v>13400</v>
      </c>
      <c r="R26" s="8">
        <f t="shared" si="12"/>
        <v>19400</v>
      </c>
      <c r="S26" s="18"/>
      <c r="U26" t="s">
        <v>91</v>
      </c>
      <c r="V26" t="s">
        <v>92</v>
      </c>
      <c r="W26">
        <v>1</v>
      </c>
      <c r="X26">
        <v>300</v>
      </c>
      <c r="Y26" s="42" t="s">
        <v>88</v>
      </c>
      <c r="Z26" s="2" t="s">
        <v>93</v>
      </c>
      <c r="AA26" s="48">
        <v>378</v>
      </c>
      <c r="AB26">
        <v>340</v>
      </c>
      <c r="AD26" s="87">
        <f t="shared" si="13"/>
        <v>122.41296726435331</v>
      </c>
      <c r="AE26" s="87">
        <f t="shared" si="14"/>
        <v>27.660485708532811</v>
      </c>
      <c r="AF26" s="87">
        <f t="shared" si="15"/>
        <v>8.8347905598211209</v>
      </c>
      <c r="AG26" s="90">
        <v>2596.5692307692302</v>
      </c>
      <c r="AH26" s="91">
        <f t="shared" si="16"/>
        <v>2718.9821980335837</v>
      </c>
      <c r="AI26" s="92">
        <f t="shared" si="17"/>
        <v>1.047144118405843</v>
      </c>
      <c r="AJ26" s="93">
        <v>68</v>
      </c>
      <c r="AK26">
        <f t="shared" si="18"/>
        <v>39.985032324023287</v>
      </c>
      <c r="AM26">
        <v>372.91153846153844</v>
      </c>
      <c r="AN26" s="87">
        <f t="shared" si="19"/>
        <v>400.57202417007124</v>
      </c>
      <c r="AO26">
        <v>455.78076923076918</v>
      </c>
      <c r="AP26" s="87">
        <f t="shared" si="20"/>
        <v>464.61555979059028</v>
      </c>
    </row>
    <row r="27" spans="2:42" x14ac:dyDescent="0.3">
      <c r="B27" s="18"/>
      <c r="C27" s="41" t="str">
        <f t="shared" si="7"/>
        <v xml:space="preserve">Bouwblok 5 Bloom Zuid </v>
      </c>
      <c r="D27" s="105">
        <f t="shared" si="8"/>
        <v>2207.6405899903193</v>
      </c>
      <c r="E27" s="52">
        <f t="shared" si="9"/>
        <v>110</v>
      </c>
      <c r="F27" s="48">
        <f>$W$27</f>
        <v>4</v>
      </c>
      <c r="G27" s="80">
        <f t="shared" si="10"/>
        <v>5.0173649772507254</v>
      </c>
      <c r="H27" s="46" t="s">
        <v>37</v>
      </c>
      <c r="I27" s="44">
        <v>2</v>
      </c>
      <c r="K27" s="64">
        <f t="shared" si="1"/>
        <v>4.8000000000000007</v>
      </c>
      <c r="L27" s="39">
        <f t="shared" si="11"/>
        <v>3000</v>
      </c>
      <c r="M27" s="66">
        <f t="shared" si="2"/>
        <v>6000</v>
      </c>
      <c r="N27" s="40">
        <f t="shared" si="3"/>
        <v>100</v>
      </c>
      <c r="O27" s="75">
        <f t="shared" si="4"/>
        <v>1.0452843702605676</v>
      </c>
      <c r="P27" s="72">
        <f t="shared" si="5"/>
        <v>109</v>
      </c>
      <c r="Q27" s="69">
        <f t="shared" si="6"/>
        <v>10900</v>
      </c>
      <c r="R27" s="8">
        <f t="shared" si="12"/>
        <v>16900</v>
      </c>
      <c r="S27" s="18"/>
      <c r="U27" t="s">
        <v>94</v>
      </c>
      <c r="V27" s="51" t="s">
        <v>95</v>
      </c>
      <c r="W27">
        <v>4</v>
      </c>
      <c r="X27">
        <v>440</v>
      </c>
      <c r="Y27" s="42" t="s">
        <v>88</v>
      </c>
      <c r="Z27" s="2" t="s">
        <v>96</v>
      </c>
      <c r="AA27" s="48">
        <v>236</v>
      </c>
      <c r="AB27">
        <v>1629</v>
      </c>
      <c r="AD27" s="87">
        <f t="shared" si="13"/>
        <v>586.50212845185752</v>
      </c>
      <c r="AE27" s="87">
        <f t="shared" si="14"/>
        <v>132.52626829176455</v>
      </c>
      <c r="AF27" s="87">
        <f t="shared" si="15"/>
        <v>42.32904065279002</v>
      </c>
      <c r="AG27" s="90">
        <v>1621.1384615384616</v>
      </c>
      <c r="AH27" s="91">
        <f t="shared" si="16"/>
        <v>2207.6405899903193</v>
      </c>
      <c r="AI27" s="92">
        <f t="shared" si="17"/>
        <v>1.3617841056557667</v>
      </c>
      <c r="AJ27" s="93">
        <v>65</v>
      </c>
      <c r="AK27">
        <f t="shared" si="18"/>
        <v>33.963701384466454</v>
      </c>
      <c r="AM27">
        <v>232.82307692307691</v>
      </c>
      <c r="AN27" s="87">
        <f t="shared" si="19"/>
        <v>365.34934521484149</v>
      </c>
      <c r="AO27">
        <v>284.56153846153842</v>
      </c>
      <c r="AP27" s="87">
        <f t="shared" si="20"/>
        <v>326.89057911432843</v>
      </c>
    </row>
    <row r="28" spans="2:42" x14ac:dyDescent="0.3">
      <c r="B28" s="18"/>
      <c r="C28" s="41" t="str">
        <f t="shared" si="7"/>
        <v>Bouwblok 7</v>
      </c>
      <c r="D28" s="105">
        <f t="shared" ref="D28:D36" si="21">AH28</f>
        <v>4083.4064834871865</v>
      </c>
      <c r="E28" s="52">
        <f t="shared" si="9"/>
        <v>110</v>
      </c>
      <c r="F28" s="48">
        <f>$W$27</f>
        <v>4</v>
      </c>
      <c r="G28" s="80">
        <f t="shared" ref="G28:G36" si="22">(D28/E28)/F28</f>
        <v>9.2804692806526958</v>
      </c>
      <c r="H28" s="46" t="s">
        <v>37</v>
      </c>
      <c r="I28" s="44">
        <v>2</v>
      </c>
      <c r="K28" s="64">
        <f t="shared" si="1"/>
        <v>4.8000000000000007</v>
      </c>
      <c r="L28" s="39">
        <f t="shared" si="11"/>
        <v>3000</v>
      </c>
      <c r="M28" s="66">
        <f t="shared" si="2"/>
        <v>6000</v>
      </c>
      <c r="N28" s="40">
        <f t="shared" si="3"/>
        <v>100</v>
      </c>
      <c r="O28" s="75">
        <f t="shared" si="4"/>
        <v>1.9334311001359781</v>
      </c>
      <c r="P28" s="72">
        <f t="shared" si="5"/>
        <v>202</v>
      </c>
      <c r="Q28" s="69">
        <f>IFERROR(P28*N28,"")</f>
        <v>20200</v>
      </c>
      <c r="R28" s="8">
        <f>IFERROR(Q28+M28,"")</f>
        <v>26200</v>
      </c>
      <c r="S28" s="18"/>
      <c r="Z28" s="2" t="s">
        <v>97</v>
      </c>
      <c r="AA28" s="48">
        <f>128+170</f>
        <v>298</v>
      </c>
      <c r="AB28">
        <f>375+5281</f>
        <v>5656</v>
      </c>
      <c r="AC28" t="s">
        <v>98</v>
      </c>
      <c r="AD28" s="87">
        <f t="shared" si="13"/>
        <v>2036.3757142564186</v>
      </c>
      <c r="AE28" s="87">
        <f t="shared" si="14"/>
        <v>460.14031519841643</v>
      </c>
      <c r="AF28" s="87">
        <f t="shared" si="15"/>
        <v>146.96933943043607</v>
      </c>
      <c r="AG28" s="90">
        <f>879.261538461538+1167.76923076923</f>
        <v>2047.0307692307679</v>
      </c>
      <c r="AH28" s="91">
        <f t="shared" si="16"/>
        <v>4083.4064834871865</v>
      </c>
      <c r="AI28" s="92">
        <f t="shared" si="17"/>
        <v>1.9947948730744516</v>
      </c>
      <c r="AJ28" s="102" t="s">
        <v>90</v>
      </c>
      <c r="AM28">
        <f>126.276923076923+167.711538461538</f>
        <v>293.98846153846102</v>
      </c>
      <c r="AN28" s="87">
        <f t="shared" si="19"/>
        <v>754.1287767368774</v>
      </c>
      <c r="AO28">
        <f>154.338461538462+204.980769230769</f>
        <v>359.31923076923101</v>
      </c>
      <c r="AP28" s="87">
        <f t="shared" si="20"/>
        <v>506.28857019966711</v>
      </c>
    </row>
    <row r="29" spans="2:42" x14ac:dyDescent="0.3">
      <c r="B29" s="18"/>
      <c r="C29" s="41" t="str">
        <f t="shared" ref="C29:C36" si="23">Z29</f>
        <v xml:space="preserve">Bouwblok 8 Grow </v>
      </c>
      <c r="D29" s="106">
        <f t="shared" si="21"/>
        <v>6602.5687005540312</v>
      </c>
      <c r="E29" s="52">
        <f t="shared" si="9"/>
        <v>110</v>
      </c>
      <c r="F29" s="48">
        <f t="shared" ref="F29" si="24">$W$27</f>
        <v>4</v>
      </c>
      <c r="G29" s="80">
        <f t="shared" si="22"/>
        <v>15.005837955804617</v>
      </c>
      <c r="H29" s="46" t="s">
        <v>37</v>
      </c>
      <c r="I29" s="44">
        <v>4</v>
      </c>
      <c r="K29" s="64">
        <f t="shared" si="1"/>
        <v>9.6000000000000014</v>
      </c>
      <c r="L29" s="39">
        <f t="shared" si="11"/>
        <v>3000</v>
      </c>
      <c r="M29" s="66">
        <f t="shared" si="2"/>
        <v>12000</v>
      </c>
      <c r="N29" s="40">
        <f t="shared" si="3"/>
        <v>100</v>
      </c>
      <c r="O29" s="75">
        <f t="shared" si="4"/>
        <v>1.563108120396314</v>
      </c>
      <c r="P29" s="72">
        <f t="shared" si="5"/>
        <v>326</v>
      </c>
      <c r="Q29" s="69">
        <f t="shared" ref="Q29" si="25">IFERROR(P29*N29,"")</f>
        <v>32600</v>
      </c>
      <c r="R29" s="8">
        <f t="shared" ref="R29" si="26">IFERROR(Q29+M29,"")</f>
        <v>44600</v>
      </c>
      <c r="S29" s="18"/>
      <c r="U29" s="1" t="s">
        <v>99</v>
      </c>
      <c r="Z29" s="2" t="s">
        <v>100</v>
      </c>
      <c r="AA29" s="48">
        <v>575</v>
      </c>
      <c r="AB29">
        <v>7368</v>
      </c>
      <c r="AD29" s="87">
        <f t="shared" ref="AD29:AD36" si="27">AB29*$Z$42</f>
        <v>2652.7610082463389</v>
      </c>
      <c r="AE29" s="87">
        <f t="shared" ref="AE29:AE36" si="28">AB29*$Z$43</f>
        <v>599.41899617785225</v>
      </c>
      <c r="AF29" s="87">
        <f t="shared" ref="AF29:AF36" si="29">AB29*$Z$44</f>
        <v>191.45510836694712</v>
      </c>
      <c r="AG29" s="90">
        <v>3949.8076923076924</v>
      </c>
      <c r="AH29" s="91">
        <f t="shared" ref="AH29:AH36" si="30">AG29+AD29</f>
        <v>6602.5687005540312</v>
      </c>
      <c r="AI29" s="92">
        <f t="shared" ref="AI29:AI36" si="31">AH29/AG29</f>
        <v>1.6716177634198823</v>
      </c>
      <c r="AJ29" s="93">
        <v>160</v>
      </c>
      <c r="AK29">
        <f t="shared" ref="AK29:AK36" si="32">AH29/AJ29</f>
        <v>41.266054378462698</v>
      </c>
      <c r="AM29">
        <v>567.25961538461536</v>
      </c>
      <c r="AN29" s="87">
        <f t="shared" ref="AN29:AN36" si="33">AM29+AE29</f>
        <v>1166.6786115624677</v>
      </c>
      <c r="AO29">
        <v>693.31730769230774</v>
      </c>
      <c r="AP29" s="87">
        <f t="shared" ref="AP29:AP36" si="34">AO29+AF29</f>
        <v>884.77241605925485</v>
      </c>
    </row>
    <row r="30" spans="2:42" x14ac:dyDescent="0.3">
      <c r="B30" s="18"/>
      <c r="C30" s="41" t="str">
        <f t="shared" si="23"/>
        <v>Bouwblok 9 Joy</v>
      </c>
      <c r="D30" s="105">
        <f t="shared" si="21"/>
        <v>1277.5312739904991</v>
      </c>
      <c r="E30" s="52">
        <f t="shared" si="9"/>
        <v>110</v>
      </c>
      <c r="F30" s="48">
        <f t="shared" ref="F30:F36" si="35">$W$27</f>
        <v>4</v>
      </c>
      <c r="G30" s="80">
        <f t="shared" si="22"/>
        <v>2.9034801681602254</v>
      </c>
      <c r="H30" s="46" t="s">
        <v>37</v>
      </c>
      <c r="I30" s="44">
        <v>2</v>
      </c>
      <c r="K30" s="64">
        <f t="shared" si="1"/>
        <v>4.8000000000000007</v>
      </c>
      <c r="L30" s="39">
        <f t="shared" si="11"/>
        <v>3000</v>
      </c>
      <c r="M30" s="66">
        <f t="shared" si="2"/>
        <v>6000</v>
      </c>
      <c r="N30" s="40">
        <f t="shared" si="3"/>
        <v>100</v>
      </c>
      <c r="O30" s="75">
        <f t="shared" si="4"/>
        <v>0.60489170170004691</v>
      </c>
      <c r="P30" s="72">
        <f t="shared" si="5"/>
        <v>63</v>
      </c>
      <c r="Q30" s="69">
        <f t="shared" ref="Q30:Q36" si="36">IFERROR(P30*N30,"")</f>
        <v>6300</v>
      </c>
      <c r="R30" s="8">
        <f t="shared" ref="R30:R36" si="37">IFERROR(Q30+M30,"")</f>
        <v>12300</v>
      </c>
      <c r="S30" s="18"/>
      <c r="U30">
        <v>1</v>
      </c>
      <c r="Z30" s="2" t="s">
        <v>101</v>
      </c>
      <c r="AA30" s="48">
        <v>143</v>
      </c>
      <c r="AB30">
        <v>820</v>
      </c>
      <c r="AD30" s="87">
        <f t="shared" si="27"/>
        <v>295.23127399049918</v>
      </c>
      <c r="AE30" s="87">
        <f t="shared" si="28"/>
        <v>66.710583179402661</v>
      </c>
      <c r="AF30" s="87">
        <f t="shared" si="29"/>
        <v>21.307436056039176</v>
      </c>
      <c r="AG30" s="90">
        <v>982.3</v>
      </c>
      <c r="AH30" s="91">
        <f t="shared" si="30"/>
        <v>1277.5312739904991</v>
      </c>
      <c r="AI30" s="92">
        <f t="shared" si="31"/>
        <v>1.3005510271714336</v>
      </c>
      <c r="AJ30" s="93">
        <v>62</v>
      </c>
      <c r="AK30">
        <f t="shared" si="32"/>
        <v>20.605343128879017</v>
      </c>
      <c r="AM30">
        <v>141.07499999999999</v>
      </c>
      <c r="AN30" s="87">
        <f t="shared" si="33"/>
        <v>207.78558317940264</v>
      </c>
      <c r="AO30">
        <v>172.42500000000001</v>
      </c>
      <c r="AP30" s="87">
        <f t="shared" si="34"/>
        <v>193.73243605603918</v>
      </c>
    </row>
    <row r="31" spans="2:42" x14ac:dyDescent="0.3">
      <c r="B31" s="18"/>
      <c r="C31" s="41" t="str">
        <f t="shared" si="23"/>
        <v>Bouwblok 10 Pulse</v>
      </c>
      <c r="D31" s="105">
        <f t="shared" si="21"/>
        <v>1449.4076923076923</v>
      </c>
      <c r="E31" s="52">
        <f t="shared" si="9"/>
        <v>110</v>
      </c>
      <c r="F31" s="48">
        <f t="shared" si="35"/>
        <v>4</v>
      </c>
      <c r="G31" s="80">
        <f t="shared" si="22"/>
        <v>3.2941083916083915</v>
      </c>
      <c r="H31" s="46" t="s">
        <v>37</v>
      </c>
      <c r="I31" s="44">
        <v>1</v>
      </c>
      <c r="K31" s="64">
        <f t="shared" si="1"/>
        <v>2.4000000000000004</v>
      </c>
      <c r="L31" s="39">
        <f t="shared" si="11"/>
        <v>3000</v>
      </c>
      <c r="M31" s="66">
        <f t="shared" si="2"/>
        <v>3000</v>
      </c>
      <c r="N31" s="40">
        <f t="shared" si="3"/>
        <v>100</v>
      </c>
      <c r="O31" s="75">
        <f t="shared" si="4"/>
        <v>1.3725451631701628</v>
      </c>
      <c r="P31" s="72">
        <f t="shared" si="5"/>
        <v>72</v>
      </c>
      <c r="Q31" s="69">
        <f t="shared" si="36"/>
        <v>7200</v>
      </c>
      <c r="R31" s="8">
        <f t="shared" si="37"/>
        <v>10200</v>
      </c>
      <c r="S31" s="18"/>
      <c r="U31">
        <v>2</v>
      </c>
      <c r="Z31" s="2" t="s">
        <v>102</v>
      </c>
      <c r="AA31" s="48">
        <v>211</v>
      </c>
      <c r="AB31">
        <v>0</v>
      </c>
      <c r="AD31" s="87">
        <f t="shared" si="27"/>
        <v>0</v>
      </c>
      <c r="AE31" s="87">
        <f t="shared" si="28"/>
        <v>0</v>
      </c>
      <c r="AF31" s="87">
        <f t="shared" si="29"/>
        <v>0</v>
      </c>
      <c r="AG31" s="90">
        <v>1449.4076923076923</v>
      </c>
      <c r="AH31" s="91">
        <f t="shared" si="30"/>
        <v>1449.4076923076923</v>
      </c>
      <c r="AI31" s="92">
        <f t="shared" si="31"/>
        <v>1</v>
      </c>
      <c r="AJ31" s="93">
        <v>70</v>
      </c>
      <c r="AK31">
        <f t="shared" si="32"/>
        <v>20.705824175824176</v>
      </c>
      <c r="AM31">
        <v>208.15961538461536</v>
      </c>
      <c r="AN31" s="87">
        <f t="shared" si="33"/>
        <v>208.15961538461536</v>
      </c>
      <c r="AO31">
        <v>254.41730769230767</v>
      </c>
      <c r="AP31" s="87">
        <f t="shared" si="34"/>
        <v>254.41730769230767</v>
      </c>
    </row>
    <row r="32" spans="2:42" x14ac:dyDescent="0.3">
      <c r="B32" s="18"/>
      <c r="C32" s="41" t="str">
        <f t="shared" si="23"/>
        <v>Bouwblok 11</v>
      </c>
      <c r="D32" s="105">
        <f t="shared" si="21"/>
        <v>3827.0823438208417</v>
      </c>
      <c r="E32" s="52">
        <f t="shared" si="9"/>
        <v>110</v>
      </c>
      <c r="F32" s="48">
        <f t="shared" si="35"/>
        <v>4</v>
      </c>
      <c r="G32" s="80">
        <f t="shared" si="22"/>
        <v>8.6979144177746406</v>
      </c>
      <c r="H32" s="46" t="s">
        <v>37</v>
      </c>
      <c r="I32" s="44">
        <v>2</v>
      </c>
      <c r="K32" s="64">
        <f t="shared" si="1"/>
        <v>4.8000000000000007</v>
      </c>
      <c r="L32" s="39">
        <f t="shared" si="11"/>
        <v>3000</v>
      </c>
      <c r="M32" s="66">
        <f t="shared" si="2"/>
        <v>6000</v>
      </c>
      <c r="N32" s="40">
        <f t="shared" si="3"/>
        <v>100</v>
      </c>
      <c r="O32" s="75">
        <f t="shared" si="4"/>
        <v>1.8120655037030498</v>
      </c>
      <c r="P32" s="72">
        <f t="shared" si="5"/>
        <v>189</v>
      </c>
      <c r="Q32" s="69">
        <f t="shared" si="36"/>
        <v>18900</v>
      </c>
      <c r="R32" s="8">
        <f t="shared" si="37"/>
        <v>24900</v>
      </c>
      <c r="S32" s="18"/>
      <c r="U32">
        <v>3</v>
      </c>
      <c r="Z32" s="2" t="s">
        <v>103</v>
      </c>
      <c r="AA32" s="48">
        <v>463</v>
      </c>
      <c r="AB32">
        <v>1796</v>
      </c>
      <c r="AD32" s="87">
        <f t="shared" si="27"/>
        <v>646.62849766699571</v>
      </c>
      <c r="AE32" s="87">
        <f t="shared" si="28"/>
        <v>146.11244803683803</v>
      </c>
      <c r="AF32" s="87">
        <f t="shared" si="29"/>
        <v>46.668481898349221</v>
      </c>
      <c r="AG32" s="90">
        <v>3180.4538461538459</v>
      </c>
      <c r="AH32" s="91">
        <f t="shared" si="30"/>
        <v>3827.0823438208417</v>
      </c>
      <c r="AI32" s="92">
        <f t="shared" si="31"/>
        <v>1.2033132782130984</v>
      </c>
      <c r="AJ32" s="93">
        <v>161</v>
      </c>
      <c r="AK32">
        <f t="shared" si="32"/>
        <v>23.770697787707093</v>
      </c>
      <c r="AM32">
        <v>456.76730769230767</v>
      </c>
      <c r="AN32" s="87">
        <f t="shared" si="33"/>
        <v>602.8797557291457</v>
      </c>
      <c r="AO32">
        <v>558.27115384615377</v>
      </c>
      <c r="AP32" s="87">
        <f t="shared" si="34"/>
        <v>604.93963574450299</v>
      </c>
    </row>
    <row r="33" spans="2:42" x14ac:dyDescent="0.3">
      <c r="B33" s="18"/>
      <c r="C33" s="41" t="str">
        <f t="shared" si="23"/>
        <v>Bouwblok 12 a Bloom Park</v>
      </c>
      <c r="D33" s="105">
        <f t="shared" si="21"/>
        <v>2703.4310720141125</v>
      </c>
      <c r="E33" s="52">
        <f t="shared" si="9"/>
        <v>110</v>
      </c>
      <c r="F33" s="48">
        <f t="shared" si="35"/>
        <v>4</v>
      </c>
      <c r="G33" s="80">
        <f t="shared" si="22"/>
        <v>6.1441615273048011</v>
      </c>
      <c r="H33" s="46" t="s">
        <v>37</v>
      </c>
      <c r="I33" s="44">
        <v>2</v>
      </c>
      <c r="K33" s="64">
        <f t="shared" si="1"/>
        <v>4.8000000000000007</v>
      </c>
      <c r="L33" s="39">
        <f t="shared" si="11"/>
        <v>3000</v>
      </c>
      <c r="M33" s="66">
        <f t="shared" si="2"/>
        <v>6000</v>
      </c>
      <c r="N33" s="40">
        <f t="shared" si="3"/>
        <v>100</v>
      </c>
      <c r="O33" s="75">
        <f t="shared" si="4"/>
        <v>1.2800336515218333</v>
      </c>
      <c r="P33" s="72">
        <f t="shared" si="5"/>
        <v>134</v>
      </c>
      <c r="Q33" s="69">
        <f t="shared" si="36"/>
        <v>13400</v>
      </c>
      <c r="R33" s="8">
        <f t="shared" si="37"/>
        <v>19400</v>
      </c>
      <c r="S33" s="18"/>
      <c r="U33">
        <v>4</v>
      </c>
      <c r="Y33" s="42"/>
      <c r="Z33" s="2" t="s">
        <v>104</v>
      </c>
      <c r="AA33" s="48">
        <v>224</v>
      </c>
      <c r="AB33">
        <v>3235</v>
      </c>
      <c r="AD33" s="87">
        <f t="shared" si="27"/>
        <v>1164.7233797064205</v>
      </c>
      <c r="AE33" s="87">
        <f t="shared" si="28"/>
        <v>263.18138607971662</v>
      </c>
      <c r="AF33" s="87">
        <f t="shared" si="29"/>
        <v>84.060433708886265</v>
      </c>
      <c r="AG33" s="90">
        <v>1538.707692307692</v>
      </c>
      <c r="AH33" s="91">
        <f t="shared" si="30"/>
        <v>2703.4310720141125</v>
      </c>
      <c r="AI33" s="92">
        <f t="shared" si="31"/>
        <v>1.7569490849555807</v>
      </c>
      <c r="AJ33" s="93">
        <v>67</v>
      </c>
      <c r="AK33">
        <f t="shared" si="32"/>
        <v>40.349717492747949</v>
      </c>
      <c r="AM33">
        <v>220.98461538461535</v>
      </c>
      <c r="AN33" s="87">
        <f t="shared" si="33"/>
        <v>484.166001464332</v>
      </c>
      <c r="AO33">
        <v>270.09230769230766</v>
      </c>
      <c r="AP33" s="87">
        <f t="shared" si="34"/>
        <v>354.15274140119391</v>
      </c>
    </row>
    <row r="34" spans="2:42" x14ac:dyDescent="0.3">
      <c r="B34" s="18"/>
      <c r="C34" s="41" t="str">
        <f t="shared" si="23"/>
        <v>Bouwblok 13 Cix City</v>
      </c>
      <c r="D34" s="105">
        <f t="shared" si="21"/>
        <v>4098.5280853257254</v>
      </c>
      <c r="E34" s="52">
        <f t="shared" si="9"/>
        <v>110</v>
      </c>
      <c r="F34" s="48">
        <f t="shared" si="35"/>
        <v>4</v>
      </c>
      <c r="G34" s="80">
        <f t="shared" si="22"/>
        <v>9.3148365575584666</v>
      </c>
      <c r="H34" s="46" t="s">
        <v>37</v>
      </c>
      <c r="I34" s="44">
        <v>2</v>
      </c>
      <c r="K34" s="64">
        <f t="shared" si="1"/>
        <v>4.8000000000000007</v>
      </c>
      <c r="L34" s="39">
        <f t="shared" si="11"/>
        <v>3000</v>
      </c>
      <c r="M34" s="66">
        <f t="shared" si="2"/>
        <v>6000</v>
      </c>
      <c r="N34" s="40">
        <f t="shared" si="3"/>
        <v>100</v>
      </c>
      <c r="O34" s="75">
        <f t="shared" si="4"/>
        <v>1.9405909494913469</v>
      </c>
      <c r="P34" s="72">
        <f t="shared" si="5"/>
        <v>202</v>
      </c>
      <c r="Q34" s="69">
        <f t="shared" si="36"/>
        <v>20200</v>
      </c>
      <c r="R34" s="8">
        <f t="shared" si="37"/>
        <v>26200</v>
      </c>
      <c r="S34" s="18"/>
      <c r="U34">
        <v>5</v>
      </c>
      <c r="Z34" s="2" t="s">
        <v>105</v>
      </c>
      <c r="AA34" s="48">
        <v>298</v>
      </c>
      <c r="AB34">
        <v>5698</v>
      </c>
      <c r="AD34" s="87">
        <f t="shared" si="27"/>
        <v>2051.4973160949562</v>
      </c>
      <c r="AE34" s="87">
        <f t="shared" si="28"/>
        <v>463.55719872711751</v>
      </c>
      <c r="AF34" s="87">
        <f t="shared" si="29"/>
        <v>148.06069591135514</v>
      </c>
      <c r="AG34" s="90">
        <v>2047.030769230769</v>
      </c>
      <c r="AH34" s="91">
        <f t="shared" si="30"/>
        <v>4098.5280853257254</v>
      </c>
      <c r="AI34" s="92">
        <f t="shared" si="31"/>
        <v>2.0021819637160929</v>
      </c>
      <c r="AJ34" s="93">
        <v>80</v>
      </c>
      <c r="AK34">
        <f t="shared" si="32"/>
        <v>51.231601066571571</v>
      </c>
      <c r="AM34">
        <v>293.98846153846148</v>
      </c>
      <c r="AN34" s="87">
        <f t="shared" si="33"/>
        <v>757.54566026557904</v>
      </c>
      <c r="AO34">
        <v>359.31923076923073</v>
      </c>
      <c r="AP34" s="87">
        <f t="shared" si="34"/>
        <v>507.37992668058587</v>
      </c>
    </row>
    <row r="35" spans="2:42" x14ac:dyDescent="0.3">
      <c r="B35" s="18"/>
      <c r="C35" s="41" t="str">
        <f t="shared" si="23"/>
        <v>Bouwblok 14 Cix Theatre</v>
      </c>
      <c r="D35" s="105">
        <f t="shared" si="21"/>
        <v>1335.0307747989359</v>
      </c>
      <c r="E35" s="52">
        <f t="shared" si="9"/>
        <v>110</v>
      </c>
      <c r="F35" s="48">
        <f t="shared" si="35"/>
        <v>4</v>
      </c>
      <c r="G35" s="80">
        <f t="shared" si="22"/>
        <v>3.0341608518157632</v>
      </c>
      <c r="H35" s="46" t="s">
        <v>37</v>
      </c>
      <c r="I35" s="44">
        <v>1</v>
      </c>
      <c r="K35" s="64">
        <f t="shared" si="1"/>
        <v>2.4000000000000004</v>
      </c>
      <c r="L35" s="39">
        <f t="shared" si="11"/>
        <v>3000</v>
      </c>
      <c r="M35" s="66">
        <f t="shared" si="2"/>
        <v>3000</v>
      </c>
      <c r="N35" s="40">
        <f t="shared" si="3"/>
        <v>100</v>
      </c>
      <c r="O35" s="75">
        <f t="shared" si="4"/>
        <v>1.2642336882565679</v>
      </c>
      <c r="P35" s="72">
        <f t="shared" si="5"/>
        <v>66</v>
      </c>
      <c r="Q35" s="69">
        <f t="shared" si="36"/>
        <v>6600</v>
      </c>
      <c r="R35" s="8">
        <f t="shared" si="37"/>
        <v>9600</v>
      </c>
      <c r="S35" s="18"/>
      <c r="Z35" s="2" t="s">
        <v>106</v>
      </c>
      <c r="AA35" s="48">
        <v>114</v>
      </c>
      <c r="AB35">
        <v>1533</v>
      </c>
      <c r="AD35" s="87">
        <f t="shared" si="27"/>
        <v>551.93846710662831</v>
      </c>
      <c r="AE35" s="87">
        <f t="shared" si="28"/>
        <v>124.71624879759058</v>
      </c>
      <c r="AF35" s="87">
        <f t="shared" si="29"/>
        <v>39.834511553546406</v>
      </c>
      <c r="AG35" s="90">
        <v>783.0923076923076</v>
      </c>
      <c r="AH35" s="91">
        <f t="shared" si="30"/>
        <v>1335.0307747989359</v>
      </c>
      <c r="AI35" s="92">
        <f t="shared" si="31"/>
        <v>1.7048191658696459</v>
      </c>
      <c r="AJ35" s="93">
        <v>55</v>
      </c>
      <c r="AK35">
        <f t="shared" si="32"/>
        <v>24.273286814526106</v>
      </c>
      <c r="AM35">
        <v>112.46538461538461</v>
      </c>
      <c r="AN35" s="87">
        <f t="shared" si="33"/>
        <v>237.1816334129752</v>
      </c>
      <c r="AO35">
        <v>137.4576923076923</v>
      </c>
      <c r="AP35" s="87">
        <f t="shared" si="34"/>
        <v>177.2922038612387</v>
      </c>
    </row>
    <row r="36" spans="2:42" x14ac:dyDescent="0.3">
      <c r="B36" s="18"/>
      <c r="C36" s="78" t="str">
        <f t="shared" si="23"/>
        <v>Bouwblok 18 Depot</v>
      </c>
      <c r="D36" s="107">
        <f t="shared" si="21"/>
        <v>5327.4093661133211</v>
      </c>
      <c r="E36" s="53">
        <f t="shared" si="9"/>
        <v>110</v>
      </c>
      <c r="F36" s="49">
        <f t="shared" si="35"/>
        <v>4</v>
      </c>
      <c r="G36" s="81">
        <f t="shared" si="22"/>
        <v>12.107748559348456</v>
      </c>
      <c r="H36" s="46" t="s">
        <v>37</v>
      </c>
      <c r="I36" s="44">
        <v>3</v>
      </c>
      <c r="K36" s="65">
        <f t="shared" si="1"/>
        <v>7.2000000000000011</v>
      </c>
      <c r="L36" s="63">
        <f t="shared" si="11"/>
        <v>3000</v>
      </c>
      <c r="M36" s="67">
        <f t="shared" si="2"/>
        <v>9000</v>
      </c>
      <c r="N36" s="56">
        <f t="shared" si="3"/>
        <v>100</v>
      </c>
      <c r="O36" s="76">
        <f t="shared" si="4"/>
        <v>1.6816317443539521</v>
      </c>
      <c r="P36" s="73">
        <f t="shared" si="5"/>
        <v>263</v>
      </c>
      <c r="Q36" s="70">
        <f t="shared" si="36"/>
        <v>26300</v>
      </c>
      <c r="R36" s="83">
        <f t="shared" si="37"/>
        <v>35300</v>
      </c>
      <c r="S36" s="18"/>
      <c r="Y36" s="42"/>
      <c r="Z36" s="11" t="s">
        <v>145</v>
      </c>
      <c r="AA36" s="49">
        <v>10</v>
      </c>
      <c r="AB36" s="88">
        <v>14606</v>
      </c>
      <c r="AC36" s="88"/>
      <c r="AD36" s="89">
        <f t="shared" si="27"/>
        <v>5258.7170584210135</v>
      </c>
      <c r="AE36" s="89">
        <f t="shared" si="28"/>
        <v>1188.2619242906771</v>
      </c>
      <c r="AF36" s="89">
        <f t="shared" si="29"/>
        <v>379.53220857866853</v>
      </c>
      <c r="AG36" s="90">
        <v>68.692307692307693</v>
      </c>
      <c r="AH36" s="91">
        <f t="shared" si="30"/>
        <v>5327.4093661133211</v>
      </c>
      <c r="AI36" s="92">
        <f t="shared" si="31"/>
        <v>77.554671623150256</v>
      </c>
      <c r="AJ36" s="101">
        <v>53</v>
      </c>
      <c r="AK36">
        <f t="shared" si="32"/>
        <v>100.51715785119474</v>
      </c>
      <c r="AM36">
        <v>9.865384615384615</v>
      </c>
      <c r="AN36" s="87">
        <f t="shared" si="33"/>
        <v>1198.1273089060617</v>
      </c>
      <c r="AO36">
        <v>12.057692307692308</v>
      </c>
      <c r="AP36" s="87">
        <f t="shared" si="34"/>
        <v>391.58990088636085</v>
      </c>
    </row>
    <row r="37" spans="2:42" x14ac:dyDescent="0.3">
      <c r="B37" s="18"/>
      <c r="C37" s="2"/>
      <c r="D37" s="15">
        <f>SUM(D22:D36)</f>
        <v>54778.731861112821</v>
      </c>
      <c r="E37" s="43"/>
      <c r="G37" s="54">
        <f>SUM(G20:G36)</f>
        <v>129.66075422980188</v>
      </c>
      <c r="H37" s="15"/>
      <c r="L37" s="68" t="s">
        <v>107</v>
      </c>
      <c r="M37" s="66">
        <f>IF(COUNTBLANK(M20:M36)=0,SUM(M20:M36),"NIET COMPLEET")</f>
        <v>114000</v>
      </c>
      <c r="P37" s="71" t="s">
        <v>108</v>
      </c>
      <c r="Q37" s="69">
        <f>IF(COUNTBLANK(Q20:Q36)=0,SUM(Q20:Q36))</f>
        <v>281800</v>
      </c>
      <c r="R37" s="8">
        <f>IF(COUNTBLANK(R20:R36)=0,SUM(R20:R36))</f>
        <v>395800</v>
      </c>
      <c r="S37" s="18"/>
      <c r="Y37" s="42"/>
    </row>
    <row r="38" spans="2:42" x14ac:dyDescent="0.3">
      <c r="B38" s="18"/>
      <c r="E38" s="10"/>
      <c r="K38" s="10"/>
      <c r="L38" s="10"/>
      <c r="M38" s="10"/>
      <c r="N38" s="10"/>
      <c r="O38" s="10"/>
      <c r="P38" s="10"/>
      <c r="Q38" s="10"/>
      <c r="R38" s="10"/>
      <c r="S38" s="18"/>
    </row>
    <row r="39" spans="2:42" ht="6" customHeight="1" x14ac:dyDescent="0.3">
      <c r="B39" s="18"/>
      <c r="C39" s="6"/>
      <c r="D39" s="6"/>
      <c r="E39" s="6"/>
      <c r="F39" s="6"/>
      <c r="G39" s="6"/>
      <c r="H39" s="6"/>
      <c r="I39" s="6"/>
      <c r="K39" s="6"/>
      <c r="L39" s="6"/>
      <c r="M39" s="6"/>
      <c r="N39" s="6"/>
      <c r="O39" s="6"/>
      <c r="P39" s="6"/>
      <c r="Q39" s="6"/>
      <c r="R39" s="6"/>
      <c r="S39" s="18"/>
    </row>
    <row r="40" spans="2:42" ht="18.75" customHeight="1" x14ac:dyDescent="0.3">
      <c r="B40" s="18"/>
      <c r="C40" s="1" t="s">
        <v>39</v>
      </c>
      <c r="D40" s="14" t="s">
        <v>109</v>
      </c>
      <c r="E40" s="14" t="s">
        <v>41</v>
      </c>
      <c r="F40" s="14" t="s">
        <v>42</v>
      </c>
      <c r="G40" s="14" t="s">
        <v>43</v>
      </c>
      <c r="H40" s="14" t="s">
        <v>44</v>
      </c>
      <c r="I40" s="14" t="s">
        <v>45</v>
      </c>
      <c r="K40" s="14" t="s">
        <v>46</v>
      </c>
      <c r="L40" s="14" t="s">
        <v>47</v>
      </c>
      <c r="M40" s="14" t="s">
        <v>48</v>
      </c>
      <c r="N40" s="14" t="s">
        <v>49</v>
      </c>
      <c r="O40" s="14" t="s">
        <v>50</v>
      </c>
      <c r="P40" s="14" t="s">
        <v>51</v>
      </c>
      <c r="Q40" s="14" t="s">
        <v>52</v>
      </c>
      <c r="R40" s="14" t="s">
        <v>53</v>
      </c>
      <c r="S40" s="18"/>
    </row>
    <row r="41" spans="2:42" ht="30" customHeight="1" x14ac:dyDescent="0.45">
      <c r="B41" s="18"/>
      <c r="C41" s="104" t="s">
        <v>146</v>
      </c>
      <c r="D41" s="12"/>
      <c r="E41" s="12"/>
      <c r="F41" s="12"/>
      <c r="G41" s="50" t="s">
        <v>58</v>
      </c>
      <c r="H41" s="6"/>
      <c r="I41" s="12"/>
      <c r="K41" s="6"/>
      <c r="L41" s="12"/>
      <c r="M41" s="12"/>
      <c r="N41" s="12"/>
      <c r="O41" s="12"/>
      <c r="P41" s="12"/>
      <c r="Q41" s="12"/>
      <c r="R41" s="12"/>
      <c r="S41" s="18"/>
      <c r="AB41">
        <f>SUM(AA23,AA24,AA32)</f>
        <v>1446</v>
      </c>
    </row>
    <row r="42" spans="2:42" ht="16.8" x14ac:dyDescent="0.4">
      <c r="B42" s="18"/>
      <c r="C42" s="41" t="str">
        <f t="shared" ref="C42:C58" si="38">Z20</f>
        <v xml:space="preserve">Wonderwoods MSVA </v>
      </c>
      <c r="D42" s="105">
        <f t="shared" ref="D42:D58" si="39">AN20</f>
        <v>85</v>
      </c>
      <c r="E42" s="52">
        <v>120</v>
      </c>
      <c r="F42" s="48">
        <f t="shared" ref="F42:F58" si="40">$W$25</f>
        <v>3</v>
      </c>
      <c r="G42" s="80">
        <f t="shared" ref="G42:G47" si="41">(D42/E42)/F42</f>
        <v>0.23611111111111113</v>
      </c>
      <c r="H42" s="46" t="s">
        <v>54</v>
      </c>
      <c r="I42" s="44">
        <v>1</v>
      </c>
      <c r="K42" s="64">
        <f t="shared" ref="K42:K58" si="42">IFERROR(IF(H42="Containeroptie 1 (zie regel 8)",($G$8*0.8)*I42,IF(H42="Containeroptie 2 (zie regel 9)",($G$9*0.8)*I42,"")),"")</f>
        <v>1.6</v>
      </c>
      <c r="L42" s="39">
        <f t="shared" ref="L42:L58" si="43">IFERROR(IF(H42="Containeroptie 1 (zie regel 8)",$H$8,IF(H42="Containeroptie 2 (zie regel 9)",$H$9,""))," ")</f>
        <v>2000</v>
      </c>
      <c r="M42" s="66">
        <f t="shared" ref="M42:M58" si="44">IFERROR(L42*I42,"")</f>
        <v>2000</v>
      </c>
      <c r="N42" s="40">
        <f t="shared" ref="N42:N58" si="45">IF(H42="Containeroptie 1 (zie regel 8)",$I$8,IF(H42="Containeroptie 2 (zie regel 9)",$I$9,""))</f>
        <v>100</v>
      </c>
      <c r="O42" s="75">
        <f t="shared" ref="O42:O58" si="46">IFERROR((G42/K42),"Vul kolom I en K in")</f>
        <v>0.14756944444444445</v>
      </c>
      <c r="P42" s="72">
        <f t="shared" ref="P42:P58" si="47">IF(O42&gt;2,"Aantal ledigingen onjuist",IFERROR(CEILING((O42*I42)*52,1),""))</f>
        <v>8</v>
      </c>
      <c r="Q42" s="69">
        <f>IFERROR(P42*N42,"")</f>
        <v>800</v>
      </c>
      <c r="R42" s="8">
        <f t="shared" ref="R42:R50" si="48">IFERROR(Q42+M42,"")</f>
        <v>2800</v>
      </c>
      <c r="S42" s="18"/>
      <c r="U42" s="84" t="s">
        <v>111</v>
      </c>
      <c r="Y42" s="85">
        <f>17.4719832286658+1.25</f>
        <v>18.721983228665799</v>
      </c>
      <c r="Z42">
        <f>Y42/52</f>
        <v>0.36003813901280385</v>
      </c>
      <c r="AB42">
        <v>739</v>
      </c>
      <c r="AC42" t="s">
        <v>112</v>
      </c>
    </row>
    <row r="43" spans="2:42" ht="16.8" x14ac:dyDescent="0.4">
      <c r="B43" s="18"/>
      <c r="C43" s="41" t="str">
        <f t="shared" si="38"/>
        <v xml:space="preserve">Wonderwoods Boeri </v>
      </c>
      <c r="D43" s="105">
        <f t="shared" si="39"/>
        <v>241</v>
      </c>
      <c r="E43" s="52">
        <f t="shared" ref="E43:E48" si="49">E42</f>
        <v>120</v>
      </c>
      <c r="F43" s="48">
        <f t="shared" si="40"/>
        <v>3</v>
      </c>
      <c r="G43" s="80">
        <f t="shared" si="41"/>
        <v>0.6694444444444444</v>
      </c>
      <c r="H43" s="46" t="s">
        <v>54</v>
      </c>
      <c r="I43" s="44">
        <v>1</v>
      </c>
      <c r="K43" s="64">
        <f t="shared" si="42"/>
        <v>1.6</v>
      </c>
      <c r="L43" s="39">
        <f t="shared" si="43"/>
        <v>2000</v>
      </c>
      <c r="M43" s="66">
        <f t="shared" si="44"/>
        <v>2000</v>
      </c>
      <c r="N43" s="40">
        <f t="shared" si="45"/>
        <v>100</v>
      </c>
      <c r="O43" s="75">
        <f t="shared" si="46"/>
        <v>0.41840277777777773</v>
      </c>
      <c r="P43" s="72">
        <f t="shared" si="47"/>
        <v>22</v>
      </c>
      <c r="Q43" s="69">
        <f t="shared" ref="Q43:Q50" si="50">IFERROR(P43*N43,"")</f>
        <v>2200</v>
      </c>
      <c r="R43" s="8">
        <f t="shared" si="48"/>
        <v>4200</v>
      </c>
      <c r="S43" s="18"/>
      <c r="U43" s="84" t="s">
        <v>113</v>
      </c>
      <c r="Y43" s="86">
        <v>4.2304272260109004</v>
      </c>
      <c r="Z43">
        <f t="shared" ref="Z43:Z44" si="51">Y43/52</f>
        <v>8.1354369730978857E-2</v>
      </c>
      <c r="AG43" t="s">
        <v>17</v>
      </c>
    </row>
    <row r="44" spans="2:42" ht="16.8" x14ac:dyDescent="0.4">
      <c r="B44" s="18"/>
      <c r="C44" s="41" t="str">
        <f t="shared" si="38"/>
        <v>Bouwblok 1 a-b</v>
      </c>
      <c r="D44" s="105">
        <f t="shared" si="39"/>
        <v>354.69939340730519</v>
      </c>
      <c r="E44" s="52">
        <f t="shared" si="49"/>
        <v>120</v>
      </c>
      <c r="F44" s="48">
        <f t="shared" si="40"/>
        <v>3</v>
      </c>
      <c r="G44" s="80">
        <f t="shared" si="41"/>
        <v>0.98527609279806994</v>
      </c>
      <c r="H44" s="46" t="s">
        <v>54</v>
      </c>
      <c r="I44" s="44">
        <v>1</v>
      </c>
      <c r="K44" s="64">
        <f t="shared" si="42"/>
        <v>1.6</v>
      </c>
      <c r="L44" s="39">
        <f t="shared" si="43"/>
        <v>2000</v>
      </c>
      <c r="M44" s="66">
        <f t="shared" si="44"/>
        <v>2000</v>
      </c>
      <c r="N44" s="40">
        <f t="shared" si="45"/>
        <v>100</v>
      </c>
      <c r="O44" s="75">
        <f t="shared" si="46"/>
        <v>0.61579755799879365</v>
      </c>
      <c r="P44" s="72">
        <f t="shared" si="47"/>
        <v>33</v>
      </c>
      <c r="Q44" s="69">
        <f t="shared" si="50"/>
        <v>3300</v>
      </c>
      <c r="R44" s="8">
        <f t="shared" si="48"/>
        <v>5300</v>
      </c>
      <c r="S44" s="18"/>
      <c r="U44" s="84" t="s">
        <v>114</v>
      </c>
      <c r="Y44" s="86">
        <v>1.3512032620902892</v>
      </c>
      <c r="Z44">
        <f t="shared" si="51"/>
        <v>2.5984678117120946E-2</v>
      </c>
    </row>
    <row r="45" spans="2:42" x14ac:dyDescent="0.3">
      <c r="B45" s="18"/>
      <c r="C45" s="41" t="str">
        <f t="shared" si="38"/>
        <v>Bouwblok 1 a-g</v>
      </c>
      <c r="D45" s="106">
        <f t="shared" si="39"/>
        <v>1291.1545186521398</v>
      </c>
      <c r="E45" s="52">
        <f t="shared" si="49"/>
        <v>120</v>
      </c>
      <c r="F45" s="48">
        <f t="shared" si="40"/>
        <v>3</v>
      </c>
      <c r="G45" s="80">
        <f t="shared" si="41"/>
        <v>3.5865403295892775</v>
      </c>
      <c r="H45" s="46" t="s">
        <v>37</v>
      </c>
      <c r="I45" s="44">
        <v>1</v>
      </c>
      <c r="K45" s="64">
        <f t="shared" si="42"/>
        <v>2.4000000000000004</v>
      </c>
      <c r="L45" s="39">
        <f t="shared" si="43"/>
        <v>3000</v>
      </c>
      <c r="M45" s="66">
        <f t="shared" si="44"/>
        <v>3000</v>
      </c>
      <c r="N45" s="40">
        <f t="shared" si="45"/>
        <v>100</v>
      </c>
      <c r="O45" s="75">
        <f t="shared" si="46"/>
        <v>1.4943918039955322</v>
      </c>
      <c r="P45" s="72">
        <f t="shared" si="47"/>
        <v>78</v>
      </c>
      <c r="Q45" s="69">
        <f t="shared" si="50"/>
        <v>7800</v>
      </c>
      <c r="R45" s="8">
        <f t="shared" si="48"/>
        <v>10800</v>
      </c>
      <c r="S45" s="18"/>
    </row>
    <row r="46" spans="2:42" x14ac:dyDescent="0.3">
      <c r="B46" s="18"/>
      <c r="C46" s="41" t="str">
        <f t="shared" si="38"/>
        <v xml:space="preserve">Bouwblok 2a </v>
      </c>
      <c r="D46" s="105">
        <f t="shared" si="39"/>
        <v>463.68245694411394</v>
      </c>
      <c r="E46" s="52">
        <f t="shared" si="49"/>
        <v>120</v>
      </c>
      <c r="F46" s="48">
        <f t="shared" si="40"/>
        <v>3</v>
      </c>
      <c r="G46" s="80">
        <f t="shared" si="41"/>
        <v>1.2880068248447609</v>
      </c>
      <c r="H46" s="46" t="s">
        <v>54</v>
      </c>
      <c r="I46" s="44">
        <v>1</v>
      </c>
      <c r="K46" s="64">
        <f t="shared" si="42"/>
        <v>1.6</v>
      </c>
      <c r="L46" s="39">
        <f t="shared" si="43"/>
        <v>2000</v>
      </c>
      <c r="M46" s="66">
        <f t="shared" si="44"/>
        <v>2000</v>
      </c>
      <c r="N46" s="40">
        <f t="shared" si="45"/>
        <v>100</v>
      </c>
      <c r="O46" s="75">
        <f t="shared" si="46"/>
        <v>0.80500426552797555</v>
      </c>
      <c r="P46" s="72">
        <f t="shared" si="47"/>
        <v>42</v>
      </c>
      <c r="Q46" s="69">
        <f t="shared" si="50"/>
        <v>4200</v>
      </c>
      <c r="R46" s="8">
        <f t="shared" si="48"/>
        <v>6200</v>
      </c>
      <c r="S46" s="18"/>
    </row>
    <row r="47" spans="2:42" x14ac:dyDescent="0.3">
      <c r="B47" s="18"/>
      <c r="C47" s="41" t="str">
        <f t="shared" si="38"/>
        <v>Bouwblok 3 School + sporthal</v>
      </c>
      <c r="D47" s="106">
        <f t="shared" si="39"/>
        <v>1406.5328689690123</v>
      </c>
      <c r="E47" s="52">
        <f t="shared" si="49"/>
        <v>120</v>
      </c>
      <c r="F47" s="48">
        <f t="shared" si="40"/>
        <v>3</v>
      </c>
      <c r="G47" s="80">
        <f t="shared" si="41"/>
        <v>3.9070357471361454</v>
      </c>
      <c r="H47" s="46" t="s">
        <v>37</v>
      </c>
      <c r="I47" s="44">
        <v>1</v>
      </c>
      <c r="J47" s="52">
        <f t="shared" ref="J47:J48" si="52">J46</f>
        <v>0</v>
      </c>
      <c r="K47" s="64">
        <f t="shared" si="42"/>
        <v>2.4000000000000004</v>
      </c>
      <c r="L47" s="39">
        <f t="shared" si="43"/>
        <v>3000</v>
      </c>
      <c r="M47" s="66">
        <f t="shared" si="44"/>
        <v>3000</v>
      </c>
      <c r="N47" s="40">
        <f t="shared" si="45"/>
        <v>100</v>
      </c>
      <c r="O47" s="75">
        <f t="shared" si="46"/>
        <v>1.6279315613067271</v>
      </c>
      <c r="P47" s="72">
        <f t="shared" si="47"/>
        <v>85</v>
      </c>
      <c r="Q47" s="69">
        <f t="shared" si="50"/>
        <v>8500</v>
      </c>
      <c r="R47" s="8">
        <f t="shared" si="48"/>
        <v>11500</v>
      </c>
      <c r="S47" s="18"/>
    </row>
    <row r="48" spans="2:42" x14ac:dyDescent="0.3">
      <c r="B48" s="18"/>
      <c r="C48" s="41" t="str">
        <f t="shared" si="38"/>
        <v>Bouwblok 4 Bloom Zuid</v>
      </c>
      <c r="D48" s="105">
        <f t="shared" si="39"/>
        <v>400.57202417007124</v>
      </c>
      <c r="E48" s="52">
        <f t="shared" si="49"/>
        <v>120</v>
      </c>
      <c r="F48" s="48">
        <f t="shared" si="40"/>
        <v>3</v>
      </c>
      <c r="G48" s="80">
        <f t="shared" ref="G48" si="53">(D48/E48)/F48</f>
        <v>1.1127000671390868</v>
      </c>
      <c r="H48" s="46" t="s">
        <v>54</v>
      </c>
      <c r="I48" s="44">
        <v>1</v>
      </c>
      <c r="J48" s="52">
        <f t="shared" si="52"/>
        <v>0</v>
      </c>
      <c r="K48" s="64">
        <f t="shared" si="42"/>
        <v>1.6</v>
      </c>
      <c r="L48" s="39">
        <f t="shared" si="43"/>
        <v>2000</v>
      </c>
      <c r="M48" s="66">
        <f t="shared" si="44"/>
        <v>2000</v>
      </c>
      <c r="N48" s="40">
        <f t="shared" si="45"/>
        <v>100</v>
      </c>
      <c r="O48" s="75">
        <f t="shared" si="46"/>
        <v>0.6954375419619292</v>
      </c>
      <c r="P48" s="72">
        <f t="shared" si="47"/>
        <v>37</v>
      </c>
      <c r="Q48" s="69">
        <f t="shared" ref="Q48" si="54">IFERROR(P48*N48,"")</f>
        <v>3700</v>
      </c>
      <c r="R48" s="8">
        <f t="shared" ref="R48" si="55">IFERROR(Q48+M48,"")</f>
        <v>5700</v>
      </c>
      <c r="S48" s="18"/>
    </row>
    <row r="49" spans="2:25" x14ac:dyDescent="0.3">
      <c r="B49" s="18"/>
      <c r="C49" s="41" t="str">
        <f t="shared" si="38"/>
        <v xml:space="preserve">Bouwblok 5 Bloom Zuid </v>
      </c>
      <c r="D49" s="105">
        <f t="shared" si="39"/>
        <v>365.34934521484149</v>
      </c>
      <c r="E49" s="52">
        <f>E47</f>
        <v>120</v>
      </c>
      <c r="F49" s="48">
        <f t="shared" si="40"/>
        <v>3</v>
      </c>
      <c r="G49" s="80">
        <f t="shared" ref="G49:G58" si="56">(D49/E49)/F49</f>
        <v>1.0148592922634487</v>
      </c>
      <c r="H49" s="46" t="s">
        <v>54</v>
      </c>
      <c r="I49" s="44">
        <v>1</v>
      </c>
      <c r="K49" s="64">
        <f t="shared" si="42"/>
        <v>1.6</v>
      </c>
      <c r="L49" s="39">
        <f t="shared" si="43"/>
        <v>2000</v>
      </c>
      <c r="M49" s="66">
        <f t="shared" si="44"/>
        <v>2000</v>
      </c>
      <c r="N49" s="40">
        <f t="shared" si="45"/>
        <v>100</v>
      </c>
      <c r="O49" s="75">
        <f t="shared" si="46"/>
        <v>0.63428705766465543</v>
      </c>
      <c r="P49" s="72">
        <f t="shared" si="47"/>
        <v>33</v>
      </c>
      <c r="Q49" s="69">
        <f t="shared" si="50"/>
        <v>3300</v>
      </c>
      <c r="R49" s="8">
        <f t="shared" si="48"/>
        <v>5300</v>
      </c>
      <c r="S49" s="18"/>
    </row>
    <row r="50" spans="2:25" x14ac:dyDescent="0.3">
      <c r="B50" s="18"/>
      <c r="C50" s="41" t="str">
        <f t="shared" si="38"/>
        <v>Bouwblok 7</v>
      </c>
      <c r="D50" s="105">
        <f t="shared" si="39"/>
        <v>754.1287767368774</v>
      </c>
      <c r="E50" s="52">
        <f>E49</f>
        <v>120</v>
      </c>
      <c r="F50" s="48">
        <f t="shared" si="40"/>
        <v>3</v>
      </c>
      <c r="G50" s="80">
        <f t="shared" si="56"/>
        <v>2.0948021576024369</v>
      </c>
      <c r="H50" s="46" t="s">
        <v>54</v>
      </c>
      <c r="I50" s="44">
        <v>1</v>
      </c>
      <c r="K50" s="64">
        <f t="shared" si="42"/>
        <v>1.6</v>
      </c>
      <c r="L50" s="39">
        <f t="shared" si="43"/>
        <v>2000</v>
      </c>
      <c r="M50" s="66">
        <f t="shared" si="44"/>
        <v>2000</v>
      </c>
      <c r="N50" s="40">
        <f t="shared" si="45"/>
        <v>100</v>
      </c>
      <c r="O50" s="75">
        <f t="shared" si="46"/>
        <v>1.3092513485015229</v>
      </c>
      <c r="P50" s="72">
        <f t="shared" si="47"/>
        <v>69</v>
      </c>
      <c r="Q50" s="69">
        <f t="shared" si="50"/>
        <v>6900</v>
      </c>
      <c r="R50" s="8">
        <f t="shared" si="48"/>
        <v>8900</v>
      </c>
      <c r="S50" s="18"/>
    </row>
    <row r="51" spans="2:25" x14ac:dyDescent="0.3">
      <c r="B51" s="18"/>
      <c r="C51" s="41" t="str">
        <f t="shared" si="38"/>
        <v xml:space="preserve">Bouwblok 8 Grow </v>
      </c>
      <c r="D51" s="106">
        <f t="shared" si="39"/>
        <v>1166.6786115624677</v>
      </c>
      <c r="E51" s="52">
        <f t="shared" ref="E51:E58" si="57">$E$42</f>
        <v>120</v>
      </c>
      <c r="F51" s="48">
        <f t="shared" si="40"/>
        <v>3</v>
      </c>
      <c r="G51" s="80">
        <f t="shared" si="56"/>
        <v>3.2407739210068551</v>
      </c>
      <c r="H51" s="46" t="s">
        <v>37</v>
      </c>
      <c r="I51" s="44">
        <v>1</v>
      </c>
      <c r="K51" s="64">
        <f t="shared" si="42"/>
        <v>2.4000000000000004</v>
      </c>
      <c r="L51" s="39">
        <f t="shared" si="43"/>
        <v>3000</v>
      </c>
      <c r="M51" s="66">
        <f t="shared" si="44"/>
        <v>3000</v>
      </c>
      <c r="N51" s="40">
        <f t="shared" si="45"/>
        <v>100</v>
      </c>
      <c r="O51" s="75">
        <f t="shared" si="46"/>
        <v>1.3503224670861895</v>
      </c>
      <c r="P51" s="72">
        <f t="shared" si="47"/>
        <v>71</v>
      </c>
      <c r="Q51" s="69">
        <f t="shared" ref="Q51:Q58" si="58">IFERROR(P51*N51,"")</f>
        <v>7100</v>
      </c>
      <c r="R51" s="8">
        <f t="shared" ref="R51:R58" si="59">IFERROR(Q51+M51,"")</f>
        <v>10100</v>
      </c>
      <c r="S51" s="18"/>
    </row>
    <row r="52" spans="2:25" x14ac:dyDescent="0.3">
      <c r="B52" s="18"/>
      <c r="C52" s="41" t="str">
        <f t="shared" si="38"/>
        <v>Bouwblok 9 Joy</v>
      </c>
      <c r="D52" s="105">
        <f t="shared" si="39"/>
        <v>207.78558317940264</v>
      </c>
      <c r="E52" s="52">
        <f t="shared" si="57"/>
        <v>120</v>
      </c>
      <c r="F52" s="48">
        <f t="shared" si="40"/>
        <v>3</v>
      </c>
      <c r="G52" s="80">
        <f t="shared" si="56"/>
        <v>0.57718217549834072</v>
      </c>
      <c r="H52" s="46" t="s">
        <v>54</v>
      </c>
      <c r="I52" s="44">
        <v>1</v>
      </c>
      <c r="K52" s="64">
        <f t="shared" si="42"/>
        <v>1.6</v>
      </c>
      <c r="L52" s="39">
        <f t="shared" si="43"/>
        <v>2000</v>
      </c>
      <c r="M52" s="66">
        <f t="shared" si="44"/>
        <v>2000</v>
      </c>
      <c r="N52" s="40">
        <f t="shared" si="45"/>
        <v>100</v>
      </c>
      <c r="O52" s="75">
        <f t="shared" si="46"/>
        <v>0.36073885968646291</v>
      </c>
      <c r="P52" s="72">
        <f t="shared" si="47"/>
        <v>19</v>
      </c>
      <c r="Q52" s="69">
        <f t="shared" si="58"/>
        <v>1900</v>
      </c>
      <c r="R52" s="8">
        <f t="shared" si="59"/>
        <v>3900</v>
      </c>
      <c r="S52" s="18"/>
    </row>
    <row r="53" spans="2:25" x14ac:dyDescent="0.3">
      <c r="B53" s="18"/>
      <c r="C53" s="41" t="str">
        <f t="shared" si="38"/>
        <v>Bouwblok 10 Pulse</v>
      </c>
      <c r="D53" s="105">
        <f t="shared" si="39"/>
        <v>208.15961538461536</v>
      </c>
      <c r="E53" s="52">
        <f t="shared" si="57"/>
        <v>120</v>
      </c>
      <c r="F53" s="48">
        <f t="shared" si="40"/>
        <v>3</v>
      </c>
      <c r="G53" s="80">
        <f t="shared" si="56"/>
        <v>0.5782211538461538</v>
      </c>
      <c r="H53" s="46" t="s">
        <v>54</v>
      </c>
      <c r="I53" s="44">
        <v>1</v>
      </c>
      <c r="K53" s="64">
        <f t="shared" si="42"/>
        <v>1.6</v>
      </c>
      <c r="L53" s="39">
        <f t="shared" si="43"/>
        <v>2000</v>
      </c>
      <c r="M53" s="66">
        <f t="shared" si="44"/>
        <v>2000</v>
      </c>
      <c r="N53" s="40">
        <f t="shared" si="45"/>
        <v>100</v>
      </c>
      <c r="O53" s="75">
        <f t="shared" si="46"/>
        <v>0.36138822115384611</v>
      </c>
      <c r="P53" s="72">
        <f t="shared" si="47"/>
        <v>19</v>
      </c>
      <c r="Q53" s="69">
        <f t="shared" si="58"/>
        <v>1900</v>
      </c>
      <c r="R53" s="8">
        <f t="shared" si="59"/>
        <v>3900</v>
      </c>
      <c r="S53" s="18"/>
      <c r="Y53" s="42"/>
    </row>
    <row r="54" spans="2:25" x14ac:dyDescent="0.3">
      <c r="B54" s="18"/>
      <c r="C54" s="41" t="str">
        <f t="shared" si="38"/>
        <v>Bouwblok 11</v>
      </c>
      <c r="D54" s="105">
        <f t="shared" si="39"/>
        <v>602.8797557291457</v>
      </c>
      <c r="E54" s="52">
        <f t="shared" si="57"/>
        <v>120</v>
      </c>
      <c r="F54" s="48">
        <f t="shared" si="40"/>
        <v>3</v>
      </c>
      <c r="G54" s="80">
        <f t="shared" si="56"/>
        <v>1.6746659881365158</v>
      </c>
      <c r="H54" s="46" t="s">
        <v>54</v>
      </c>
      <c r="I54" s="44">
        <v>1</v>
      </c>
      <c r="K54" s="64">
        <f t="shared" si="42"/>
        <v>1.6</v>
      </c>
      <c r="L54" s="39">
        <f t="shared" si="43"/>
        <v>2000</v>
      </c>
      <c r="M54" s="66">
        <f t="shared" si="44"/>
        <v>2000</v>
      </c>
      <c r="N54" s="40">
        <f t="shared" si="45"/>
        <v>100</v>
      </c>
      <c r="O54" s="75">
        <f t="shared" si="46"/>
        <v>1.0466662425853224</v>
      </c>
      <c r="P54" s="72">
        <f t="shared" si="47"/>
        <v>55</v>
      </c>
      <c r="Q54" s="69">
        <f t="shared" si="58"/>
        <v>5500</v>
      </c>
      <c r="R54" s="8">
        <f t="shared" si="59"/>
        <v>7500</v>
      </c>
      <c r="S54" s="18"/>
      <c r="Y54" s="42"/>
    </row>
    <row r="55" spans="2:25" x14ac:dyDescent="0.3">
      <c r="B55" s="18"/>
      <c r="C55" s="41" t="str">
        <f t="shared" si="38"/>
        <v>Bouwblok 12 a Bloom Park</v>
      </c>
      <c r="D55" s="105">
        <f t="shared" si="39"/>
        <v>484.166001464332</v>
      </c>
      <c r="E55" s="52">
        <f t="shared" si="57"/>
        <v>120</v>
      </c>
      <c r="F55" s="48">
        <f t="shared" si="40"/>
        <v>3</v>
      </c>
      <c r="G55" s="80">
        <f t="shared" si="56"/>
        <v>1.3449055596231443</v>
      </c>
      <c r="H55" s="46" t="s">
        <v>54</v>
      </c>
      <c r="I55" s="44">
        <v>1</v>
      </c>
      <c r="K55" s="64">
        <f t="shared" si="42"/>
        <v>1.6</v>
      </c>
      <c r="L55" s="39">
        <f t="shared" si="43"/>
        <v>2000</v>
      </c>
      <c r="M55" s="66">
        <f t="shared" si="44"/>
        <v>2000</v>
      </c>
      <c r="N55" s="40">
        <f t="shared" si="45"/>
        <v>100</v>
      </c>
      <c r="O55" s="75">
        <f t="shared" si="46"/>
        <v>0.84056597476446515</v>
      </c>
      <c r="P55" s="72">
        <f t="shared" si="47"/>
        <v>44</v>
      </c>
      <c r="Q55" s="69">
        <f t="shared" si="58"/>
        <v>4400</v>
      </c>
      <c r="R55" s="8">
        <f t="shared" si="59"/>
        <v>6400</v>
      </c>
      <c r="S55" s="18"/>
      <c r="Y55" s="42"/>
    </row>
    <row r="56" spans="2:25" x14ac:dyDescent="0.3">
      <c r="B56" s="18"/>
      <c r="C56" s="41" t="str">
        <f t="shared" si="38"/>
        <v>Bouwblok 13 Cix City</v>
      </c>
      <c r="D56" s="105">
        <f t="shared" si="39"/>
        <v>757.54566026557904</v>
      </c>
      <c r="E56" s="52">
        <f t="shared" si="57"/>
        <v>120</v>
      </c>
      <c r="F56" s="48">
        <f t="shared" si="40"/>
        <v>3</v>
      </c>
      <c r="G56" s="80">
        <f t="shared" si="56"/>
        <v>2.1042935007377195</v>
      </c>
      <c r="H56" s="46" t="s">
        <v>54</v>
      </c>
      <c r="I56" s="44">
        <v>1</v>
      </c>
      <c r="K56" s="64">
        <f t="shared" si="42"/>
        <v>1.6</v>
      </c>
      <c r="L56" s="39">
        <f t="shared" si="43"/>
        <v>2000</v>
      </c>
      <c r="M56" s="66">
        <f t="shared" si="44"/>
        <v>2000</v>
      </c>
      <c r="N56" s="40">
        <f t="shared" si="45"/>
        <v>100</v>
      </c>
      <c r="O56" s="75">
        <f t="shared" si="46"/>
        <v>1.3151834379610745</v>
      </c>
      <c r="P56" s="72">
        <f t="shared" si="47"/>
        <v>69</v>
      </c>
      <c r="Q56" s="69">
        <f t="shared" si="58"/>
        <v>6900</v>
      </c>
      <c r="R56" s="8">
        <f t="shared" si="59"/>
        <v>8900</v>
      </c>
      <c r="S56" s="18"/>
    </row>
    <row r="57" spans="2:25" x14ac:dyDescent="0.3">
      <c r="B57" s="18"/>
      <c r="C57" s="41" t="str">
        <f t="shared" si="38"/>
        <v>Bouwblok 14 Cix Theatre</v>
      </c>
      <c r="D57" s="105">
        <f t="shared" si="39"/>
        <v>237.1816334129752</v>
      </c>
      <c r="E57" s="52">
        <f t="shared" si="57"/>
        <v>120</v>
      </c>
      <c r="F57" s="48">
        <f t="shared" si="40"/>
        <v>3</v>
      </c>
      <c r="G57" s="80">
        <f t="shared" si="56"/>
        <v>0.65883787059159782</v>
      </c>
      <c r="H57" s="46" t="s">
        <v>54</v>
      </c>
      <c r="I57" s="44">
        <v>1</v>
      </c>
      <c r="K57" s="64">
        <f t="shared" si="42"/>
        <v>1.6</v>
      </c>
      <c r="L57" s="39">
        <f t="shared" si="43"/>
        <v>2000</v>
      </c>
      <c r="M57" s="66">
        <f t="shared" si="44"/>
        <v>2000</v>
      </c>
      <c r="N57" s="40">
        <f t="shared" si="45"/>
        <v>100</v>
      </c>
      <c r="O57" s="75">
        <f t="shared" si="46"/>
        <v>0.41177366911974861</v>
      </c>
      <c r="P57" s="72">
        <f t="shared" si="47"/>
        <v>22</v>
      </c>
      <c r="Q57" s="69">
        <f t="shared" si="58"/>
        <v>2200</v>
      </c>
      <c r="R57" s="8">
        <f t="shared" si="59"/>
        <v>4200</v>
      </c>
      <c r="S57" s="18"/>
    </row>
    <row r="58" spans="2:25" x14ac:dyDescent="0.3">
      <c r="B58" s="18"/>
      <c r="C58" s="78" t="str">
        <f t="shared" si="38"/>
        <v>Bouwblok 18 Depot</v>
      </c>
      <c r="D58" s="107">
        <f t="shared" si="39"/>
        <v>1198.1273089060617</v>
      </c>
      <c r="E58" s="53">
        <f t="shared" si="57"/>
        <v>120</v>
      </c>
      <c r="F58" s="49">
        <f t="shared" si="40"/>
        <v>3</v>
      </c>
      <c r="G58" s="81">
        <f t="shared" si="56"/>
        <v>3.3281314136279492</v>
      </c>
      <c r="H58" s="74" t="s">
        <v>37</v>
      </c>
      <c r="I58" s="45">
        <v>1</v>
      </c>
      <c r="K58" s="65">
        <f t="shared" si="42"/>
        <v>2.4000000000000004</v>
      </c>
      <c r="L58" s="63">
        <f t="shared" si="43"/>
        <v>3000</v>
      </c>
      <c r="M58" s="67">
        <f t="shared" si="44"/>
        <v>3000</v>
      </c>
      <c r="N58" s="56">
        <f t="shared" si="45"/>
        <v>100</v>
      </c>
      <c r="O58" s="76">
        <f t="shared" si="46"/>
        <v>1.3867214223449786</v>
      </c>
      <c r="P58" s="73">
        <f t="shared" si="47"/>
        <v>73</v>
      </c>
      <c r="Q58" s="70">
        <f t="shared" si="58"/>
        <v>7300</v>
      </c>
      <c r="R58" s="83">
        <f t="shared" si="59"/>
        <v>10300</v>
      </c>
      <c r="S58" s="18"/>
    </row>
    <row r="59" spans="2:25" x14ac:dyDescent="0.3">
      <c r="B59" s="18"/>
      <c r="C59" s="2"/>
      <c r="D59" s="15">
        <f>SUM(D44:D58)</f>
        <v>9898.6435539989398</v>
      </c>
      <c r="E59" s="43"/>
      <c r="G59" s="54">
        <f>SUM(G42:G58)</f>
        <v>28.401787649997054</v>
      </c>
      <c r="K59" s="16"/>
      <c r="L59" s="68" t="s">
        <v>118</v>
      </c>
      <c r="M59" s="66">
        <f>IF(COUNTBLANK(M42:M58)=0,SUM(M42:M58),"NIET COMPLEET")</f>
        <v>38000</v>
      </c>
      <c r="N59" s="8"/>
      <c r="P59" s="71" t="s">
        <v>119</v>
      </c>
      <c r="Q59" s="69">
        <f>IF(COUNTBLANK(Q42:Q58)=0,SUM(Q42:Q58))</f>
        <v>77900</v>
      </c>
      <c r="R59" s="8">
        <f>IF(COUNTBLANK(R42:R58)=0,SUM(R42:R58))</f>
        <v>115900</v>
      </c>
      <c r="S59" s="18"/>
    </row>
    <row r="60" spans="2:25" x14ac:dyDescent="0.3">
      <c r="B60" s="18"/>
      <c r="C60" s="2"/>
      <c r="E60" s="10"/>
      <c r="F60" t="s">
        <v>17</v>
      </c>
      <c r="I60" s="10"/>
      <c r="M60" s="8"/>
      <c r="N60" s="8"/>
      <c r="O60" s="8"/>
      <c r="P60" s="8"/>
      <c r="Q60" s="8"/>
      <c r="R60" s="8"/>
      <c r="S60" s="18"/>
    </row>
    <row r="61" spans="2:25" ht="6.75" customHeight="1" x14ac:dyDescent="0.3">
      <c r="B61" s="18"/>
      <c r="C61" s="6"/>
      <c r="D61" s="6"/>
      <c r="E61" s="6"/>
      <c r="F61" s="6"/>
      <c r="G61" s="6"/>
      <c r="H61" s="6"/>
      <c r="I61" s="6"/>
      <c r="K61" s="6"/>
      <c r="L61" s="6"/>
      <c r="M61" s="6"/>
      <c r="N61" s="6"/>
      <c r="O61" s="6"/>
      <c r="P61" s="6"/>
      <c r="Q61" s="6"/>
      <c r="R61" s="6"/>
      <c r="S61" s="18"/>
    </row>
    <row r="62" spans="2:25" x14ac:dyDescent="0.3">
      <c r="B62" s="18"/>
      <c r="C62" s="1" t="s">
        <v>39</v>
      </c>
      <c r="D62" s="14" t="s">
        <v>109</v>
      </c>
      <c r="E62" s="14" t="s">
        <v>41</v>
      </c>
      <c r="F62" s="14" t="s">
        <v>42</v>
      </c>
      <c r="G62" s="14" t="s">
        <v>43</v>
      </c>
      <c r="H62" s="14" t="s">
        <v>44</v>
      </c>
      <c r="I62" s="14" t="s">
        <v>45</v>
      </c>
      <c r="K62" s="14" t="s">
        <v>46</v>
      </c>
      <c r="L62" s="14" t="s">
        <v>47</v>
      </c>
      <c r="M62" s="14" t="s">
        <v>48</v>
      </c>
      <c r="N62" s="14" t="s">
        <v>49</v>
      </c>
      <c r="O62" s="14" t="s">
        <v>50</v>
      </c>
      <c r="P62" s="14" t="s">
        <v>120</v>
      </c>
      <c r="Q62" s="14" t="s">
        <v>52</v>
      </c>
      <c r="R62" s="14" t="s">
        <v>53</v>
      </c>
      <c r="S62" s="18"/>
    </row>
    <row r="63" spans="2:25" ht="33.75" customHeight="1" x14ac:dyDescent="0.45">
      <c r="B63" s="18"/>
      <c r="C63" s="104" t="s">
        <v>147</v>
      </c>
      <c r="D63" s="12"/>
      <c r="E63" s="12"/>
      <c r="F63" s="12"/>
      <c r="G63" s="50" t="s">
        <v>122</v>
      </c>
      <c r="H63" s="6"/>
      <c r="I63" s="12"/>
      <c r="K63" s="6"/>
      <c r="L63" s="12"/>
      <c r="M63" s="12"/>
      <c r="N63" s="12"/>
      <c r="O63" s="12"/>
      <c r="P63" s="12"/>
      <c r="Q63" s="12"/>
      <c r="R63" s="12"/>
      <c r="S63" s="18"/>
      <c r="T63" t="s">
        <v>17</v>
      </c>
      <c r="V63" s="15"/>
    </row>
    <row r="64" spans="2:25" x14ac:dyDescent="0.3">
      <c r="B64" s="18"/>
      <c r="C64" s="41" t="str">
        <f t="shared" ref="C64:C80" si="60">Z20</f>
        <v xml:space="preserve">Wonderwoods MSVA </v>
      </c>
      <c r="D64" s="105">
        <f t="shared" ref="D64:D80" si="61">AP20</f>
        <v>104</v>
      </c>
      <c r="E64" s="52">
        <v>300</v>
      </c>
      <c r="F64" s="48" t="s">
        <v>123</v>
      </c>
      <c r="G64" s="80">
        <f t="shared" ref="G64:G71" si="62">(D64/E64)</f>
        <v>0.34666666666666668</v>
      </c>
      <c r="H64" s="46" t="s">
        <v>55</v>
      </c>
      <c r="I64" s="44">
        <v>1</v>
      </c>
      <c r="K64" s="64">
        <f t="shared" ref="K64:K80" si="63">IFERROR(IF(H64="Containeroptie 1 (zie regel 10)",($G$10*0.8)*I64,IF(H64="Containeroptie 2 (zie regel 11)",($G$11*0.8)*I64,"")),"")</f>
        <v>0.88000000000000012</v>
      </c>
      <c r="L64" s="39">
        <f t="shared" ref="L64:L80" si="64">IFERROR(IF(H64="Containeroptie 1 (zie regel 10)",$H$10,IF(H64="Containeroptie 2 (zie regel 11)",$H$11,""))," ")</f>
        <v>1500</v>
      </c>
      <c r="M64" s="66">
        <f t="shared" ref="M64:M80" si="65">IFERROR(L64*I64," ")</f>
        <v>1500</v>
      </c>
      <c r="N64" s="40">
        <f t="shared" ref="N64:N80" si="66">IFERROR(IF(H64="Containeroptie 1 (zie regel 10)",$I$10,IF(H64="Containeroptie 2 (zie regel 11)",$I$11,""))," ")</f>
        <v>75</v>
      </c>
      <c r="O64" s="75">
        <f t="shared" ref="O64:O80" si="67">IFERROR((G64/K64), "Vul kolom I en K in")</f>
        <v>0.39393939393939392</v>
      </c>
      <c r="P64" s="72">
        <f t="shared" ref="P64:P80" si="68">IF(O64&gt;2,"Aantal ledigingen onjuist",IFERROR(CEILING((O64*I64)*52,1),""))</f>
        <v>21</v>
      </c>
      <c r="Q64" s="69">
        <f>IFERROR(P64*N64,"")</f>
        <v>1575</v>
      </c>
      <c r="R64" s="8">
        <f t="shared" ref="R64:R71" si="69">IFERROR(Q64+M64,"")</f>
        <v>3075</v>
      </c>
      <c r="S64" s="18"/>
    </row>
    <row r="65" spans="2:19" x14ac:dyDescent="0.3">
      <c r="B65" s="18"/>
      <c r="C65" s="41" t="str">
        <f t="shared" si="60"/>
        <v xml:space="preserve">Wonderwoods Boeri </v>
      </c>
      <c r="D65" s="105">
        <f t="shared" si="61"/>
        <v>295</v>
      </c>
      <c r="E65" s="52">
        <f t="shared" ref="E65:E80" si="70">$E$64</f>
        <v>300</v>
      </c>
      <c r="F65" s="48" t="s">
        <v>123</v>
      </c>
      <c r="G65" s="80">
        <f t="shared" si="62"/>
        <v>0.98333333333333328</v>
      </c>
      <c r="H65" s="46" t="s">
        <v>55</v>
      </c>
      <c r="I65" s="44">
        <v>1</v>
      </c>
      <c r="K65" s="64">
        <f t="shared" si="63"/>
        <v>0.88000000000000012</v>
      </c>
      <c r="L65" s="39">
        <f t="shared" si="64"/>
        <v>1500</v>
      </c>
      <c r="M65" s="66">
        <f t="shared" si="65"/>
        <v>1500</v>
      </c>
      <c r="N65" s="40">
        <f t="shared" si="66"/>
        <v>75</v>
      </c>
      <c r="O65" s="75">
        <f t="shared" si="67"/>
        <v>1.1174242424242422</v>
      </c>
      <c r="P65" s="72">
        <f t="shared" si="68"/>
        <v>59</v>
      </c>
      <c r="Q65" s="69">
        <f t="shared" ref="Q65:Q71" si="71">IFERROR(P65*N65,"")</f>
        <v>4425</v>
      </c>
      <c r="R65" s="8">
        <f t="shared" si="69"/>
        <v>5925</v>
      </c>
      <c r="S65" s="18"/>
    </row>
    <row r="66" spans="2:19" x14ac:dyDescent="0.3">
      <c r="B66" s="18"/>
      <c r="C66" s="41" t="str">
        <f t="shared" si="60"/>
        <v>Bouwblok 1 a-b</v>
      </c>
      <c r="D66" s="105">
        <f t="shared" si="61"/>
        <v>380.49170683133053</v>
      </c>
      <c r="E66" s="52">
        <f t="shared" si="70"/>
        <v>300</v>
      </c>
      <c r="F66" s="48" t="s">
        <v>123</v>
      </c>
      <c r="G66" s="80">
        <f t="shared" si="62"/>
        <v>1.2683056894377684</v>
      </c>
      <c r="H66" s="47" t="s">
        <v>55</v>
      </c>
      <c r="I66" s="44">
        <v>1</v>
      </c>
      <c r="K66" s="64">
        <f t="shared" si="63"/>
        <v>0.88000000000000012</v>
      </c>
      <c r="L66" s="39">
        <f t="shared" si="64"/>
        <v>1500</v>
      </c>
      <c r="M66" s="66">
        <f t="shared" si="65"/>
        <v>1500</v>
      </c>
      <c r="N66" s="40">
        <f t="shared" si="66"/>
        <v>75</v>
      </c>
      <c r="O66" s="75">
        <f t="shared" si="67"/>
        <v>1.4412564652701911</v>
      </c>
      <c r="P66" s="72">
        <f t="shared" si="68"/>
        <v>75</v>
      </c>
      <c r="Q66" s="69">
        <f t="shared" si="71"/>
        <v>5625</v>
      </c>
      <c r="R66" s="8">
        <f t="shared" si="69"/>
        <v>7125</v>
      </c>
      <c r="S66" s="18"/>
    </row>
    <row r="67" spans="2:19" x14ac:dyDescent="0.3">
      <c r="B67" s="18"/>
      <c r="C67" s="41" t="str">
        <f t="shared" si="60"/>
        <v>Bouwblok 1 a-g</v>
      </c>
      <c r="D67" s="106">
        <f t="shared" si="61"/>
        <v>1030.5196215169826</v>
      </c>
      <c r="E67" s="52">
        <f t="shared" si="70"/>
        <v>300</v>
      </c>
      <c r="F67" s="48" t="s">
        <v>123</v>
      </c>
      <c r="G67" s="80">
        <f t="shared" si="62"/>
        <v>3.435065405056609</v>
      </c>
      <c r="H67" s="47" t="s">
        <v>55</v>
      </c>
      <c r="I67" s="44">
        <v>2</v>
      </c>
      <c r="K67" s="64">
        <f t="shared" si="63"/>
        <v>1.7600000000000002</v>
      </c>
      <c r="L67" s="39">
        <f t="shared" si="64"/>
        <v>1500</v>
      </c>
      <c r="M67" s="66">
        <f t="shared" si="65"/>
        <v>3000</v>
      </c>
      <c r="N67" s="40">
        <f t="shared" si="66"/>
        <v>75</v>
      </c>
      <c r="O67" s="75">
        <f t="shared" si="67"/>
        <v>1.9517417074185275</v>
      </c>
      <c r="P67" s="72">
        <f t="shared" si="68"/>
        <v>203</v>
      </c>
      <c r="Q67" s="69">
        <f t="shared" si="71"/>
        <v>15225</v>
      </c>
      <c r="R67" s="8">
        <f t="shared" si="69"/>
        <v>18225</v>
      </c>
      <c r="S67" s="18"/>
    </row>
    <row r="68" spans="2:19" x14ac:dyDescent="0.3">
      <c r="B68" s="18"/>
      <c r="C68" s="41" t="str">
        <f t="shared" si="60"/>
        <v xml:space="preserve">Bouwblok 2a </v>
      </c>
      <c r="D68" s="105">
        <f t="shared" si="61"/>
        <v>405.50367615938814</v>
      </c>
      <c r="E68" s="52">
        <f t="shared" si="70"/>
        <v>300</v>
      </c>
      <c r="F68" s="48" t="s">
        <v>123</v>
      </c>
      <c r="G68" s="80">
        <f t="shared" si="62"/>
        <v>1.3516789205312938</v>
      </c>
      <c r="H68" s="47" t="s">
        <v>55</v>
      </c>
      <c r="I68" s="44">
        <v>1</v>
      </c>
      <c r="K68" s="64">
        <f t="shared" si="63"/>
        <v>0.88000000000000012</v>
      </c>
      <c r="L68" s="39">
        <f t="shared" si="64"/>
        <v>1500</v>
      </c>
      <c r="M68" s="66">
        <f t="shared" si="65"/>
        <v>1500</v>
      </c>
      <c r="N68" s="40">
        <f t="shared" si="66"/>
        <v>75</v>
      </c>
      <c r="O68" s="75">
        <f t="shared" si="67"/>
        <v>1.5359987733310154</v>
      </c>
      <c r="P68" s="72">
        <f t="shared" si="68"/>
        <v>80</v>
      </c>
      <c r="Q68" s="69">
        <f t="shared" si="71"/>
        <v>6000</v>
      </c>
      <c r="R68" s="8">
        <f t="shared" si="69"/>
        <v>7500</v>
      </c>
      <c r="S68" s="18"/>
    </row>
    <row r="69" spans="2:19" x14ac:dyDescent="0.3">
      <c r="B69" s="18"/>
      <c r="C69" s="41" t="str">
        <f t="shared" si="60"/>
        <v>Bouwblok 3 School + sporthal</v>
      </c>
      <c r="D69" s="106">
        <f t="shared" si="61"/>
        <v>582.84835508724564</v>
      </c>
      <c r="E69" s="52">
        <f t="shared" si="70"/>
        <v>300</v>
      </c>
      <c r="F69" s="48" t="s">
        <v>123</v>
      </c>
      <c r="G69" s="80">
        <f t="shared" si="62"/>
        <v>1.9428278502908187</v>
      </c>
      <c r="H69" s="47" t="s">
        <v>55</v>
      </c>
      <c r="I69" s="44">
        <v>2</v>
      </c>
      <c r="K69" s="64">
        <f t="shared" si="63"/>
        <v>1.7600000000000002</v>
      </c>
      <c r="L69" s="39">
        <f t="shared" si="64"/>
        <v>1500</v>
      </c>
      <c r="M69" s="66">
        <f t="shared" si="65"/>
        <v>3000</v>
      </c>
      <c r="N69" s="40">
        <f t="shared" si="66"/>
        <v>75</v>
      </c>
      <c r="O69" s="75">
        <f t="shared" si="67"/>
        <v>1.1038794603925104</v>
      </c>
      <c r="P69" s="72">
        <f t="shared" si="68"/>
        <v>115</v>
      </c>
      <c r="Q69" s="69">
        <f t="shared" si="71"/>
        <v>8625</v>
      </c>
      <c r="R69" s="8">
        <f t="shared" si="69"/>
        <v>11625</v>
      </c>
      <c r="S69" s="18"/>
    </row>
    <row r="70" spans="2:19" x14ac:dyDescent="0.3">
      <c r="B70" s="18"/>
      <c r="C70" s="41" t="str">
        <f t="shared" si="60"/>
        <v>Bouwblok 4 Bloom Zuid</v>
      </c>
      <c r="D70" s="105">
        <f t="shared" si="61"/>
        <v>464.61555979059028</v>
      </c>
      <c r="E70" s="52">
        <f t="shared" si="70"/>
        <v>300</v>
      </c>
      <c r="F70" s="48" t="s">
        <v>123</v>
      </c>
      <c r="G70" s="80">
        <f t="shared" si="62"/>
        <v>1.548718532635301</v>
      </c>
      <c r="H70" s="47" t="s">
        <v>55</v>
      </c>
      <c r="I70" s="44">
        <v>1</v>
      </c>
      <c r="K70" s="64">
        <f t="shared" si="63"/>
        <v>0.88000000000000012</v>
      </c>
      <c r="L70" s="39">
        <f t="shared" si="64"/>
        <v>1500</v>
      </c>
      <c r="M70" s="66">
        <f t="shared" si="65"/>
        <v>1500</v>
      </c>
      <c r="N70" s="40">
        <f t="shared" si="66"/>
        <v>75</v>
      </c>
      <c r="O70" s="75">
        <f t="shared" si="67"/>
        <v>1.7599074234492054</v>
      </c>
      <c r="P70" s="72">
        <f t="shared" si="68"/>
        <v>92</v>
      </c>
      <c r="Q70" s="69">
        <f t="shared" si="71"/>
        <v>6900</v>
      </c>
      <c r="R70" s="8">
        <f t="shared" si="69"/>
        <v>8400</v>
      </c>
      <c r="S70" s="18"/>
    </row>
    <row r="71" spans="2:19" x14ac:dyDescent="0.3">
      <c r="B71" s="18"/>
      <c r="C71" s="41" t="str">
        <f t="shared" si="60"/>
        <v xml:space="preserve">Bouwblok 5 Bloom Zuid </v>
      </c>
      <c r="D71" s="105">
        <f t="shared" si="61"/>
        <v>326.89057911432843</v>
      </c>
      <c r="E71" s="52">
        <f t="shared" si="70"/>
        <v>300</v>
      </c>
      <c r="F71" s="48" t="s">
        <v>123</v>
      </c>
      <c r="G71" s="80">
        <f t="shared" si="62"/>
        <v>1.0896352637144282</v>
      </c>
      <c r="H71" s="47" t="s">
        <v>55</v>
      </c>
      <c r="I71" s="44">
        <v>1</v>
      </c>
      <c r="K71" s="64">
        <f t="shared" si="63"/>
        <v>0.88000000000000012</v>
      </c>
      <c r="L71" s="39">
        <f t="shared" si="64"/>
        <v>1500</v>
      </c>
      <c r="M71" s="66">
        <f t="shared" si="65"/>
        <v>1500</v>
      </c>
      <c r="N71" s="40">
        <f t="shared" si="66"/>
        <v>75</v>
      </c>
      <c r="O71" s="75">
        <f t="shared" si="67"/>
        <v>1.2382218905845774</v>
      </c>
      <c r="P71" s="72">
        <f t="shared" si="68"/>
        <v>65</v>
      </c>
      <c r="Q71" s="69">
        <f t="shared" si="71"/>
        <v>4875</v>
      </c>
      <c r="R71" s="8">
        <f t="shared" si="69"/>
        <v>6375</v>
      </c>
      <c r="S71" s="18"/>
    </row>
    <row r="72" spans="2:19" x14ac:dyDescent="0.3">
      <c r="B72" s="18"/>
      <c r="C72" s="41" t="str">
        <f t="shared" si="60"/>
        <v>Bouwblok 7</v>
      </c>
      <c r="D72" s="105">
        <f t="shared" si="61"/>
        <v>506.28857019966711</v>
      </c>
      <c r="E72" s="52">
        <f t="shared" si="70"/>
        <v>300</v>
      </c>
      <c r="F72" s="48" t="s">
        <v>123</v>
      </c>
      <c r="G72" s="80">
        <f t="shared" ref="G72" si="72">(D72/E72)</f>
        <v>1.6876285673322238</v>
      </c>
      <c r="H72" s="47" t="s">
        <v>55</v>
      </c>
      <c r="I72" s="44">
        <v>1</v>
      </c>
      <c r="K72" s="64">
        <f t="shared" si="63"/>
        <v>0.88000000000000012</v>
      </c>
      <c r="L72" s="39">
        <f t="shared" si="64"/>
        <v>1500</v>
      </c>
      <c r="M72" s="66">
        <f t="shared" si="65"/>
        <v>1500</v>
      </c>
      <c r="N72" s="40">
        <f t="shared" si="66"/>
        <v>75</v>
      </c>
      <c r="O72" s="75">
        <f t="shared" si="67"/>
        <v>1.9177597356047995</v>
      </c>
      <c r="P72" s="72">
        <f t="shared" si="68"/>
        <v>100</v>
      </c>
      <c r="Q72" s="69">
        <f t="shared" ref="Q72" si="73">IFERROR(P72*N72,"")</f>
        <v>7500</v>
      </c>
      <c r="R72" s="8">
        <f t="shared" ref="R72" si="74">IFERROR(Q72+M72,"")</f>
        <v>9000</v>
      </c>
      <c r="S72" s="18"/>
    </row>
    <row r="73" spans="2:19" x14ac:dyDescent="0.3">
      <c r="B73" s="18"/>
      <c r="C73" s="41" t="str">
        <f t="shared" si="60"/>
        <v xml:space="preserve">Bouwblok 8 Grow </v>
      </c>
      <c r="D73" s="106">
        <f t="shared" si="61"/>
        <v>884.77241605925485</v>
      </c>
      <c r="E73" s="52">
        <f t="shared" si="70"/>
        <v>300</v>
      </c>
      <c r="F73" s="48" t="s">
        <v>123</v>
      </c>
      <c r="G73" s="80">
        <f t="shared" ref="G73:G80" si="75">(D73/E73)</f>
        <v>2.9492413868641827</v>
      </c>
      <c r="H73" s="47" t="s">
        <v>55</v>
      </c>
      <c r="I73" s="44">
        <v>2</v>
      </c>
      <c r="K73" s="64">
        <f t="shared" si="63"/>
        <v>1.7600000000000002</v>
      </c>
      <c r="L73" s="39">
        <f t="shared" si="64"/>
        <v>1500</v>
      </c>
      <c r="M73" s="66">
        <f t="shared" si="65"/>
        <v>3000</v>
      </c>
      <c r="N73" s="40">
        <f t="shared" si="66"/>
        <v>75</v>
      </c>
      <c r="O73" s="75">
        <f t="shared" si="67"/>
        <v>1.6757053334455581</v>
      </c>
      <c r="P73" s="72">
        <f t="shared" si="68"/>
        <v>175</v>
      </c>
      <c r="Q73" s="69">
        <f t="shared" ref="Q73:Q80" si="76">IFERROR(P73*N73,"")</f>
        <v>13125</v>
      </c>
      <c r="R73" s="8">
        <f t="shared" ref="R73:R80" si="77">IFERROR(Q73+M73,"")</f>
        <v>16125</v>
      </c>
      <c r="S73" s="18"/>
    </row>
    <row r="74" spans="2:19" x14ac:dyDescent="0.3">
      <c r="B74" s="18"/>
      <c r="C74" s="41" t="str">
        <f t="shared" si="60"/>
        <v>Bouwblok 9 Joy</v>
      </c>
      <c r="D74" s="105">
        <f t="shared" si="61"/>
        <v>193.73243605603918</v>
      </c>
      <c r="E74" s="52">
        <f t="shared" si="70"/>
        <v>300</v>
      </c>
      <c r="F74" s="48" t="s">
        <v>123</v>
      </c>
      <c r="G74" s="80">
        <f t="shared" si="75"/>
        <v>0.6457747868534639</v>
      </c>
      <c r="H74" s="47" t="s">
        <v>55</v>
      </c>
      <c r="I74" s="44">
        <v>1</v>
      </c>
      <c r="K74" s="64">
        <f t="shared" si="63"/>
        <v>0.88000000000000012</v>
      </c>
      <c r="L74" s="39">
        <f t="shared" si="64"/>
        <v>1500</v>
      </c>
      <c r="M74" s="66">
        <f t="shared" si="65"/>
        <v>1500</v>
      </c>
      <c r="N74" s="40">
        <f t="shared" si="66"/>
        <v>75</v>
      </c>
      <c r="O74" s="75">
        <f t="shared" si="67"/>
        <v>0.73383498506075429</v>
      </c>
      <c r="P74" s="72">
        <f t="shared" si="68"/>
        <v>39</v>
      </c>
      <c r="Q74" s="69">
        <f t="shared" si="76"/>
        <v>2925</v>
      </c>
      <c r="R74" s="8">
        <f t="shared" si="77"/>
        <v>4425</v>
      </c>
      <c r="S74" s="18"/>
    </row>
    <row r="75" spans="2:19" x14ac:dyDescent="0.3">
      <c r="B75" s="18"/>
      <c r="C75" s="41" t="str">
        <f t="shared" si="60"/>
        <v>Bouwblok 10 Pulse</v>
      </c>
      <c r="D75" s="105">
        <f t="shared" si="61"/>
        <v>254.41730769230767</v>
      </c>
      <c r="E75" s="52">
        <f t="shared" si="70"/>
        <v>300</v>
      </c>
      <c r="F75" s="48" t="s">
        <v>123</v>
      </c>
      <c r="G75" s="80">
        <f t="shared" si="75"/>
        <v>0.84805769230769223</v>
      </c>
      <c r="H75" s="47" t="s">
        <v>55</v>
      </c>
      <c r="I75" s="44">
        <v>1</v>
      </c>
      <c r="K75" s="64">
        <f t="shared" si="63"/>
        <v>0.88000000000000012</v>
      </c>
      <c r="L75" s="39">
        <f t="shared" si="64"/>
        <v>1500</v>
      </c>
      <c r="M75" s="66">
        <f t="shared" si="65"/>
        <v>1500</v>
      </c>
      <c r="N75" s="40">
        <f t="shared" si="66"/>
        <v>75</v>
      </c>
      <c r="O75" s="75">
        <f t="shared" si="67"/>
        <v>0.96370192307692282</v>
      </c>
      <c r="P75" s="72">
        <f t="shared" si="68"/>
        <v>51</v>
      </c>
      <c r="Q75" s="69">
        <f t="shared" si="76"/>
        <v>3825</v>
      </c>
      <c r="R75" s="8">
        <f t="shared" si="77"/>
        <v>5325</v>
      </c>
      <c r="S75" s="18"/>
    </row>
    <row r="76" spans="2:19" x14ac:dyDescent="0.3">
      <c r="B76" s="18"/>
      <c r="C76" s="41" t="str">
        <f t="shared" si="60"/>
        <v>Bouwblok 11</v>
      </c>
      <c r="D76" s="105">
        <f t="shared" si="61"/>
        <v>604.93963574450299</v>
      </c>
      <c r="E76" s="52">
        <f t="shared" si="70"/>
        <v>300</v>
      </c>
      <c r="F76" s="48" t="s">
        <v>123</v>
      </c>
      <c r="G76" s="80">
        <f t="shared" si="75"/>
        <v>2.0164654524816767</v>
      </c>
      <c r="H76" s="47" t="s">
        <v>55</v>
      </c>
      <c r="I76" s="44">
        <v>2</v>
      </c>
      <c r="K76" s="64">
        <f t="shared" si="63"/>
        <v>1.7600000000000002</v>
      </c>
      <c r="L76" s="39">
        <f t="shared" si="64"/>
        <v>1500</v>
      </c>
      <c r="M76" s="66">
        <f t="shared" si="65"/>
        <v>3000</v>
      </c>
      <c r="N76" s="40">
        <f t="shared" si="66"/>
        <v>75</v>
      </c>
      <c r="O76" s="75">
        <f t="shared" si="67"/>
        <v>1.1457190070918617</v>
      </c>
      <c r="P76" s="72">
        <f t="shared" si="68"/>
        <v>120</v>
      </c>
      <c r="Q76" s="69">
        <f t="shared" si="76"/>
        <v>9000</v>
      </c>
      <c r="R76" s="8">
        <f t="shared" si="77"/>
        <v>12000</v>
      </c>
      <c r="S76" s="18"/>
    </row>
    <row r="77" spans="2:19" x14ac:dyDescent="0.3">
      <c r="B77" s="18"/>
      <c r="C77" s="41" t="str">
        <f t="shared" si="60"/>
        <v>Bouwblok 12 a Bloom Park</v>
      </c>
      <c r="D77" s="105">
        <f t="shared" si="61"/>
        <v>354.15274140119391</v>
      </c>
      <c r="E77" s="52">
        <f t="shared" si="70"/>
        <v>300</v>
      </c>
      <c r="F77" s="48" t="s">
        <v>123</v>
      </c>
      <c r="G77" s="80">
        <f t="shared" si="75"/>
        <v>1.1805091380039796</v>
      </c>
      <c r="H77" s="47" t="s">
        <v>55</v>
      </c>
      <c r="I77" s="44">
        <v>1</v>
      </c>
      <c r="K77" s="64">
        <f t="shared" si="63"/>
        <v>0.88000000000000012</v>
      </c>
      <c r="L77" s="39">
        <f t="shared" si="64"/>
        <v>1500</v>
      </c>
      <c r="M77" s="66">
        <f t="shared" si="65"/>
        <v>1500</v>
      </c>
      <c r="N77" s="40">
        <f t="shared" si="66"/>
        <v>75</v>
      </c>
      <c r="O77" s="75">
        <f t="shared" si="67"/>
        <v>1.3414876568227039</v>
      </c>
      <c r="P77" s="72">
        <f t="shared" si="68"/>
        <v>70</v>
      </c>
      <c r="Q77" s="69">
        <f t="shared" si="76"/>
        <v>5250</v>
      </c>
      <c r="R77" s="8">
        <f t="shared" si="77"/>
        <v>6750</v>
      </c>
      <c r="S77" s="18"/>
    </row>
    <row r="78" spans="2:19" x14ac:dyDescent="0.3">
      <c r="B78" s="18"/>
      <c r="C78" s="41" t="str">
        <f t="shared" si="60"/>
        <v>Bouwblok 13 Cix City</v>
      </c>
      <c r="D78" s="105">
        <f t="shared" si="61"/>
        <v>507.37992668058587</v>
      </c>
      <c r="E78" s="52">
        <f t="shared" si="70"/>
        <v>300</v>
      </c>
      <c r="F78" s="48" t="s">
        <v>123</v>
      </c>
      <c r="G78" s="80">
        <f t="shared" si="75"/>
        <v>1.6912664222686196</v>
      </c>
      <c r="H78" s="47" t="s">
        <v>55</v>
      </c>
      <c r="I78" s="44">
        <v>1</v>
      </c>
      <c r="K78" s="64">
        <f t="shared" si="63"/>
        <v>0.88000000000000012</v>
      </c>
      <c r="L78" s="39">
        <f t="shared" si="64"/>
        <v>1500</v>
      </c>
      <c r="M78" s="66">
        <f t="shared" si="65"/>
        <v>1500</v>
      </c>
      <c r="N78" s="40">
        <f t="shared" si="66"/>
        <v>75</v>
      </c>
      <c r="O78" s="75">
        <f t="shared" si="67"/>
        <v>1.9218936616688855</v>
      </c>
      <c r="P78" s="72">
        <f t="shared" si="68"/>
        <v>100</v>
      </c>
      <c r="Q78" s="69">
        <f t="shared" si="76"/>
        <v>7500</v>
      </c>
      <c r="R78" s="8">
        <f t="shared" si="77"/>
        <v>9000</v>
      </c>
      <c r="S78" s="18"/>
    </row>
    <row r="79" spans="2:19" x14ac:dyDescent="0.3">
      <c r="B79" s="18"/>
      <c r="C79" s="41" t="str">
        <f t="shared" si="60"/>
        <v>Bouwblok 14 Cix Theatre</v>
      </c>
      <c r="D79" s="105">
        <f t="shared" si="61"/>
        <v>177.2922038612387</v>
      </c>
      <c r="E79" s="52">
        <f t="shared" si="70"/>
        <v>300</v>
      </c>
      <c r="F79" s="48" t="s">
        <v>123</v>
      </c>
      <c r="G79" s="80">
        <f t="shared" si="75"/>
        <v>0.59097401287079565</v>
      </c>
      <c r="H79" s="47" t="s">
        <v>55</v>
      </c>
      <c r="I79" s="44">
        <v>1</v>
      </c>
      <c r="K79" s="64">
        <f t="shared" si="63"/>
        <v>0.88000000000000012</v>
      </c>
      <c r="L79" s="39">
        <f t="shared" si="64"/>
        <v>1500</v>
      </c>
      <c r="M79" s="66">
        <f t="shared" si="65"/>
        <v>1500</v>
      </c>
      <c r="N79" s="40">
        <f t="shared" si="66"/>
        <v>75</v>
      </c>
      <c r="O79" s="75">
        <f t="shared" si="67"/>
        <v>0.67156137826226769</v>
      </c>
      <c r="P79" s="72">
        <f t="shared" si="68"/>
        <v>35</v>
      </c>
      <c r="Q79" s="69">
        <f t="shared" si="76"/>
        <v>2625</v>
      </c>
      <c r="R79" s="8">
        <f t="shared" si="77"/>
        <v>4125</v>
      </c>
      <c r="S79" s="18"/>
    </row>
    <row r="80" spans="2:19" x14ac:dyDescent="0.3">
      <c r="B80" s="18"/>
      <c r="C80" s="78" t="str">
        <f t="shared" si="60"/>
        <v>Bouwblok 18 Depot</v>
      </c>
      <c r="D80" s="107">
        <f t="shared" si="61"/>
        <v>391.58990088636085</v>
      </c>
      <c r="E80" s="53">
        <f t="shared" si="70"/>
        <v>300</v>
      </c>
      <c r="F80" s="49" t="s">
        <v>123</v>
      </c>
      <c r="G80" s="81">
        <f t="shared" si="75"/>
        <v>1.3052996696212029</v>
      </c>
      <c r="H80" s="103" t="s">
        <v>55</v>
      </c>
      <c r="I80" s="45">
        <v>1</v>
      </c>
      <c r="K80" s="65">
        <f t="shared" si="63"/>
        <v>0.88000000000000012</v>
      </c>
      <c r="L80" s="63">
        <f t="shared" si="64"/>
        <v>1500</v>
      </c>
      <c r="M80" s="67">
        <f t="shared" si="65"/>
        <v>1500</v>
      </c>
      <c r="N80" s="56">
        <f t="shared" si="66"/>
        <v>75</v>
      </c>
      <c r="O80" s="76">
        <f t="shared" si="67"/>
        <v>1.483295079115003</v>
      </c>
      <c r="P80" s="73">
        <f t="shared" si="68"/>
        <v>78</v>
      </c>
      <c r="Q80" s="70">
        <f t="shared" si="76"/>
        <v>5850</v>
      </c>
      <c r="R80" s="83">
        <f t="shared" si="77"/>
        <v>7350</v>
      </c>
      <c r="S80" s="18"/>
    </row>
    <row r="81" spans="2:19" x14ac:dyDescent="0.3">
      <c r="B81" s="18"/>
      <c r="C81" s="2"/>
      <c r="D81" s="15">
        <f>SUM(D66:D80)</f>
        <v>7065.4346370810163</v>
      </c>
      <c r="E81" s="43"/>
      <c r="G81" s="54">
        <f>SUM(G64:G80)</f>
        <v>24.881448790270053</v>
      </c>
      <c r="L81" s="68" t="s">
        <v>124</v>
      </c>
      <c r="M81" s="66">
        <f>IF(COUNTBLANK(M64:M80)=0,SUM(M64:M80),"NIET COMPLEET")</f>
        <v>31500</v>
      </c>
      <c r="N81" s="8"/>
      <c r="P81" s="71" t="s">
        <v>125</v>
      </c>
      <c r="Q81" s="69">
        <f>IF(COUNTBLANK(Q64:Q80)=0,SUM(Q64:Q80))</f>
        <v>110850</v>
      </c>
      <c r="R81" s="8">
        <f>IF(COUNTBLANK(R64:R80)=0,SUM(R64:R80))</f>
        <v>142350</v>
      </c>
      <c r="S81" s="18"/>
    </row>
    <row r="82" spans="2:19" x14ac:dyDescent="0.3">
      <c r="B82" s="18"/>
      <c r="S82" s="18"/>
    </row>
    <row r="83" spans="2:19" x14ac:dyDescent="0.3">
      <c r="B83" s="18"/>
      <c r="C83" s="13" t="s">
        <v>126</v>
      </c>
      <c r="E83" s="10"/>
      <c r="F83" s="10"/>
      <c r="G83" s="10"/>
      <c r="H83" s="10"/>
      <c r="I83" s="10"/>
      <c r="S83" s="18"/>
    </row>
    <row r="84" spans="2:19" x14ac:dyDescent="0.3">
      <c r="B84" s="18"/>
      <c r="C84" s="13" t="s">
        <v>127</v>
      </c>
      <c r="E84" s="10"/>
      <c r="F84" s="10"/>
      <c r="G84" s="10"/>
      <c r="H84" s="10"/>
      <c r="I84" s="10"/>
      <c r="S84" s="18"/>
    </row>
    <row r="85" spans="2:19" x14ac:dyDescent="0.3">
      <c r="B85" s="18"/>
      <c r="C85" s="13" t="s">
        <v>128</v>
      </c>
      <c r="S85" s="18"/>
    </row>
    <row r="86" spans="2:19" x14ac:dyDescent="0.3">
      <c r="B86" s="18"/>
      <c r="C86" s="13" t="s">
        <v>148</v>
      </c>
      <c r="S86" s="18"/>
    </row>
    <row r="87" spans="2:19" x14ac:dyDescent="0.3">
      <c r="B87" s="18"/>
      <c r="C87" s="6"/>
      <c r="D87" s="6"/>
      <c r="E87" s="6"/>
      <c r="F87" s="6"/>
      <c r="G87" s="6"/>
      <c r="H87" s="6"/>
      <c r="I87" s="6"/>
      <c r="J87" s="6"/>
      <c r="K87" s="6"/>
      <c r="L87" s="6"/>
      <c r="M87" s="6"/>
      <c r="N87" s="6"/>
      <c r="O87" s="6"/>
      <c r="P87" s="6"/>
      <c r="Q87" s="6"/>
      <c r="R87" s="6"/>
      <c r="S87" s="18"/>
    </row>
    <row r="88" spans="2:19" x14ac:dyDescent="0.3">
      <c r="B88" s="22"/>
      <c r="C88" s="9"/>
      <c r="D88" s="3"/>
      <c r="E88" s="3"/>
      <c r="F88" s="3"/>
      <c r="G88" s="3"/>
      <c r="H88" s="3"/>
      <c r="I88" s="3"/>
      <c r="J88" s="3"/>
      <c r="K88" s="3"/>
      <c r="L88" s="3"/>
      <c r="M88" s="3"/>
      <c r="N88" s="3"/>
      <c r="O88" s="3"/>
      <c r="P88" s="3"/>
      <c r="Q88" s="3"/>
      <c r="R88" s="3"/>
      <c r="S88" s="22"/>
    </row>
    <row r="89" spans="2:19" ht="21.75" customHeight="1" x14ac:dyDescent="0.3">
      <c r="B89" s="22"/>
      <c r="C89" s="3"/>
      <c r="D89" s="144" t="str">
        <f>IF(MAX(O20:O36,O42:O58,O64:O80)&gt;2,"⚠ LET OP: Eén of meer inzamelmomenten zijn hoger dan 2. Dit is niet toegestaan. Controleer de containercapaciteit of aantal ingezette containers.","")</f>
        <v/>
      </c>
      <c r="E89" s="144"/>
      <c r="F89" s="144"/>
      <c r="G89" s="144"/>
      <c r="H89" s="144"/>
      <c r="I89" s="144"/>
      <c r="J89" s="3"/>
      <c r="K89" s="3"/>
      <c r="L89" s="3"/>
      <c r="M89" s="3"/>
      <c r="N89" s="3"/>
      <c r="O89" s="3"/>
      <c r="P89" s="3"/>
      <c r="Q89" s="3"/>
      <c r="R89" s="3"/>
      <c r="S89" s="22"/>
    </row>
    <row r="90" spans="2:19" s="3" customFormat="1" x14ac:dyDescent="0.3">
      <c r="B90" s="18"/>
      <c r="C90"/>
      <c r="D90"/>
      <c r="E90"/>
      <c r="F90"/>
      <c r="G90"/>
      <c r="H90"/>
      <c r="I90"/>
      <c r="J90"/>
      <c r="K90"/>
      <c r="L90"/>
      <c r="M90"/>
      <c r="N90"/>
      <c r="O90"/>
      <c r="P90"/>
      <c r="Q90"/>
      <c r="R90"/>
      <c r="S90" s="18"/>
    </row>
    <row r="91" spans="2:19" s="3" customFormat="1" x14ac:dyDescent="0.3">
      <c r="B91" s="18"/>
      <c r="C91" s="6"/>
      <c r="D91" s="6"/>
      <c r="E91" s="6"/>
      <c r="F91" s="6"/>
      <c r="G91" s="6"/>
      <c r="H91" s="6"/>
      <c r="I91" s="6"/>
      <c r="J91" s="6"/>
      <c r="K91" s="6"/>
      <c r="L91" s="6"/>
      <c r="M91" s="6"/>
      <c r="N91" s="6"/>
      <c r="O91" s="6"/>
      <c r="P91" s="6"/>
      <c r="Q91" s="6"/>
      <c r="R91" s="6"/>
      <c r="S91" s="18"/>
    </row>
    <row r="92" spans="2:19" ht="15.6" x14ac:dyDescent="0.3">
      <c r="B92" s="23"/>
      <c r="C92" s="4"/>
      <c r="D92" s="5"/>
      <c r="E92" s="60"/>
      <c r="F92" s="61" t="s">
        <v>130</v>
      </c>
      <c r="G92" s="62">
        <f>IF(AND(ISNUMBER(M37),ISNUMBER(M59),ISNUMBER(M81)),SUM(M37,M59,M81),"NIET COMPLEET")</f>
        <v>183500</v>
      </c>
      <c r="H92" s="5"/>
      <c r="I92" s="5"/>
      <c r="J92" s="30"/>
      <c r="K92" s="5"/>
      <c r="L92" s="5"/>
      <c r="M92" s="5"/>
      <c r="N92" s="5"/>
      <c r="O92" s="5"/>
      <c r="P92" s="5"/>
      <c r="Q92" s="5"/>
      <c r="R92" s="5"/>
      <c r="S92" s="23"/>
    </row>
    <row r="93" spans="2:19" ht="15.75" customHeight="1" x14ac:dyDescent="0.3">
      <c r="B93" s="23"/>
      <c r="C93" s="4"/>
      <c r="D93" s="5"/>
      <c r="E93" s="57"/>
      <c r="F93" s="58" t="s">
        <v>131</v>
      </c>
      <c r="G93" s="59">
        <f>IF(AND(ISNUMBER(Q37),ISNUMBER(Q59),ISNUMBER(Q81)),SUM(Q37,Q59,Q81),"NIET COMPLEET")</f>
        <v>470550</v>
      </c>
      <c r="H93" s="5"/>
      <c r="I93" s="5"/>
      <c r="J93" s="30"/>
      <c r="K93" s="5"/>
      <c r="L93" s="5"/>
      <c r="M93" s="5"/>
      <c r="N93" s="5"/>
      <c r="O93" s="5"/>
      <c r="P93" s="5"/>
      <c r="Q93" s="5"/>
      <c r="R93" s="5"/>
      <c r="S93" s="23"/>
    </row>
    <row r="94" spans="2:19" s="5" customFormat="1" ht="15.6" x14ac:dyDescent="0.3">
      <c r="B94" s="23"/>
      <c r="C94" s="4"/>
      <c r="J94" s="30"/>
      <c r="S94" s="23"/>
    </row>
    <row r="95" spans="2:19" s="5" customFormat="1" ht="15.6" x14ac:dyDescent="0.3">
      <c r="B95" s="23"/>
      <c r="C95" s="94" t="s">
        <v>132</v>
      </c>
      <c r="D95" s="94"/>
      <c r="E95" s="94"/>
      <c r="F95" s="94"/>
      <c r="G95" s="33">
        <f>SUM(G92:G93)</f>
        <v>654050</v>
      </c>
      <c r="H95" s="95" t="s">
        <v>133</v>
      </c>
      <c r="I95" s="95"/>
      <c r="J95" s="95"/>
      <c r="K95" s="95"/>
      <c r="L95" s="6"/>
      <c r="M95" s="6"/>
      <c r="N95" s="6"/>
      <c r="O95" s="6"/>
      <c r="P95" s="6"/>
      <c r="Q95" s="6"/>
      <c r="R95" s="6"/>
      <c r="S95" s="23"/>
    </row>
    <row r="96" spans="2:19" s="5" customFormat="1" ht="15.6" x14ac:dyDescent="0.3">
      <c r="B96" s="23"/>
      <c r="C96" s="4"/>
      <c r="J96" s="30"/>
      <c r="S96" s="23"/>
    </row>
    <row r="97" spans="2:19" s="5" customFormat="1" ht="5.25" customHeight="1" x14ac:dyDescent="0.3">
      <c r="B97" s="18"/>
      <c r="C97" s="18"/>
      <c r="D97" s="18"/>
      <c r="E97" s="18"/>
      <c r="F97" s="18"/>
      <c r="G97" s="18"/>
      <c r="H97" s="18"/>
      <c r="I97" s="18"/>
      <c r="J97" s="18"/>
      <c r="K97" s="18"/>
      <c r="L97" s="18"/>
      <c r="M97" s="18"/>
      <c r="N97" s="18"/>
      <c r="O97" s="18"/>
      <c r="P97" s="18"/>
      <c r="Q97" s="18"/>
      <c r="R97" s="18"/>
      <c r="S97" s="18"/>
    </row>
    <row r="98" spans="2:19" s="5" customFormat="1" ht="15.6" x14ac:dyDescent="0.3">
      <c r="B98"/>
      <c r="C98"/>
      <c r="D98"/>
      <c r="E98"/>
      <c r="F98"/>
      <c r="G98"/>
      <c r="H98"/>
      <c r="I98"/>
      <c r="J98" t="s">
        <v>17</v>
      </c>
      <c r="K98"/>
      <c r="L98"/>
      <c r="M98"/>
      <c r="N98"/>
      <c r="O98"/>
      <c r="P98"/>
      <c r="Q98"/>
      <c r="R98"/>
      <c r="S98"/>
    </row>
    <row r="99" spans="2:19" ht="25.5" customHeight="1" x14ac:dyDescent="0.3">
      <c r="C99" s="37" t="s">
        <v>134</v>
      </c>
      <c r="D99" s="131" t="s">
        <v>135</v>
      </c>
      <c r="E99" s="132"/>
      <c r="F99" s="133" t="s">
        <v>136</v>
      </c>
      <c r="G99" s="134" t="s">
        <v>137</v>
      </c>
    </row>
    <row r="100" spans="2:19" ht="25.5" customHeight="1" x14ac:dyDescent="0.3">
      <c r="C100" s="38" t="s">
        <v>138</v>
      </c>
      <c r="D100" s="131"/>
      <c r="E100" s="135"/>
      <c r="F100" s="135"/>
      <c r="G100" s="132"/>
    </row>
    <row r="101" spans="2:19" ht="25.5" customHeight="1" x14ac:dyDescent="0.3">
      <c r="C101" s="136" t="s">
        <v>139</v>
      </c>
      <c r="D101" s="131"/>
      <c r="E101" s="135"/>
      <c r="F101" s="135"/>
      <c r="G101" s="132"/>
    </row>
    <row r="102" spans="2:19" ht="25.5" customHeight="1" x14ac:dyDescent="0.3">
      <c r="C102" s="136" t="s">
        <v>140</v>
      </c>
      <c r="D102" s="137"/>
      <c r="E102" s="138"/>
      <c r="F102" s="138"/>
      <c r="G102" s="134"/>
    </row>
    <row r="103" spans="2:19" ht="25.5" customHeight="1" x14ac:dyDescent="0.3">
      <c r="C103" s="139"/>
      <c r="D103" s="140"/>
      <c r="E103" s="141"/>
      <c r="F103" s="141"/>
      <c r="G103" s="142"/>
    </row>
    <row r="104" spans="2:19" ht="24.75" customHeight="1" x14ac:dyDescent="0.3"/>
    <row r="105" spans="2:19" ht="25.5" customHeight="1" x14ac:dyDescent="0.3"/>
  </sheetData>
  <mergeCells count="7">
    <mergeCell ref="D89:I89"/>
    <mergeCell ref="AD18:AF18"/>
    <mergeCell ref="D6:F6"/>
    <mergeCell ref="D8:F8"/>
    <mergeCell ref="D9:F9"/>
    <mergeCell ref="D11:F11"/>
    <mergeCell ref="D10:F10"/>
  </mergeCells>
  <conditionalFormatting sqref="D89">
    <cfRule type="containsText" dxfId="3" priority="22" operator="containsText" text="Let op">
      <formula>NOT(ISERROR(SEARCH("Let op",D89)))</formula>
    </cfRule>
  </conditionalFormatting>
  <conditionalFormatting sqref="G20:G36">
    <cfRule type="colorScale" priority="3">
      <colorScale>
        <cfvo type="min"/>
        <cfvo type="max"/>
        <color rgb="FFFCFCFF"/>
        <color rgb="FFF8696B"/>
      </colorScale>
    </cfRule>
    <cfRule type="colorScale" priority="4">
      <colorScale>
        <cfvo type="min"/>
        <cfvo type="max"/>
        <color rgb="FFF8696B"/>
        <color rgb="FFFCFCFF"/>
      </colorScale>
    </cfRule>
    <cfRule type="colorScale" priority="39">
      <colorScale>
        <cfvo type="min"/>
        <cfvo type="max"/>
        <color rgb="FFF8696B"/>
        <color rgb="FFFCFCFF"/>
      </colorScale>
    </cfRule>
    <cfRule type="colorScale" priority="41">
      <colorScale>
        <cfvo type="min"/>
        <cfvo type="max"/>
        <color rgb="FFFCFCFF"/>
        <color rgb="FFF8696B"/>
      </colorScale>
    </cfRule>
  </conditionalFormatting>
  <conditionalFormatting sqref="G42:G58">
    <cfRule type="colorScale" priority="2">
      <colorScale>
        <cfvo type="min"/>
        <cfvo type="max"/>
        <color rgb="FFFCFCFF"/>
        <color rgb="FFF8696B"/>
      </colorScale>
    </cfRule>
  </conditionalFormatting>
  <conditionalFormatting sqref="G64:G80">
    <cfRule type="colorScale" priority="1">
      <colorScale>
        <cfvo type="min"/>
        <cfvo type="max"/>
        <color rgb="FFFCFCFF"/>
        <color rgb="FFF8696B"/>
      </colorScale>
    </cfRule>
  </conditionalFormatting>
  <conditionalFormatting sqref="O20:O36 O42:O58 O64:O80 I20:I36 I42:I58 I64:I80">
    <cfRule type="cellIs" dxfId="2" priority="24" operator="greaterThan">
      <formula>2</formula>
    </cfRule>
  </conditionalFormatting>
  <conditionalFormatting sqref="O20:O36 O42:O58 O64:O80">
    <cfRule type="containsText" dxfId="1" priority="23" stopIfTrue="1" operator="containsText" text="kolom">
      <formula>NOT(ISERROR(SEARCH("kolom",O20)))</formula>
    </cfRule>
  </conditionalFormatting>
  <conditionalFormatting sqref="P20:P36 P42:P58 P64:P80">
    <cfRule type="containsText" dxfId="0" priority="21" operator="containsText" text="Aantal">
      <formula>NOT(ISERROR(SEARCH("Aantal",P20)))</formula>
    </cfRule>
  </conditionalFormatting>
  <conditionalFormatting sqref="AI20:AI35">
    <cfRule type="colorScale" priority="25">
      <colorScale>
        <cfvo type="min"/>
        <cfvo type="percentile" val="50"/>
        <cfvo type="max"/>
        <color rgb="FFF8696B"/>
        <color rgb="FFFCFCFF"/>
        <color rgb="FF63BE7B"/>
      </colorScale>
    </cfRule>
    <cfRule type="colorScale" priority="27">
      <colorScale>
        <cfvo type="min"/>
        <cfvo type="percentile" val="50"/>
        <cfvo type="max"/>
        <color rgb="FF63BE7B"/>
        <color rgb="FFFCFCFF"/>
        <color rgb="FFF8696B"/>
      </colorScale>
    </cfRule>
  </conditionalFormatting>
  <conditionalFormatting sqref="AI36">
    <cfRule type="colorScale" priority="11">
      <colorScale>
        <cfvo type="min"/>
        <cfvo type="max"/>
        <color rgb="FFFCFCFF"/>
        <color rgb="FFF8696B"/>
      </colorScale>
    </cfRule>
  </conditionalFormatting>
  <conditionalFormatting sqref="AK20:AK36">
    <cfRule type="colorScale" priority="29">
      <colorScale>
        <cfvo type="min"/>
        <cfvo type="max"/>
        <color rgb="FFF8696B"/>
        <color rgb="FFFCFCFF"/>
      </colorScale>
    </cfRule>
    <cfRule type="colorScale" priority="32">
      <colorScale>
        <cfvo type="min"/>
        <cfvo type="max"/>
        <color rgb="FFFCFCFF"/>
        <color rgb="FFF8696B"/>
      </colorScale>
    </cfRule>
  </conditionalFormatting>
  <dataValidations count="9">
    <dataValidation type="list" allowBlank="1" showInputMessage="1" showErrorMessage="1" sqref="H20:H36 H42:H58" xr:uid="{33814BE7-70DC-4152-AC07-1A0CB0753D03}">
      <formula1>$U$16:$U$18</formula1>
    </dataValidation>
    <dataValidation type="whole" errorStyle="warning" operator="lessThanOrEqual" allowBlank="1" showInputMessage="1" errorTitle="Waarde niet toegestaan" error="Het maximale aantal inzamelmomenten per week is 2. Hoger is niet toegestaan. Vergroot de capaciteit of het aantal containers. " sqref="O20:O36 O42:O58 O64:O80" xr:uid="{3722AFE8-964D-4F06-A937-94D5985AF5F6}">
      <formula1>2</formula1>
    </dataValidation>
    <dataValidation allowBlank="1" sqref="P20:P36 P42:P58 P64:P80" xr:uid="{BACBA0A6-CF2C-4735-B8EE-3345822B1354}"/>
    <dataValidation type="list" allowBlank="1" showInputMessage="1" showErrorMessage="1" sqref="I20:I36 I42:I58 I64:I80" xr:uid="{93CDAACB-4DD3-4D9A-944F-62B2A5097B67}">
      <formula1>$U$29:$U$37</formula1>
    </dataValidation>
    <dataValidation allowBlank="1" showInputMessage="1" showErrorMessage="1" prompt="Beschrijf in deze regel optie 1 voor het in te zetten perssysteem voor rest en OPK, geef voor deze container ook de capaciteit en prijzen op in deze regel. " sqref="D8:F8" xr:uid="{9D3482B8-0DF9-40C9-B6E7-3536E9744AC2}"/>
    <dataValidation allowBlank="1" showInputMessage="1" showErrorMessage="1" prompt="Beschrijf in deze regel optie 2 voor het in te zetten perssysteem voor rest en OPK, geef voor deze container ook de capaciteit en prijzen op in deze regel." sqref="D9:F9" xr:uid="{6B253B8C-2811-4EF4-BD1B-9EAAD48566C4}"/>
    <dataValidation allowBlank="1" showInputMessage="1" showErrorMessage="1" prompt="Beschrijf in deze regel optie 1 voor het in te zetten inzamelsysteem voor gfe, geef voor deze container ook de capaciteit en prijzen op in deze regel." sqref="D10:F10" xr:uid="{603E8FB7-C306-46EF-B143-AFA2BDF6B472}"/>
    <dataValidation allowBlank="1" showInputMessage="1" showErrorMessage="1" prompt="Beschrijf in deze regel optie 2 voor het in te zetten inzamelsysteem voor gfe, geef voor deze container ook de capaciteit en prijzen op in deze regel." sqref="D11:F11" xr:uid="{DF76D4B1-5F0D-4CCF-AE6A-ADCD59C95D52}"/>
    <dataValidation type="list" allowBlank="1" showInputMessage="1" showErrorMessage="1" sqref="H64:H80" xr:uid="{097D888F-FD9D-489C-9026-18E41CD06A57}">
      <formula1>$X$16:$X$18</formula1>
    </dataValidation>
  </dataValidations>
  <pageMargins left="0.7" right="0.7" top="0.75" bottom="0.75" header="0.3" footer="0.3"/>
  <drawing r:id="rId1"/>
  <legacy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8CFA4EF-FD8E-4CBF-8D79-CA0F27EB6A91}">
  <dimension ref="A1:U31"/>
  <sheetViews>
    <sheetView workbookViewId="0">
      <selection activeCell="T17" sqref="T17"/>
    </sheetView>
  </sheetViews>
  <sheetFormatPr defaultRowHeight="14.4" x14ac:dyDescent="0.3"/>
  <cols>
    <col min="1" max="1" width="35.6640625" bestFit="1" customWidth="1"/>
    <col min="2" max="2" width="27.33203125" customWidth="1"/>
    <col min="3" max="3" width="11.44140625" style="48" customWidth="1"/>
    <col min="4" max="5" width="16.109375" style="48" customWidth="1"/>
    <col min="6" max="6" width="10.5546875" style="48" customWidth="1"/>
    <col min="7" max="8" width="10.109375" style="48" customWidth="1"/>
    <col min="9" max="10" width="13.109375" style="48" customWidth="1"/>
    <col min="12" max="13" width="14.88671875" customWidth="1"/>
    <col min="14" max="14" width="6.6640625" style="48" customWidth="1"/>
    <col min="15" max="15" width="20.6640625" style="48" customWidth="1"/>
    <col min="16" max="18" width="20.5546875" style="48" customWidth="1"/>
    <col min="19" max="20" width="19.44140625" style="48" customWidth="1"/>
    <col min="21" max="21" width="60" customWidth="1"/>
  </cols>
  <sheetData>
    <row r="1" spans="1:21" s="1" customFormat="1" x14ac:dyDescent="0.3">
      <c r="B1" s="1" t="s">
        <v>149</v>
      </c>
      <c r="C1" s="96" t="s">
        <v>150</v>
      </c>
      <c r="D1" s="96" t="s">
        <v>151</v>
      </c>
      <c r="E1" s="96" t="s">
        <v>152</v>
      </c>
      <c r="F1" s="96" t="s">
        <v>153</v>
      </c>
      <c r="G1" s="96" t="s">
        <v>154</v>
      </c>
      <c r="H1" s="96" t="s">
        <v>155</v>
      </c>
      <c r="I1" s="96" t="s">
        <v>156</v>
      </c>
      <c r="J1" s="96" t="s">
        <v>155</v>
      </c>
      <c r="K1" s="1" t="s">
        <v>157</v>
      </c>
      <c r="L1" s="1" t="s">
        <v>158</v>
      </c>
      <c r="M1" s="1" t="s">
        <v>159</v>
      </c>
      <c r="N1" s="96" t="s">
        <v>160</v>
      </c>
      <c r="O1" s="96" t="s">
        <v>161</v>
      </c>
      <c r="P1" s="96" t="s">
        <v>162</v>
      </c>
      <c r="Q1" s="96" t="s">
        <v>163</v>
      </c>
      <c r="R1" s="96" t="s">
        <v>164</v>
      </c>
      <c r="S1" s="96" t="s">
        <v>165</v>
      </c>
      <c r="T1" s="96" t="s">
        <v>166</v>
      </c>
    </row>
    <row r="2" spans="1:21" x14ac:dyDescent="0.3">
      <c r="A2" t="s">
        <v>78</v>
      </c>
      <c r="B2">
        <f>Bedrijfsafval!C4-1</f>
        <v>1</v>
      </c>
      <c r="D2" s="108">
        <f>'Prijzenblad incl alle BA'!G22</f>
        <v>5.2743562889465352</v>
      </c>
      <c r="E2" s="108"/>
      <c r="F2" s="48">
        <f>B2*$K$19</f>
        <v>4.8000000000000007</v>
      </c>
      <c r="G2" s="113">
        <f>(D2*$D$21)*4</f>
        <v>2320.7167671364755</v>
      </c>
      <c r="H2" s="113">
        <f>G2*52</f>
        <v>120677.27189109672</v>
      </c>
      <c r="I2" s="48">
        <f t="shared" ref="I2:I16" si="0">(F2*$D$21)*4</f>
        <v>2112.0000000000005</v>
      </c>
      <c r="J2" s="48">
        <f>I2*52</f>
        <v>109824.00000000003</v>
      </c>
      <c r="K2" s="10">
        <f>F2-D2</f>
        <v>-0.47435628894653448</v>
      </c>
      <c r="L2" s="87">
        <f>K2/$D$19</f>
        <v>-0.19764845372772266</v>
      </c>
      <c r="M2" s="87">
        <f t="shared" ref="M2:M16" si="1">(K2*$D$21)*4</f>
        <v>-208.71676713647517</v>
      </c>
      <c r="O2" s="109">
        <f>'Prijzenblad incl alle BA'!AD22</f>
        <v>259.94753636724437</v>
      </c>
      <c r="P2" s="109">
        <f>O2+M2</f>
        <v>51.230769230769198</v>
      </c>
      <c r="Q2" s="113">
        <f>P2*52</f>
        <v>2663.9999999999982</v>
      </c>
      <c r="R2" s="123">
        <f>I2</f>
        <v>2112.0000000000005</v>
      </c>
      <c r="S2" s="109">
        <f>O2-P2</f>
        <v>208.71676713647517</v>
      </c>
      <c r="T2" s="109">
        <v>0</v>
      </c>
      <c r="U2" s="100" t="s">
        <v>167</v>
      </c>
    </row>
    <row r="3" spans="1:21" x14ac:dyDescent="0.3">
      <c r="A3" s="110" t="s">
        <v>83</v>
      </c>
      <c r="B3">
        <v>2</v>
      </c>
      <c r="C3" s="48" t="s">
        <v>168</v>
      </c>
      <c r="D3" s="114">
        <v>16.934842000424108</v>
      </c>
      <c r="E3" s="114">
        <f>Prijzenblad!G23</f>
        <v>9.6000000000000014</v>
      </c>
      <c r="F3" s="48">
        <f t="shared" ref="F3:F16" si="2">B3*$K$19</f>
        <v>9.6000000000000014</v>
      </c>
      <c r="G3" s="113">
        <f>(E3*$D$21)*4</f>
        <v>4224.0000000000009</v>
      </c>
      <c r="H3" s="113">
        <f t="shared" ref="H3:H16" si="3">G3*52</f>
        <v>219648.00000000006</v>
      </c>
      <c r="I3" s="48">
        <f t="shared" si="0"/>
        <v>4224.0000000000009</v>
      </c>
      <c r="J3" s="126">
        <f t="shared" ref="J3:J16" si="4">I3*52</f>
        <v>219648.00000000006</v>
      </c>
      <c r="K3" s="10">
        <f t="shared" ref="K3:K16" si="5">F3-D3</f>
        <v>-7.3348420004241071</v>
      </c>
      <c r="L3" s="87">
        <f>K3/$D$19</f>
        <v>-3.0561841668433773</v>
      </c>
      <c r="M3" s="87">
        <f t="shared" si="1"/>
        <v>-3227.330480186607</v>
      </c>
      <c r="O3" s="109">
        <f>'Prijzenblad incl alle BA'!AD23</f>
        <v>2684.0843263404527</v>
      </c>
      <c r="P3" s="109">
        <v>0</v>
      </c>
      <c r="Q3" s="113">
        <f t="shared" ref="Q3:Q16" si="6">P3*52</f>
        <v>0</v>
      </c>
      <c r="R3" s="123">
        <f>I3</f>
        <v>4224.0000000000009</v>
      </c>
      <c r="S3" s="109">
        <f t="shared" ref="S3:S16" si="7">O3-P3</f>
        <v>2684.0843263404527</v>
      </c>
      <c r="T3" s="109">
        <f>S3</f>
        <v>2684.0843263404527</v>
      </c>
      <c r="U3" s="100" t="str">
        <f>Bedrijfsafval!G5</f>
        <v>Bedrijfsafval in aanvullende ruimte, hoeveelheid aanpassen omlaag. Bedrijfsafval supermarkt + bouwmarkt niet meerekenen</v>
      </c>
    </row>
    <row r="4" spans="1:21" x14ac:dyDescent="0.3">
      <c r="A4" t="s">
        <v>85</v>
      </c>
      <c r="B4">
        <f>Bedrijfsafval!C6-1</f>
        <v>3</v>
      </c>
      <c r="D4" s="108">
        <f>'Prijzenblad incl alle BA'!G24</f>
        <v>6.3079350169109025</v>
      </c>
      <c r="E4" s="108"/>
      <c r="F4" s="48">
        <f t="shared" si="2"/>
        <v>14.400000000000002</v>
      </c>
      <c r="G4" s="113">
        <f t="shared" ref="G4:G16" si="8">(D4*$D$21)*4</f>
        <v>2775.491407440797</v>
      </c>
      <c r="H4" s="113">
        <f t="shared" si="3"/>
        <v>144325.55318692146</v>
      </c>
      <c r="I4" s="48">
        <f t="shared" si="0"/>
        <v>6336.0000000000009</v>
      </c>
      <c r="J4" s="48">
        <f t="shared" si="4"/>
        <v>329472.00000000006</v>
      </c>
      <c r="K4" s="10">
        <f t="shared" si="5"/>
        <v>8.0920649830890987</v>
      </c>
      <c r="L4" s="87"/>
      <c r="M4" s="87"/>
      <c r="N4" s="48" t="s">
        <v>169</v>
      </c>
      <c r="O4" s="109">
        <f>'Prijzenblad incl alle BA'!AD24</f>
        <v>790.28371513310447</v>
      </c>
      <c r="P4" s="109">
        <f t="shared" ref="P4:P15" si="9">O4+M4</f>
        <v>790.28371513310447</v>
      </c>
      <c r="Q4" s="113">
        <f t="shared" si="6"/>
        <v>41094.753186921429</v>
      </c>
      <c r="R4" s="123">
        <f>G4</f>
        <v>2775.491407440797</v>
      </c>
      <c r="S4" s="109">
        <f t="shared" si="7"/>
        <v>0</v>
      </c>
      <c r="T4" s="109">
        <v>0</v>
      </c>
    </row>
    <row r="5" spans="1:21" x14ac:dyDescent="0.3">
      <c r="A5" t="s">
        <v>89</v>
      </c>
      <c r="B5">
        <f>Bedrijfsafval!C7-1</f>
        <v>2</v>
      </c>
      <c r="D5" s="108">
        <f>'Prijzenblad incl alle BA'!G25</f>
        <v>15.000396877074298</v>
      </c>
      <c r="E5" s="108"/>
      <c r="F5" s="48">
        <f t="shared" si="2"/>
        <v>9.6000000000000014</v>
      </c>
      <c r="G5" s="113">
        <f t="shared" si="8"/>
        <v>6600.1746259126912</v>
      </c>
      <c r="H5" s="113">
        <f t="shared" si="3"/>
        <v>343209.08054745995</v>
      </c>
      <c r="I5" s="48">
        <f t="shared" si="0"/>
        <v>4224.0000000000009</v>
      </c>
      <c r="J5" s="48">
        <f t="shared" si="4"/>
        <v>219648.00000000006</v>
      </c>
      <c r="K5" s="10">
        <f t="shared" si="5"/>
        <v>-5.4003968770742965</v>
      </c>
      <c r="L5" s="87">
        <f t="shared" ref="L5:L16" si="10">K5/$D$19</f>
        <v>-2.2501653654476232</v>
      </c>
      <c r="M5" s="87">
        <f t="shared" si="1"/>
        <v>-2376.1746259126903</v>
      </c>
      <c r="O5" s="109">
        <f>'Prijzenblad incl alle BA'!AD25</f>
        <v>5569.790010528076</v>
      </c>
      <c r="P5" s="109">
        <f t="shared" si="9"/>
        <v>3193.6153846153857</v>
      </c>
      <c r="Q5" s="113">
        <f t="shared" si="6"/>
        <v>166068.00000000006</v>
      </c>
      <c r="R5" s="123">
        <f>I5</f>
        <v>4224.0000000000009</v>
      </c>
      <c r="S5" s="109">
        <f t="shared" si="7"/>
        <v>2376.1746259126903</v>
      </c>
      <c r="T5" s="109">
        <v>0</v>
      </c>
      <c r="U5" s="100" t="s">
        <v>170</v>
      </c>
    </row>
    <row r="6" spans="1:21" x14ac:dyDescent="0.3">
      <c r="A6" t="s">
        <v>93</v>
      </c>
      <c r="B6">
        <v>2</v>
      </c>
      <c r="D6" s="108">
        <f>'Prijzenblad incl alle BA'!G26</f>
        <v>6.1795049955308716</v>
      </c>
      <c r="E6" s="108"/>
      <c r="F6" s="48">
        <f t="shared" si="2"/>
        <v>9.6000000000000014</v>
      </c>
      <c r="G6" s="113">
        <f t="shared" si="8"/>
        <v>2718.9821980335837</v>
      </c>
      <c r="H6" s="113">
        <f t="shared" si="3"/>
        <v>141387.07429774635</v>
      </c>
      <c r="I6" s="48">
        <f t="shared" si="0"/>
        <v>4224.0000000000009</v>
      </c>
      <c r="J6" s="48">
        <f t="shared" si="4"/>
        <v>219648.00000000006</v>
      </c>
      <c r="K6" s="10">
        <f t="shared" si="5"/>
        <v>3.4204950044691298</v>
      </c>
      <c r="L6" s="87">
        <f t="shared" si="10"/>
        <v>1.4252062518621371</v>
      </c>
      <c r="M6" s="87">
        <f t="shared" si="1"/>
        <v>1505.0178019664172</v>
      </c>
      <c r="O6" s="109">
        <f>'Prijzenblad incl alle BA'!AD26</f>
        <v>122.41296726435331</v>
      </c>
      <c r="P6" s="109">
        <f>O6</f>
        <v>122.41296726435331</v>
      </c>
      <c r="Q6" s="113">
        <f t="shared" si="6"/>
        <v>6365.474297746372</v>
      </c>
      <c r="R6" s="123">
        <f>I6</f>
        <v>4224.0000000000009</v>
      </c>
      <c r="S6" s="109">
        <v>0</v>
      </c>
      <c r="T6" s="109">
        <v>0</v>
      </c>
      <c r="U6" s="98" t="s">
        <v>171</v>
      </c>
    </row>
    <row r="7" spans="1:21" x14ac:dyDescent="0.3">
      <c r="A7" t="s">
        <v>96</v>
      </c>
      <c r="B7">
        <f>Bedrijfsafval!C9-1</f>
        <v>1</v>
      </c>
      <c r="D7" s="108">
        <f>'Prijzenblad incl alle BA'!G27</f>
        <v>5.0173649772507254</v>
      </c>
      <c r="E7" s="108"/>
      <c r="F7" s="48">
        <f t="shared" si="2"/>
        <v>4.8000000000000007</v>
      </c>
      <c r="G7" s="113">
        <f t="shared" si="8"/>
        <v>2207.6405899903193</v>
      </c>
      <c r="H7" s="113">
        <f t="shared" si="3"/>
        <v>114797.3106794966</v>
      </c>
      <c r="I7" s="48">
        <f t="shared" si="0"/>
        <v>2112.0000000000005</v>
      </c>
      <c r="J7" s="48">
        <f t="shared" si="4"/>
        <v>109824.00000000003</v>
      </c>
      <c r="K7" s="10">
        <f t="shared" si="5"/>
        <v>-0.21736497725072468</v>
      </c>
      <c r="L7" s="87">
        <f t="shared" si="10"/>
        <v>-9.0568740521135269E-2</v>
      </c>
      <c r="M7" s="87">
        <f t="shared" si="1"/>
        <v>-95.640589990318858</v>
      </c>
      <c r="O7" s="109">
        <f>'Prijzenblad incl alle BA'!AD27</f>
        <v>586.50212845185752</v>
      </c>
      <c r="P7" s="109">
        <f t="shared" si="9"/>
        <v>490.86153846153866</v>
      </c>
      <c r="Q7" s="113">
        <f t="shared" si="6"/>
        <v>25524.80000000001</v>
      </c>
      <c r="R7" s="123">
        <f>I7</f>
        <v>2112.0000000000005</v>
      </c>
      <c r="S7" s="109">
        <f t="shared" si="7"/>
        <v>95.640589990318858</v>
      </c>
      <c r="T7" s="109">
        <v>0</v>
      </c>
      <c r="U7" s="100" t="s">
        <v>172</v>
      </c>
    </row>
    <row r="8" spans="1:21" x14ac:dyDescent="0.3">
      <c r="A8" s="115" t="s">
        <v>97</v>
      </c>
      <c r="B8">
        <v>4</v>
      </c>
      <c r="C8" s="48" t="s">
        <v>173</v>
      </c>
      <c r="D8" s="114">
        <v>9.2804692806526958</v>
      </c>
      <c r="E8" s="114">
        <f>Prijzenblad!G28</f>
        <v>4.8000000000000007</v>
      </c>
      <c r="F8" s="48">
        <f t="shared" si="2"/>
        <v>19.200000000000003</v>
      </c>
      <c r="G8" s="113">
        <f>(E8*$D$21)*4</f>
        <v>2112.0000000000005</v>
      </c>
      <c r="H8" s="113">
        <f t="shared" si="3"/>
        <v>109824.00000000003</v>
      </c>
      <c r="I8" s="48">
        <f t="shared" si="0"/>
        <v>8448.0000000000018</v>
      </c>
      <c r="J8" s="48">
        <f t="shared" si="4"/>
        <v>439296.00000000012</v>
      </c>
      <c r="K8" s="10">
        <f t="shared" si="5"/>
        <v>9.919530719347307</v>
      </c>
      <c r="L8" s="87">
        <f t="shared" si="10"/>
        <v>4.1331377997280443</v>
      </c>
      <c r="M8" s="87">
        <f>(K8*$D$21)*4</f>
        <v>4364.5935165128149</v>
      </c>
      <c r="O8" s="109">
        <f>'Prijzenblad incl alle BA'!AD28</f>
        <v>2036.3757142564186</v>
      </c>
      <c r="P8" s="109">
        <v>0</v>
      </c>
      <c r="Q8" s="113">
        <f t="shared" si="6"/>
        <v>0</v>
      </c>
      <c r="R8" s="123">
        <f>G8</f>
        <v>2112.0000000000005</v>
      </c>
      <c r="S8" s="109">
        <f t="shared" si="7"/>
        <v>2036.3757142564186</v>
      </c>
      <c r="T8" s="109">
        <v>0</v>
      </c>
      <c r="U8" s="100" t="s">
        <v>174</v>
      </c>
    </row>
    <row r="9" spans="1:21" x14ac:dyDescent="0.3">
      <c r="A9" s="110" t="s">
        <v>100</v>
      </c>
      <c r="B9">
        <f>Bedrijfsafval!C11-1</f>
        <v>3</v>
      </c>
      <c r="C9" s="48" t="s">
        <v>168</v>
      </c>
      <c r="D9" s="114">
        <v>15.005837955804617</v>
      </c>
      <c r="E9" s="114">
        <f>Prijzenblad!G29</f>
        <v>8.9772727272727266</v>
      </c>
      <c r="F9" s="48">
        <f t="shared" si="2"/>
        <v>14.400000000000002</v>
      </c>
      <c r="G9" s="113">
        <f>(E9*$D$21)*4</f>
        <v>3949.9999999999995</v>
      </c>
      <c r="H9" s="113">
        <f t="shared" si="3"/>
        <v>205399.99999999997</v>
      </c>
      <c r="I9" s="48">
        <f t="shared" si="0"/>
        <v>6336.0000000000009</v>
      </c>
      <c r="J9" s="48">
        <f t="shared" si="4"/>
        <v>329472.00000000006</v>
      </c>
      <c r="K9" s="10">
        <f t="shared" si="5"/>
        <v>-0.60583795580461519</v>
      </c>
      <c r="L9" s="87">
        <f t="shared" si="10"/>
        <v>-0.25243248158525627</v>
      </c>
      <c r="M9" s="87">
        <f t="shared" si="1"/>
        <v>-266.56870055403067</v>
      </c>
      <c r="O9" s="109">
        <f>'Prijzenblad incl alle BA'!AD29</f>
        <v>2652.7610082463389</v>
      </c>
      <c r="P9" s="109">
        <v>0</v>
      </c>
      <c r="Q9" s="113">
        <f t="shared" si="6"/>
        <v>0</v>
      </c>
      <c r="R9" s="123">
        <f>G8</f>
        <v>2112.0000000000005</v>
      </c>
      <c r="S9" s="109">
        <f t="shared" si="7"/>
        <v>2652.7610082463389</v>
      </c>
      <c r="T9" s="109">
        <f>S9</f>
        <v>2652.7610082463389</v>
      </c>
      <c r="U9" s="100" t="str">
        <f>Bedrijfsafval!G11</f>
        <v>KDV en voorzieningen hebben eigen afvalruimte. Onderzoeken locatie</v>
      </c>
    </row>
    <row r="10" spans="1:21" x14ac:dyDescent="0.3">
      <c r="A10" t="s">
        <v>101</v>
      </c>
      <c r="B10">
        <f>Bedrijfsafval!C12-1</f>
        <v>1</v>
      </c>
      <c r="D10" s="108">
        <f>'Prijzenblad incl alle BA'!G30</f>
        <v>2.9034801681602254</v>
      </c>
      <c r="E10" s="108"/>
      <c r="F10" s="48">
        <f t="shared" si="2"/>
        <v>4.8000000000000007</v>
      </c>
      <c r="G10" s="113">
        <f t="shared" si="8"/>
        <v>1277.5312739904991</v>
      </c>
      <c r="H10" s="113">
        <f t="shared" si="3"/>
        <v>66431.626247505948</v>
      </c>
      <c r="I10" s="48">
        <f t="shared" si="0"/>
        <v>2112.0000000000005</v>
      </c>
      <c r="J10" s="48">
        <f t="shared" si="4"/>
        <v>109824.00000000003</v>
      </c>
      <c r="K10" s="10">
        <f t="shared" si="5"/>
        <v>1.8965198318397753</v>
      </c>
      <c r="L10" s="87"/>
      <c r="M10" s="87"/>
      <c r="N10" s="48" t="s">
        <v>169</v>
      </c>
      <c r="O10" s="109">
        <f>'Prijzenblad incl alle BA'!AD30</f>
        <v>295.23127399049918</v>
      </c>
      <c r="P10" s="109">
        <f t="shared" si="9"/>
        <v>295.23127399049918</v>
      </c>
      <c r="Q10" s="113">
        <f t="shared" si="6"/>
        <v>15352.026247505957</v>
      </c>
      <c r="R10" s="123">
        <f>G10</f>
        <v>1277.5312739904991</v>
      </c>
      <c r="S10" s="109">
        <f t="shared" si="7"/>
        <v>0</v>
      </c>
      <c r="T10" s="109">
        <v>0</v>
      </c>
    </row>
    <row r="11" spans="1:21" x14ac:dyDescent="0.3">
      <c r="A11" t="s">
        <v>102</v>
      </c>
      <c r="B11">
        <f>Bedrijfsafval!C13-1</f>
        <v>2</v>
      </c>
      <c r="D11" s="108">
        <f>'Prijzenblad incl alle BA'!G31</f>
        <v>3.2941083916083915</v>
      </c>
      <c r="E11" s="108"/>
      <c r="F11" s="48">
        <f t="shared" si="2"/>
        <v>9.6000000000000014</v>
      </c>
      <c r="G11" s="113">
        <f t="shared" si="8"/>
        <v>1449.4076923076923</v>
      </c>
      <c r="H11" s="113">
        <f t="shared" si="3"/>
        <v>75369.2</v>
      </c>
      <c r="I11" s="48">
        <f t="shared" si="0"/>
        <v>4224.0000000000009</v>
      </c>
      <c r="J11" s="48">
        <f t="shared" si="4"/>
        <v>219648.00000000006</v>
      </c>
      <c r="K11" s="10">
        <f t="shared" si="5"/>
        <v>6.3058916083916099</v>
      </c>
      <c r="L11" s="87"/>
      <c r="M11" s="87"/>
      <c r="N11" s="48" t="s">
        <v>169</v>
      </c>
      <c r="O11" s="109">
        <f>'Prijzenblad incl alle BA'!AD31</f>
        <v>0</v>
      </c>
      <c r="P11" s="109">
        <f t="shared" si="9"/>
        <v>0</v>
      </c>
      <c r="Q11" s="113">
        <f t="shared" si="6"/>
        <v>0</v>
      </c>
      <c r="R11" s="123">
        <f>G11</f>
        <v>1449.4076923076923</v>
      </c>
      <c r="S11" s="109">
        <f t="shared" si="7"/>
        <v>0</v>
      </c>
      <c r="T11" s="109">
        <v>0</v>
      </c>
    </row>
    <row r="12" spans="1:21" x14ac:dyDescent="0.3">
      <c r="A12" t="s">
        <v>103</v>
      </c>
      <c r="B12">
        <v>4</v>
      </c>
      <c r="C12" s="48" t="s">
        <v>168</v>
      </c>
      <c r="D12" s="114">
        <v>8.6979144177746406</v>
      </c>
      <c r="E12" s="114">
        <f>Prijzenblad!G32</f>
        <v>7.3396801520403745</v>
      </c>
      <c r="F12" s="48">
        <f t="shared" si="2"/>
        <v>19.200000000000003</v>
      </c>
      <c r="G12" s="113">
        <f>(E12*$D$21)*4</f>
        <v>3229.4592668977648</v>
      </c>
      <c r="H12" s="113">
        <f t="shared" si="3"/>
        <v>167931.88187868378</v>
      </c>
      <c r="I12" s="48">
        <f t="shared" si="0"/>
        <v>8448.0000000000018</v>
      </c>
      <c r="J12" s="48">
        <f t="shared" si="4"/>
        <v>439296.00000000012</v>
      </c>
      <c r="K12" s="10">
        <f t="shared" si="5"/>
        <v>10.502085582225362</v>
      </c>
      <c r="L12" s="87"/>
      <c r="M12" s="87"/>
      <c r="N12" s="48" t="s">
        <v>169</v>
      </c>
      <c r="O12" s="109">
        <f>'Prijzenblad incl alle BA'!AD32</f>
        <v>646.62849766699571</v>
      </c>
      <c r="P12" s="109">
        <f t="shared" si="9"/>
        <v>646.62849766699571</v>
      </c>
      <c r="Q12" s="113">
        <f t="shared" si="6"/>
        <v>33624.681878683776</v>
      </c>
      <c r="R12" s="123">
        <f>G12</f>
        <v>3229.4592668977648</v>
      </c>
      <c r="S12" s="109">
        <f t="shared" si="7"/>
        <v>0</v>
      </c>
      <c r="T12" s="109">
        <v>0</v>
      </c>
      <c r="U12" s="100" t="str">
        <f>Bedrijfsafval!G14</f>
        <v xml:space="preserve">2 ruimtes, maar is niet gesplitst in onze opzet. </v>
      </c>
    </row>
    <row r="13" spans="1:21" x14ac:dyDescent="0.3">
      <c r="A13" t="s">
        <v>104</v>
      </c>
      <c r="B13">
        <f>Bedrijfsafval!C15-1</f>
        <v>1</v>
      </c>
      <c r="D13" s="108">
        <f>'Prijzenblad incl alle BA'!G33</f>
        <v>6.1441615273048011</v>
      </c>
      <c r="E13" s="108"/>
      <c r="F13" s="48">
        <f t="shared" si="2"/>
        <v>4.8000000000000007</v>
      </c>
      <c r="G13" s="113">
        <f t="shared" si="8"/>
        <v>2703.4310720141125</v>
      </c>
      <c r="H13" s="113">
        <f t="shared" si="3"/>
        <v>140578.41574473385</v>
      </c>
      <c r="I13" s="48">
        <f t="shared" si="0"/>
        <v>2112.0000000000005</v>
      </c>
      <c r="J13" s="48">
        <f t="shared" si="4"/>
        <v>109824.00000000003</v>
      </c>
      <c r="K13" s="10">
        <f t="shared" si="5"/>
        <v>-1.3441615273048004</v>
      </c>
      <c r="L13" s="87">
        <f t="shared" si="10"/>
        <v>-0.56006730304366681</v>
      </c>
      <c r="M13" s="87">
        <f t="shared" si="1"/>
        <v>-591.43107201411215</v>
      </c>
      <c r="O13" s="109">
        <f>'Prijzenblad incl alle BA'!AD33</f>
        <v>1164.7233797064205</v>
      </c>
      <c r="P13" s="109">
        <f t="shared" si="9"/>
        <v>573.29230769230833</v>
      </c>
      <c r="Q13" s="113">
        <f t="shared" si="6"/>
        <v>29811.200000000033</v>
      </c>
      <c r="R13" s="123">
        <f>I13</f>
        <v>2112.0000000000005</v>
      </c>
      <c r="S13" s="109">
        <f t="shared" si="7"/>
        <v>591.43107201411215</v>
      </c>
      <c r="T13" s="109">
        <v>0</v>
      </c>
      <c r="U13" s="100" t="s">
        <v>172</v>
      </c>
    </row>
    <row r="14" spans="1:21" x14ac:dyDescent="0.3">
      <c r="A14" t="s">
        <v>105</v>
      </c>
      <c r="B14">
        <f>Bedrijfsafval!C16-1</f>
        <v>3</v>
      </c>
      <c r="D14" s="108">
        <f>'Prijzenblad incl alle BA'!G34</f>
        <v>9.3148365575584666</v>
      </c>
      <c r="E14" s="108"/>
      <c r="F14" s="48">
        <f t="shared" si="2"/>
        <v>14.400000000000002</v>
      </c>
      <c r="G14" s="113">
        <f t="shared" si="8"/>
        <v>4098.5280853257254</v>
      </c>
      <c r="H14" s="113">
        <f t="shared" si="3"/>
        <v>213123.46043693772</v>
      </c>
      <c r="I14" s="48">
        <f t="shared" si="0"/>
        <v>6336.0000000000009</v>
      </c>
      <c r="J14" s="48">
        <f t="shared" si="4"/>
        <v>329472.00000000006</v>
      </c>
      <c r="K14" s="10">
        <f t="shared" si="5"/>
        <v>5.0851634424415355</v>
      </c>
      <c r="L14" s="87"/>
      <c r="M14" s="87"/>
      <c r="N14" s="48" t="s">
        <v>169</v>
      </c>
      <c r="O14" s="109">
        <f>'Prijzenblad incl alle BA'!AD34</f>
        <v>2051.4973160949562</v>
      </c>
      <c r="P14" s="109">
        <f t="shared" si="9"/>
        <v>2051.4973160949562</v>
      </c>
      <c r="Q14" s="113">
        <f t="shared" si="6"/>
        <v>106677.86043693773</v>
      </c>
      <c r="R14" s="123">
        <f>G14</f>
        <v>4098.5280853257254</v>
      </c>
      <c r="S14" s="109">
        <f t="shared" si="7"/>
        <v>0</v>
      </c>
      <c r="T14" s="109">
        <v>0</v>
      </c>
    </row>
    <row r="15" spans="1:21" x14ac:dyDescent="0.3">
      <c r="A15" t="s">
        <v>106</v>
      </c>
      <c r="B15">
        <f>Bedrijfsafval!C17-1</f>
        <v>2</v>
      </c>
      <c r="D15" s="108">
        <f>'Prijzenblad incl alle BA'!G35</f>
        <v>3.0341608518157632</v>
      </c>
      <c r="E15" s="108"/>
      <c r="F15" s="48">
        <f t="shared" si="2"/>
        <v>9.6000000000000014</v>
      </c>
      <c r="G15" s="113">
        <f t="shared" si="8"/>
        <v>1335.0307747989359</v>
      </c>
      <c r="H15" s="113">
        <f t="shared" si="3"/>
        <v>69421.600289544673</v>
      </c>
      <c r="I15" s="48">
        <f t="shared" si="0"/>
        <v>4224.0000000000009</v>
      </c>
      <c r="J15" s="48">
        <f t="shared" si="4"/>
        <v>219648.00000000006</v>
      </c>
      <c r="K15" s="10">
        <f t="shared" si="5"/>
        <v>6.5658391481842386</v>
      </c>
      <c r="L15" s="87"/>
      <c r="M15" s="87"/>
      <c r="N15" s="48" t="s">
        <v>169</v>
      </c>
      <c r="O15" s="109">
        <f>'Prijzenblad incl alle BA'!AD35</f>
        <v>551.93846710662831</v>
      </c>
      <c r="P15" s="109">
        <f t="shared" si="9"/>
        <v>551.93846710662831</v>
      </c>
      <c r="Q15" s="113">
        <f t="shared" si="6"/>
        <v>28700.800289544673</v>
      </c>
      <c r="R15" s="123">
        <f>G15</f>
        <v>1335.0307747989359</v>
      </c>
      <c r="S15" s="109">
        <f t="shared" si="7"/>
        <v>0</v>
      </c>
      <c r="T15" s="109">
        <v>0</v>
      </c>
    </row>
    <row r="16" spans="1:21" x14ac:dyDescent="0.3">
      <c r="A16" s="110" t="s">
        <v>145</v>
      </c>
      <c r="B16">
        <f>Bedrijfsafval!C18-1</f>
        <v>1</v>
      </c>
      <c r="D16" s="108">
        <f>'Prijzenblad incl alle BA'!G36</f>
        <v>12.107748559348456</v>
      </c>
      <c r="E16" s="108">
        <v>0</v>
      </c>
      <c r="F16" s="48">
        <f t="shared" si="2"/>
        <v>4.8000000000000007</v>
      </c>
      <c r="G16" s="113">
        <f t="shared" si="8"/>
        <v>5327.4093661133211</v>
      </c>
      <c r="H16" s="113">
        <f t="shared" si="3"/>
        <v>277025.28703789267</v>
      </c>
      <c r="I16" s="48">
        <f t="shared" si="0"/>
        <v>2112.0000000000005</v>
      </c>
      <c r="J16" s="48">
        <f t="shared" si="4"/>
        <v>109824.00000000003</v>
      </c>
      <c r="K16" s="10">
        <f t="shared" si="5"/>
        <v>-7.3077485593484557</v>
      </c>
      <c r="L16" s="87">
        <f t="shared" si="10"/>
        <v>-3.0448952330618559</v>
      </c>
      <c r="M16" s="87">
        <f t="shared" si="1"/>
        <v>-3215.4093661133206</v>
      </c>
      <c r="O16" s="109">
        <f>'Prijzenblad incl alle BA'!AD36</f>
        <v>5258.7170584210135</v>
      </c>
      <c r="P16" s="109">
        <v>0</v>
      </c>
      <c r="Q16" s="113">
        <f t="shared" si="6"/>
        <v>0</v>
      </c>
      <c r="R16" s="109"/>
      <c r="S16" s="109">
        <f t="shared" si="7"/>
        <v>5258.7170584210135</v>
      </c>
      <c r="T16" s="109">
        <f>S16</f>
        <v>5258.7170584210135</v>
      </c>
      <c r="U16" s="100" t="s">
        <v>175</v>
      </c>
    </row>
    <row r="17" spans="1:20" x14ac:dyDescent="0.3">
      <c r="O17" s="111">
        <f>SUM(O2:O16)</f>
        <v>24670.893399574365</v>
      </c>
      <c r="P17" s="111">
        <f>SUM(P2:P16)</f>
        <v>8766.9922372565397</v>
      </c>
      <c r="Q17" s="111"/>
      <c r="R17" s="111"/>
      <c r="S17" s="112">
        <f>SUM(S2:S16)</f>
        <v>15903.901162317819</v>
      </c>
      <c r="T17" s="112">
        <f>SUM(T2:T16)</f>
        <v>10595.562393007804</v>
      </c>
    </row>
    <row r="18" spans="1:20" x14ac:dyDescent="0.3">
      <c r="K18" t="s">
        <v>176</v>
      </c>
      <c r="P18" s="108"/>
      <c r="Q18" s="108"/>
      <c r="R18" s="108"/>
    </row>
    <row r="19" spans="1:20" x14ac:dyDescent="0.3">
      <c r="A19" s="1" t="s">
        <v>177</v>
      </c>
      <c r="B19" t="s">
        <v>178</v>
      </c>
      <c r="D19" s="48">
        <f>'Prijzenblad incl alle BA'!K20/'Prijzenblad incl alle BA'!I20</f>
        <v>2.4000000000000004</v>
      </c>
      <c r="F19" s="48" t="s">
        <v>179</v>
      </c>
      <c r="K19">
        <f>D19*2</f>
        <v>4.8000000000000007</v>
      </c>
      <c r="L19" s="48" t="s">
        <v>179</v>
      </c>
      <c r="M19" s="48"/>
      <c r="R19" s="123"/>
    </row>
    <row r="20" spans="1:20" x14ac:dyDescent="0.3">
      <c r="A20" t="s">
        <v>180</v>
      </c>
      <c r="B20" t="s">
        <v>181</v>
      </c>
      <c r="D20" s="48">
        <f>'Prijzenblad incl alle BA'!K42/'Prijzenblad incl alle BA'!I42</f>
        <v>1.6</v>
      </c>
      <c r="F20" s="48" t="s">
        <v>179</v>
      </c>
      <c r="K20">
        <f>D20*2</f>
        <v>3.2</v>
      </c>
      <c r="L20" s="48" t="s">
        <v>179</v>
      </c>
      <c r="M20" s="48"/>
    </row>
    <row r="21" spans="1:20" x14ac:dyDescent="0.3">
      <c r="A21" t="s">
        <v>182</v>
      </c>
      <c r="B21" t="s">
        <v>183</v>
      </c>
      <c r="D21" s="48">
        <f>'Prijzenblad incl alle BA'!E20</f>
        <v>110</v>
      </c>
      <c r="F21" s="48" t="s">
        <v>184</v>
      </c>
    </row>
    <row r="22" spans="1:20" x14ac:dyDescent="0.3">
      <c r="A22" t="s">
        <v>185</v>
      </c>
      <c r="B22" t="s">
        <v>186</v>
      </c>
      <c r="D22" s="48">
        <f>'Prijzenblad incl alle BA'!E42</f>
        <v>120</v>
      </c>
      <c r="F22" s="48" t="s">
        <v>184</v>
      </c>
    </row>
    <row r="23" spans="1:20" x14ac:dyDescent="0.3">
      <c r="A23" t="s">
        <v>187</v>
      </c>
    </row>
    <row r="24" spans="1:20" x14ac:dyDescent="0.3">
      <c r="A24" t="s">
        <v>188</v>
      </c>
    </row>
    <row r="25" spans="1:20" x14ac:dyDescent="0.3">
      <c r="A25" t="s">
        <v>189</v>
      </c>
    </row>
    <row r="26" spans="1:20" x14ac:dyDescent="0.3">
      <c r="A26" t="s">
        <v>190</v>
      </c>
    </row>
    <row r="27" spans="1:20" x14ac:dyDescent="0.3">
      <c r="A27" t="s">
        <v>191</v>
      </c>
    </row>
    <row r="29" spans="1:20" x14ac:dyDescent="0.3">
      <c r="A29" s="1" t="s">
        <v>192</v>
      </c>
    </row>
    <row r="30" spans="1:20" x14ac:dyDescent="0.3">
      <c r="A30" t="s">
        <v>193</v>
      </c>
    </row>
    <row r="31" spans="1:20" x14ac:dyDescent="0.3">
      <c r="A31" t="s">
        <v>194</v>
      </c>
    </row>
  </sheetData>
  <conditionalFormatting sqref="K2:K16">
    <cfRule type="colorScale" priority="3">
      <colorScale>
        <cfvo type="min"/>
        <cfvo type="max"/>
        <color rgb="FFF8696B"/>
        <color rgb="FFFCFCFF"/>
      </colorScale>
    </cfRule>
    <cfRule type="colorScale" priority="4">
      <colorScale>
        <cfvo type="min"/>
        <cfvo type="max"/>
        <color rgb="FFFCFCFF"/>
        <color rgb="FFF8696B"/>
      </colorScale>
    </cfRule>
  </conditionalFormatting>
  <conditionalFormatting sqref="M2:M16 K2:K16">
    <cfRule type="colorScale" priority="5">
      <colorScale>
        <cfvo type="min"/>
        <cfvo type="percentile" val="50"/>
        <cfvo type="max"/>
        <color rgb="FFF8696B"/>
        <color rgb="FFFFEB84"/>
        <color rgb="FF63BE7B"/>
      </colorScale>
    </cfRule>
  </conditionalFormatting>
  <conditionalFormatting sqref="M2:M16">
    <cfRule type="colorScale" priority="1">
      <colorScale>
        <cfvo type="min"/>
        <cfvo type="max"/>
        <color rgb="FFF8696B"/>
        <color rgb="FFFCFCFF"/>
      </colorScale>
    </cfRule>
    <cfRule type="colorScale" priority="2">
      <colorScale>
        <cfvo type="min"/>
        <cfvo type="max"/>
        <color rgb="FFFCFCFF"/>
        <color rgb="FFF8696B"/>
      </colorScale>
    </cfRule>
  </conditionalFormatting>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74F873-B734-4B72-A479-FC1684C9607B}">
  <dimension ref="A1:I18"/>
  <sheetViews>
    <sheetView workbookViewId="0">
      <selection activeCell="I5" sqref="I5"/>
    </sheetView>
  </sheetViews>
  <sheetFormatPr defaultRowHeight="14.4" x14ac:dyDescent="0.3"/>
  <cols>
    <col min="1" max="1" width="27.109375" bestFit="1" customWidth="1"/>
    <col min="2" max="2" width="37.44140625" customWidth="1"/>
    <col min="3" max="3" width="11.33203125" customWidth="1"/>
    <col min="4" max="4" width="10.88671875" customWidth="1"/>
    <col min="5" max="5" width="8.44140625" customWidth="1"/>
    <col min="6" max="6" width="6.109375" customWidth="1"/>
    <col min="7" max="7" width="52.109375" customWidth="1"/>
  </cols>
  <sheetData>
    <row r="1" spans="1:8" x14ac:dyDescent="0.3">
      <c r="A1" s="1" t="s">
        <v>59</v>
      </c>
      <c r="B1" s="1" t="s">
        <v>195</v>
      </c>
      <c r="C1" s="1" t="s">
        <v>196</v>
      </c>
      <c r="D1" s="1" t="s">
        <v>197</v>
      </c>
      <c r="E1" s="1" t="s">
        <v>198</v>
      </c>
      <c r="F1" s="1" t="s">
        <v>117</v>
      </c>
      <c r="G1" s="1" t="s">
        <v>199</v>
      </c>
    </row>
    <row r="2" spans="1:8" x14ac:dyDescent="0.3">
      <c r="A2" s="41" t="s">
        <v>75</v>
      </c>
      <c r="E2">
        <f>SUM('Prijzenblad incl alle BA'!I20,'Prijzenblad incl alle BA'!I42)</f>
        <v>2</v>
      </c>
      <c r="F2">
        <f>CEILING('Prijzenblad incl alle BA'!I64/2,1)</f>
        <v>1</v>
      </c>
      <c r="G2" t="s">
        <v>200</v>
      </c>
    </row>
    <row r="3" spans="1:8" x14ac:dyDescent="0.3">
      <c r="A3" s="41" t="s">
        <v>76</v>
      </c>
      <c r="E3">
        <f>SUM('Prijzenblad incl alle BA'!I21,'Prijzenblad incl alle BA'!I43)</f>
        <v>3</v>
      </c>
      <c r="F3">
        <f>CEILING('Prijzenblad incl alle BA'!I65/2,1)</f>
        <v>1</v>
      </c>
      <c r="G3" t="s">
        <v>200</v>
      </c>
    </row>
    <row r="4" spans="1:8" ht="43.2" x14ac:dyDescent="0.3">
      <c r="A4" s="2" t="s">
        <v>78</v>
      </c>
      <c r="B4" s="97" t="s">
        <v>201</v>
      </c>
      <c r="C4" s="97">
        <v>2</v>
      </c>
      <c r="D4" s="97">
        <v>1</v>
      </c>
      <c r="E4" s="98">
        <f>SUM('Prijzenblad incl alle BA'!I22,'Prijzenblad incl alle BA'!I44)</f>
        <v>3</v>
      </c>
      <c r="F4">
        <f>CEILING('Prijzenblad incl alle BA'!I66/2,1)</f>
        <v>1</v>
      </c>
    </row>
    <row r="5" spans="1:8" ht="72" x14ac:dyDescent="0.3">
      <c r="A5" s="2" t="s">
        <v>83</v>
      </c>
      <c r="B5" s="97" t="s">
        <v>202</v>
      </c>
      <c r="C5" s="97">
        <v>6</v>
      </c>
      <c r="D5" s="97">
        <v>1</v>
      </c>
      <c r="E5">
        <f>SUM('Prijzenblad incl alle BA'!I23,'Prijzenblad incl alle BA'!I45)</f>
        <v>5</v>
      </c>
      <c r="F5">
        <f>CEILING('Prijzenblad incl alle BA'!I67/2,1)</f>
        <v>1</v>
      </c>
      <c r="G5" s="97" t="s">
        <v>203</v>
      </c>
    </row>
    <row r="6" spans="1:8" x14ac:dyDescent="0.3">
      <c r="A6" s="2" t="s">
        <v>85</v>
      </c>
      <c r="B6" s="97" t="s">
        <v>204</v>
      </c>
      <c r="C6" s="97">
        <v>4</v>
      </c>
      <c r="D6" s="97">
        <v>1</v>
      </c>
      <c r="E6">
        <f>SUM('Prijzenblad incl alle BA'!I24,'Prijzenblad incl alle BA'!I46)</f>
        <v>3</v>
      </c>
      <c r="F6">
        <f>CEILING('Prijzenblad incl alle BA'!I68/2,1)</f>
        <v>1</v>
      </c>
    </row>
    <row r="7" spans="1:8" ht="57.6" x14ac:dyDescent="0.3">
      <c r="A7" s="2" t="s">
        <v>89</v>
      </c>
      <c r="B7" s="97" t="s">
        <v>205</v>
      </c>
      <c r="C7" s="97">
        <v>3</v>
      </c>
      <c r="D7" s="97">
        <v>1</v>
      </c>
      <c r="E7">
        <f>SUM('Prijzenblad incl alle BA'!I25,'Prijzenblad incl alle BA'!I47)</f>
        <v>5</v>
      </c>
      <c r="F7">
        <f>CEILING('Prijzenblad incl alle BA'!I69/2,1)</f>
        <v>1</v>
      </c>
      <c r="H7" t="s">
        <v>206</v>
      </c>
    </row>
    <row r="8" spans="1:8" x14ac:dyDescent="0.3">
      <c r="A8" s="2" t="s">
        <v>93</v>
      </c>
      <c r="B8" s="97" t="s">
        <v>207</v>
      </c>
      <c r="C8" s="97">
        <v>2</v>
      </c>
      <c r="D8" s="97">
        <v>1</v>
      </c>
      <c r="E8" s="98">
        <f>SUM('Prijzenblad incl alle BA'!I26,'Prijzenblad incl alle BA'!I48)</f>
        <v>3</v>
      </c>
      <c r="F8">
        <f>CEILING('Prijzenblad incl alle BA'!I70/2,1)</f>
        <v>1</v>
      </c>
    </row>
    <row r="9" spans="1:8" ht="28.8" x14ac:dyDescent="0.3">
      <c r="A9" s="2" t="s">
        <v>96</v>
      </c>
      <c r="B9" s="97" t="s">
        <v>208</v>
      </c>
      <c r="C9" s="97">
        <v>2</v>
      </c>
      <c r="D9" s="97">
        <v>1</v>
      </c>
      <c r="E9">
        <f>SUM('Prijzenblad incl alle BA'!I27,'Prijzenblad incl alle BA'!I49)</f>
        <v>3</v>
      </c>
      <c r="F9">
        <f>CEILING('Prijzenblad incl alle BA'!I71/2,1)</f>
        <v>1</v>
      </c>
    </row>
    <row r="10" spans="1:8" ht="28.8" x14ac:dyDescent="0.3">
      <c r="A10" s="2" t="s">
        <v>209</v>
      </c>
      <c r="B10" s="97" t="s">
        <v>210</v>
      </c>
      <c r="C10" s="97"/>
      <c r="D10" s="97">
        <v>1</v>
      </c>
      <c r="E10">
        <f>'Prijzenblad incl alle BA'!I28+'Prijzenblad incl alle BA'!I50</f>
        <v>3</v>
      </c>
      <c r="F10">
        <f>CEILING('Prijzenblad incl alle BA'!I72/2,1)</f>
        <v>1</v>
      </c>
      <c r="G10" t="s">
        <v>211</v>
      </c>
    </row>
    <row r="11" spans="1:8" ht="28.8" x14ac:dyDescent="0.3">
      <c r="A11" s="2" t="s">
        <v>100</v>
      </c>
      <c r="B11" s="97" t="s">
        <v>212</v>
      </c>
      <c r="C11" s="97">
        <v>4</v>
      </c>
      <c r="D11" s="97">
        <v>1</v>
      </c>
      <c r="E11" s="98">
        <f>'Prijzenblad incl alle BA'!I29+'Prijzenblad incl alle BA'!I51</f>
        <v>5</v>
      </c>
      <c r="F11">
        <f>CEILING('Prijzenblad incl alle BA'!I73/2,1)</f>
        <v>1</v>
      </c>
      <c r="G11" t="s">
        <v>213</v>
      </c>
      <c r="H11" t="s">
        <v>214</v>
      </c>
    </row>
    <row r="12" spans="1:8" x14ac:dyDescent="0.3">
      <c r="A12" s="2" t="s">
        <v>101</v>
      </c>
      <c r="B12" t="s">
        <v>207</v>
      </c>
      <c r="C12">
        <v>2</v>
      </c>
      <c r="D12">
        <v>1</v>
      </c>
      <c r="E12" s="98">
        <f>'Prijzenblad incl alle BA'!I30+'Prijzenblad incl alle BA'!I52</f>
        <v>3</v>
      </c>
      <c r="F12">
        <f>CEILING('Prijzenblad incl alle BA'!I74/2,1)</f>
        <v>1</v>
      </c>
      <c r="G12" t="s">
        <v>215</v>
      </c>
    </row>
    <row r="13" spans="1:8" ht="28.8" x14ac:dyDescent="0.3">
      <c r="A13" s="2" t="s">
        <v>102</v>
      </c>
      <c r="B13" s="97" t="s">
        <v>216</v>
      </c>
      <c r="C13" s="97">
        <v>3</v>
      </c>
      <c r="D13" s="97">
        <v>1</v>
      </c>
      <c r="E13">
        <f>'Prijzenblad incl alle BA'!I31+'Prijzenblad incl alle BA'!I53</f>
        <v>2</v>
      </c>
      <c r="F13">
        <f>CEILING('Prijzenblad incl alle BA'!I75/2,1)</f>
        <v>1</v>
      </c>
      <c r="H13" t="s">
        <v>217</v>
      </c>
    </row>
    <row r="14" spans="1:8" ht="43.2" x14ac:dyDescent="0.3">
      <c r="A14" s="2" t="s">
        <v>103</v>
      </c>
      <c r="B14" s="97" t="s">
        <v>218</v>
      </c>
      <c r="C14" s="97">
        <v>6</v>
      </c>
      <c r="D14" s="97">
        <v>1</v>
      </c>
      <c r="E14" s="98">
        <f>'Prijzenblad incl alle BA'!I32+'Prijzenblad incl alle BA'!I54</f>
        <v>3</v>
      </c>
      <c r="F14">
        <f>CEILING('Prijzenblad incl alle BA'!I76/2,1)</f>
        <v>1</v>
      </c>
      <c r="G14" t="s">
        <v>219</v>
      </c>
    </row>
    <row r="15" spans="1:8" ht="43.2" x14ac:dyDescent="0.3">
      <c r="A15" s="2" t="s">
        <v>104</v>
      </c>
      <c r="B15" s="97" t="s">
        <v>220</v>
      </c>
      <c r="C15" s="97">
        <v>2</v>
      </c>
      <c r="D15" s="97">
        <v>1</v>
      </c>
      <c r="E15" s="98">
        <f>'Prijzenblad incl alle BA'!I33+'Prijzenblad incl alle BA'!I55</f>
        <v>3</v>
      </c>
      <c r="F15">
        <f>CEILING('Prijzenblad incl alle BA'!I77/2,1)</f>
        <v>1</v>
      </c>
      <c r="H15" t="s">
        <v>221</v>
      </c>
    </row>
    <row r="16" spans="1:8" ht="28.8" x14ac:dyDescent="0.3">
      <c r="A16" s="2" t="s">
        <v>105</v>
      </c>
      <c r="B16" s="97" t="s">
        <v>222</v>
      </c>
      <c r="C16" s="97">
        <v>4</v>
      </c>
      <c r="D16" s="97">
        <v>1</v>
      </c>
      <c r="E16">
        <f>'Prijzenblad incl alle BA'!I34+'Prijzenblad incl alle BA'!I56</f>
        <v>3</v>
      </c>
      <c r="F16">
        <f>CEILING('Prijzenblad incl alle BA'!I78/2,1)</f>
        <v>1</v>
      </c>
      <c r="G16" t="s">
        <v>223</v>
      </c>
      <c r="H16">
        <v>5698</v>
      </c>
    </row>
    <row r="17" spans="1:9" x14ac:dyDescent="0.3">
      <c r="A17" s="2" t="s">
        <v>106</v>
      </c>
      <c r="B17" t="s">
        <v>224</v>
      </c>
      <c r="C17">
        <v>3</v>
      </c>
      <c r="D17">
        <v>1</v>
      </c>
      <c r="E17">
        <f>'Prijzenblad incl alle BA'!I35+'Prijzenblad incl alle BA'!I57</f>
        <v>2</v>
      </c>
      <c r="F17">
        <f>CEILING('Prijzenblad incl alle BA'!I79/2,1)</f>
        <v>1</v>
      </c>
      <c r="H17" s="42">
        <v>1500</v>
      </c>
      <c r="I17" t="s">
        <v>225</v>
      </c>
    </row>
    <row r="18" spans="1:9" ht="43.2" x14ac:dyDescent="0.3">
      <c r="A18" s="2" t="s">
        <v>145</v>
      </c>
      <c r="B18" s="97" t="s">
        <v>226</v>
      </c>
      <c r="C18" s="97">
        <v>2</v>
      </c>
      <c r="D18" s="97">
        <v>1</v>
      </c>
      <c r="E18" s="98">
        <f>'Prijzenblad incl alle BA'!I36+'Prijzenblad incl alle BA'!I58</f>
        <v>4</v>
      </c>
      <c r="F18">
        <f>CEILING('Prijzenblad incl alle BA'!I80/2,1)</f>
        <v>1</v>
      </c>
      <c r="G18" t="s">
        <v>227</v>
      </c>
      <c r="I18" t="s">
        <v>228</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0A68FE223A4A884288BA08916A3B3AE8" ma:contentTypeVersion="14" ma:contentTypeDescription="Een nieuw document maken." ma:contentTypeScope="" ma:versionID="d7599b2f470834ed0c02269b61bd5371">
  <xsd:schema xmlns:xsd="http://www.w3.org/2001/XMLSchema" xmlns:xs="http://www.w3.org/2001/XMLSchema" xmlns:p="http://schemas.microsoft.com/office/2006/metadata/properties" xmlns:ns2="643fd651-88bc-49e2-a230-0ab0bc28a367" xmlns:ns3="a7a67ca5-b7a3-4db9-9f75-f0391c61df39" targetNamespace="http://schemas.microsoft.com/office/2006/metadata/properties" ma:root="true" ma:fieldsID="cfeda37f68d2b1443a2790e5359d96d7" ns2:_="" ns3:_="">
    <xsd:import namespace="643fd651-88bc-49e2-a230-0ab0bc28a367"/>
    <xsd:import namespace="a7a67ca5-b7a3-4db9-9f75-f0391c61df39"/>
    <xsd:element name="properties">
      <xsd:complexType>
        <xsd:sequence>
          <xsd:element name="documentManagement">
            <xsd:complexType>
              <xsd:all>
                <xsd:element ref="ns2:lcf76f155ced4ddcb4097134ff3c332f" minOccurs="0"/>
                <xsd:element ref="ns3:TaxCatchAll" minOccurs="0"/>
                <xsd:element ref="ns2:MediaServiceMetadata" minOccurs="0"/>
                <xsd:element ref="ns2:MediaServiceFastMetadata" minOccurs="0"/>
                <xsd:element ref="ns2:MediaServiceOCR" minOccurs="0"/>
                <xsd:element ref="ns2:MediaServiceGenerationTime" minOccurs="0"/>
                <xsd:element ref="ns2:MediaServiceEventHashCode" minOccurs="0"/>
                <xsd:element ref="ns2:MediaServiceObjectDetectorVersions" minOccurs="0"/>
                <xsd:element ref="ns3:SharedWithUsers" minOccurs="0"/>
                <xsd:element ref="ns3:SharedWithDetails" minOccurs="0"/>
                <xsd:element ref="ns2:MediaServiceSearchProperties" minOccurs="0"/>
                <xsd:element ref="ns2:MediaServiceDateTaken"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43fd651-88bc-49e2-a230-0ab0bc28a367" elementFormDefault="qualified">
    <xsd:import namespace="http://schemas.microsoft.com/office/2006/documentManagement/types"/>
    <xsd:import namespace="http://schemas.microsoft.com/office/infopath/2007/PartnerControls"/>
    <xsd:element name="lcf76f155ced4ddcb4097134ff3c332f" ma:index="9" nillable="true" ma:taxonomy="true" ma:internalName="lcf76f155ced4ddcb4097134ff3c332f" ma:taxonomyFieldName="MediaServiceImageTags" ma:displayName="Afbeeldingtags" ma:readOnly="false" ma:fieldId="{5cf76f15-5ced-4ddc-b409-7134ff3c332f}" ma:taxonomyMulti="true" ma:sspId="425ec6a0-244e-4cb9-ab66-ebcbcfe305d8" ma:termSetId="09814cd3-568e-fe90-9814-8d621ff8fb84" ma:anchorId="fba54fb3-c3e1-fe81-a776-ca4b69148c4d" ma:open="true" ma:isKeyword="false">
      <xsd:complexType>
        <xsd:sequence>
          <xsd:element ref="pc:Terms" minOccurs="0" maxOccurs="1"/>
        </xsd:sequence>
      </xsd:complexType>
    </xsd:element>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ObjectDetectorVersions" ma:index="16" nillable="true" ma:displayName="MediaServiceObjectDetectorVersions" ma:hidden="true" ma:indexed="true" ma:internalName="MediaServiceObjectDetectorVersions" ma:readOnly="true">
      <xsd:simpleType>
        <xsd:restriction base="dms:Text"/>
      </xsd:simpleType>
    </xsd:element>
    <xsd:element name="MediaServiceSearchProperties" ma:index="19" nillable="true" ma:displayName="MediaServiceSearchProperties" ma:hidden="true" ma:internalName="MediaServiceSearchProperties" ma:readOnly="true">
      <xsd:simpleType>
        <xsd:restriction base="dms:Note"/>
      </xsd:simpleType>
    </xsd:element>
    <xsd:element name="MediaServiceDateTaken" ma:index="20" nillable="true" ma:displayName="MediaServiceDateTaken" ma:hidden="true" ma:indexed="true" ma:internalName="MediaServiceDateTaken" ma:readOnly="true">
      <xsd:simpleType>
        <xsd:restriction base="dms:Text"/>
      </xsd:simpleType>
    </xsd:element>
    <xsd:element name="MediaLengthInSeconds" ma:index="21"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a7a67ca5-b7a3-4db9-9f75-f0391c61df39" elementFormDefault="qualified">
    <xsd:import namespace="http://schemas.microsoft.com/office/2006/documentManagement/types"/>
    <xsd:import namespace="http://schemas.microsoft.com/office/infopath/2007/PartnerControls"/>
    <xsd:element name="TaxCatchAll" ma:index="10" nillable="true" ma:displayName="Taxonomy Catch All Column" ma:hidden="true" ma:list="{0d317b1e-54b4-4cce-85ef-bdebdddefcd8}" ma:internalName="TaxCatchAll" ma:showField="CatchAllData" ma:web="a7a67ca5-b7a3-4db9-9f75-f0391c61df39">
      <xsd:complexType>
        <xsd:complexContent>
          <xsd:extension base="dms:MultiChoiceLookup">
            <xsd:sequence>
              <xsd:element name="Value" type="dms:Lookup" maxOccurs="unbounded" minOccurs="0" nillable="true"/>
            </xsd:sequence>
          </xsd:extension>
        </xsd:complexContent>
      </xsd:complexType>
    </xsd:element>
    <xsd:element name="SharedWithUsers" ma:index="17"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8" nillable="true" ma:displayName="Gedeeld met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a7a67ca5-b7a3-4db9-9f75-f0391c61df39" xsi:nil="true"/>
    <lcf76f155ced4ddcb4097134ff3c332f xmlns="643fd651-88bc-49e2-a230-0ab0bc28a367">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806FA0F5-01F1-409E-8BCB-EFC641B7419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43fd651-88bc-49e2-a230-0ab0bc28a367"/>
    <ds:schemaRef ds:uri="a7a67ca5-b7a3-4db9-9f75-f0391c61df3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C994F78C-139B-49F0-B244-EBE99A44241C}">
  <ds:schemaRefs>
    <ds:schemaRef ds:uri="http://schemas.microsoft.com/sharepoint/v3/contenttype/forms"/>
  </ds:schemaRefs>
</ds:datastoreItem>
</file>

<file path=customXml/itemProps3.xml><?xml version="1.0" encoding="utf-8"?>
<ds:datastoreItem xmlns:ds="http://schemas.openxmlformats.org/officeDocument/2006/customXml" ds:itemID="{931DA550-8BA1-4BF9-A410-2AED01E36342}">
  <ds:schemaRefs>
    <ds:schemaRef ds:uri="http://schemas.microsoft.com/office/2006/metadata/properties"/>
    <ds:schemaRef ds:uri="http://schemas.microsoft.com/office/infopath/2007/PartnerControls"/>
    <ds:schemaRef ds:uri="a7a67ca5-b7a3-4db9-9f75-f0391c61df39"/>
    <ds:schemaRef ds:uri="643fd651-88bc-49e2-a230-0ab0bc28a367"/>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5</vt:i4>
      </vt:variant>
    </vt:vector>
  </HeadingPairs>
  <TitlesOfParts>
    <vt:vector size="5" baseType="lpstr">
      <vt:lpstr>Instructies</vt:lpstr>
      <vt:lpstr>Prijzenblad</vt:lpstr>
      <vt:lpstr>Prijzenblad incl alle BA</vt:lpstr>
      <vt:lpstr>Max capaciteit</vt:lpstr>
      <vt:lpstr>Bedrijfsafval</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Luiten, Matthijs</cp:lastModifiedBy>
  <cp:revision/>
  <dcterms:created xsi:type="dcterms:W3CDTF">2026-10-14T12:53:07Z</dcterms:created>
  <dcterms:modified xsi:type="dcterms:W3CDTF">2026-11-02T16:11:42Z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0x0101000A68FE223A4A884288BA08916A3B3AE8</vt:lpwstr>
  </property>
  <property fmtid="{D5CDD505-2E9C-101B-9397-08002B2CF9AE}" pid="3" name="MediaServiceImageTags">
    <vt:lpwstr/>
  </property>
</Properties>
</file>