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S:\inkoop preventieve jeugdhulp\TenderNed\"/>
    </mc:Choice>
  </mc:AlternateContent>
  <xr:revisionPtr revIDLastSave="0" documentId="13_ncr:1_{6A7432D0-1EBB-480C-ABED-17E4506FCFF9}" xr6:coauthVersionLast="47" xr6:coauthVersionMax="47" xr10:uidLastSave="{00000000-0000-0000-0000-000000000000}"/>
  <bookViews>
    <workbookView xWindow="28680" yWindow="-120" windowWidth="29040" windowHeight="15720" activeTab="1" xr2:uid="{AC796EC7-F910-4C2C-8C3C-7D29B49BDAD4}"/>
  </bookViews>
  <sheets>
    <sheet name="Start" sheetId="6" r:id="rId1"/>
    <sheet name="Tarief inhuur" sheetId="1" r:id="rId2"/>
  </sheets>
  <definedNames>
    <definedName name="_xlnm.Print_Area" localSheetId="1">'Tarief inhuur'!$B$1:$G$100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29" i="1" l="1"/>
  <c r="D18" i="1"/>
  <c r="D17" i="6"/>
  <c r="E30" i="1" l="1"/>
  <c r="C30" i="1"/>
  <c r="C97" i="1"/>
  <c r="C96" i="1"/>
  <c r="D21" i="1"/>
  <c r="D22" i="1"/>
  <c r="F10" i="6" l="1"/>
  <c r="D10" i="6" s="1"/>
  <c r="E10" i="6" l="1"/>
  <c r="F72" i="1" l="1"/>
  <c r="F73" i="1"/>
  <c r="F74" i="1"/>
  <c r="F75" i="1"/>
  <c r="F71" i="1"/>
  <c r="E95" i="1"/>
  <c r="F95" i="1" s="1"/>
  <c r="G95" i="1" s="1"/>
  <c r="E94" i="1"/>
  <c r="F94" i="1" s="1"/>
  <c r="G94" i="1" s="1"/>
  <c r="E91" i="1"/>
  <c r="F91" i="1" s="1"/>
  <c r="G91" i="1" s="1"/>
  <c r="E93" i="1"/>
  <c r="E92" i="1"/>
  <c r="F92" i="1" s="1"/>
  <c r="G92" i="1" s="1"/>
  <c r="C81" i="1"/>
  <c r="C88" i="1" s="1"/>
  <c r="D12" i="1"/>
  <c r="C76" i="1" s="1"/>
  <c r="D13" i="1"/>
  <c r="C77" i="1" s="1"/>
  <c r="D34" i="1"/>
  <c r="F93" i="1" l="1"/>
  <c r="G93" i="1" s="1"/>
  <c r="C98" i="1"/>
  <c r="C99" i="1" s="1"/>
  <c r="C100" i="1" s="1"/>
  <c r="E8" i="1"/>
  <c r="E7" i="1"/>
  <c r="E9" i="1" l="1"/>
  <c r="D16" i="1"/>
  <c r="B4" i="1"/>
  <c r="D9" i="1"/>
  <c r="F10" i="1" l="1"/>
  <c r="C17" i="6"/>
  <c r="E14" i="1" l="1"/>
  <c r="E12" i="1"/>
  <c r="E13" i="1"/>
  <c r="F15" i="1" l="1"/>
  <c r="E16" i="1" l="1"/>
  <c r="F17" i="1" s="1"/>
  <c r="E18" i="1" s="1"/>
  <c r="F19" i="1" s="1"/>
  <c r="E23" i="1" s="1"/>
  <c r="E26" i="1" l="1"/>
  <c r="F27" i="1" s="1"/>
  <c r="E31" i="1"/>
  <c r="F33" i="1" s="1"/>
  <c r="E22" i="1"/>
  <c r="E24" i="1"/>
  <c r="E21" i="1"/>
  <c r="F25" i="1" l="1"/>
  <c r="E34" i="1" s="1"/>
  <c r="F35" i="1" l="1"/>
  <c r="F37" i="1" s="1"/>
  <c r="C18" i="6" l="1"/>
</calcChain>
</file>

<file path=xl/sharedStrings.xml><?xml version="1.0" encoding="utf-8"?>
<sst xmlns="http://schemas.openxmlformats.org/spreadsheetml/2006/main" count="195" uniqueCount="142">
  <si>
    <t>Staatsblad 2024, 69 | Overheid.nl &gt; Officiële bekendmakingen</t>
  </si>
  <si>
    <t>Indexering</t>
  </si>
  <si>
    <t>Overige kosten</t>
  </si>
  <si>
    <t>50% van de medewerkers binnen een organisatie zit in de maximale periodiek zit en 50% van de medewerkers verspreid zit over alle treden binnen een schaal.</t>
  </si>
  <si>
    <t>Schaarse beroepen,gaan wij uit van een gemiddelde, waarbij 50% van de medewerkers binnen een organisatie in de maximale periodiek zit en 50% van de medewerkers verspreid zit over de bovenste helft van de schaal.</t>
  </si>
  <si>
    <t>Opleidingskosten</t>
  </si>
  <si>
    <t>Gewogen</t>
  </si>
  <si>
    <t>Schaars</t>
  </si>
  <si>
    <t>Maximum</t>
  </si>
  <si>
    <t>Norm</t>
  </si>
  <si>
    <t>Vakantiegeld</t>
  </si>
  <si>
    <t>Eindejaarsuitkering</t>
  </si>
  <si>
    <t>Onregelmatigheidstoeslag</t>
  </si>
  <si>
    <t>Opslag %</t>
  </si>
  <si>
    <t>Werkgeverslasten</t>
  </si>
  <si>
    <t>Benchmark Care | Berenschot</t>
  </si>
  <si>
    <t>Basispremie WAO/WIA</t>
  </si>
  <si>
    <t>Pensioenbijdrage werkgever</t>
  </si>
  <si>
    <t>https://www.sociaalwerk-werkt.nl/werkgevers/pensioenpremies-2025#:~:text=Voor%20zowel%20werkgever%20als%20werknemer,blijft%20ook%20gelijk%20in%202025.</t>
  </si>
  <si>
    <t>Awf-premie (laag)</t>
  </si>
  <si>
    <t>Werkgeversheffing ZVW</t>
  </si>
  <si>
    <t>Specificatie toeslag werkgeverslasten</t>
  </si>
  <si>
    <t>Sector GGZ</t>
  </si>
  <si>
    <t>Sector GHZ</t>
  </si>
  <si>
    <t>Sector Jeugdzorg</t>
  </si>
  <si>
    <t>Sector VVT</t>
  </si>
  <si>
    <t>Ziekteverzuim</t>
  </si>
  <si>
    <t>Overhead</t>
  </si>
  <si>
    <t>Eindejr uitk.</t>
  </si>
  <si>
    <t>Materiële kosten</t>
  </si>
  <si>
    <t>Kapitaallasten</t>
  </si>
  <si>
    <t>Keuze voor gewogen salarisschaal</t>
  </si>
  <si>
    <t>Kies de juiste sector</t>
  </si>
  <si>
    <t>Inhuurtarief fte per jaar</t>
  </si>
  <si>
    <t>Tarief</t>
  </si>
  <si>
    <t>Premies werknemersverzekeringen UWV en bedragen 2026 | UWV</t>
  </si>
  <si>
    <t>Premie WW inhoudingen werkgever | UWV</t>
  </si>
  <si>
    <t>Percentages inkomensafhankelijke bijdrage Zvw | Belastingdienst</t>
  </si>
  <si>
    <t>Gedifferentieerde premies WGA en Ziektewet 2026 | UWV</t>
  </si>
  <si>
    <t>Prijsindexcijfer ministerie VWS</t>
  </si>
  <si>
    <t>Kinderopvangtoeslag</t>
  </si>
  <si>
    <t>Onderstaande velden moeten handmatig opgevoerd worden:</t>
  </si>
  <si>
    <t>Funtienaam</t>
  </si>
  <si>
    <t>Werkgeversbijdrage kinderopvang uitgelegd - MKB Servicedesk</t>
  </si>
  <si>
    <t>Werkhervattingskas (Whk)</t>
  </si>
  <si>
    <t>Reistijd</t>
  </si>
  <si>
    <t>Berekende kosten inhuur (specificatie zie tarief inhuur)</t>
  </si>
  <si>
    <t xml:space="preserve"> </t>
  </si>
  <si>
    <t>Minimum salaris conform salarisschaal</t>
  </si>
  <si>
    <t>Maximum salaris conform salarisschaal</t>
  </si>
  <si>
    <t>Weging inschaling min/max</t>
  </si>
  <si>
    <t>Loonkosten per jaar</t>
  </si>
  <si>
    <t>Opslagen/toeslagen</t>
  </si>
  <si>
    <t>Gebaseerd op openbare vacatures. Weging van de salarisschaal is gebaseerd op de personele schaarste.</t>
  </si>
  <si>
    <t>Percentage gebaseerd op de geldende CAO</t>
  </si>
  <si>
    <t>Gebaseerd op de wettelijke en CAO afhankelijke percentages.</t>
  </si>
  <si>
    <t>Percentage gebaseerd op basis van Berenschot rapportage Care.</t>
  </si>
  <si>
    <t>Niet productieve uren</t>
  </si>
  <si>
    <t>Weging inschaling loonkosten</t>
  </si>
  <si>
    <t>vak.geld</t>
  </si>
  <si>
    <t>Sociaal Werk</t>
  </si>
  <si>
    <t>voor de GGZ wordt standaard de maximale periodiek gehanteerd.</t>
  </si>
  <si>
    <t>Gebaseerd op de CAO percentages.</t>
  </si>
  <si>
    <t>Gedifferentieerde premie WGA</t>
  </si>
  <si>
    <t>Pens.wgv</t>
  </si>
  <si>
    <t>Perc.werkgeverslasten</t>
  </si>
  <si>
    <t>De pensioenbijdrage van de werkgever is CAO afhankelijk</t>
  </si>
  <si>
    <t>StatLine - Ziekteverzuimpercentage; AZW branches</t>
  </si>
  <si>
    <t>productiviteit</t>
  </si>
  <si>
    <t>%</t>
  </si>
  <si>
    <t>contracturen</t>
  </si>
  <si>
    <t>Verlof etc</t>
  </si>
  <si>
    <t>CBS Statline</t>
  </si>
  <si>
    <t>0% geregeld in contract standaard</t>
  </si>
  <si>
    <t>Prijsindexcijfers | Nederlandse Zorgautoriteit</t>
  </si>
  <si>
    <t>Gemiddeld salaris</t>
  </si>
  <si>
    <t>eerste trede</t>
  </si>
  <si>
    <t>Laatste trede</t>
  </si>
  <si>
    <t>Werkgever</t>
  </si>
  <si>
    <t>Transitievergoeding</t>
  </si>
  <si>
    <t>Gemeente Voorne aan Zee - Adviestarief 2026</t>
  </si>
  <si>
    <t>Geregeld in de contract standaard</t>
  </si>
  <si>
    <t>Gebaseerd op het prijsindexcijfer voor particuliere consumptie (PPC)</t>
  </si>
  <si>
    <t>Parameterwaarden</t>
  </si>
  <si>
    <t>Verzuim</t>
  </si>
  <si>
    <t>Vergoeding niet declarabele reistijd woon-werkverkeer</t>
  </si>
  <si>
    <t>Vacature 1 (zie printsscreen)</t>
  </si>
  <si>
    <t>Vacature 2 (zie printsscreen)</t>
  </si>
  <si>
    <t>Vacature 3 (zie printsscreen)</t>
  </si>
  <si>
    <t>Vacature 4 (zie printsscreen)</t>
  </si>
  <si>
    <t>Vacature 5 (zie printsscreen)</t>
  </si>
  <si>
    <r>
      <t>Reis en opleidingskosten</t>
    </r>
    <r>
      <rPr>
        <sz val="11"/>
        <color theme="1"/>
        <rFont val="Aptos Narrow"/>
        <family val="2"/>
        <scheme val="minor"/>
      </rPr>
      <t xml:space="preserve"> </t>
    </r>
  </si>
  <si>
    <t>Kostentool jeugdhulp | VNG</t>
  </si>
  <si>
    <t>Overhead en organisatiekosten (incl.reiskosten overhead personeel)</t>
  </si>
  <si>
    <t>Reiskosten dienstreizen</t>
  </si>
  <si>
    <t>Reiskosten woon-werkverkeer</t>
  </si>
  <si>
    <t>Tarief fte per jaar</t>
  </si>
  <si>
    <t>VaZ</t>
  </si>
  <si>
    <t>AMvB 5.4 1a</t>
  </si>
  <si>
    <t>Bron</t>
  </si>
  <si>
    <t>AMvB 5.4 1f</t>
  </si>
  <si>
    <t>AMvB 5.4 1c</t>
  </si>
  <si>
    <t>AMvB 5.4 1d</t>
  </si>
  <si>
    <t>AMvB 5.4 1e</t>
  </si>
  <si>
    <t>Bron:</t>
  </si>
  <si>
    <t>CAO</t>
  </si>
  <si>
    <t>Rapportage-/adm. Verplichting (valt binnen inhuurtijd)</t>
  </si>
  <si>
    <t>TP</t>
  </si>
  <si>
    <t>BM-c</t>
  </si>
  <si>
    <t>Geen zorg buiten kantooruren</t>
  </si>
  <si>
    <t xml:space="preserve">Productiviteit </t>
  </si>
  <si>
    <t>Contracturen</t>
  </si>
  <si>
    <t>Productiviteit in uren</t>
  </si>
  <si>
    <t>Productiviteit in %</t>
  </si>
  <si>
    <t>Risico en weerstandsvermogen (marge)</t>
  </si>
  <si>
    <t>CBS StatLine - Ziekteverzuimpercentage; AZW branches</t>
  </si>
  <si>
    <t>Gebaseerd op de Berenschot benchmark care</t>
  </si>
  <si>
    <t>1,5 dienstreis per dag: 1,5 x 15 km x € 0,23 x 5 dagen x 42 weken + 4x per jaar naar werkgever: 4x 60 km x € 0,23.</t>
  </si>
  <si>
    <t>Non productiviteit bij ziekteverzuim</t>
  </si>
  <si>
    <t>52 weken - 5 weken verlof - 1,5 weken inovatie/feestdagen/opleiding - 3,5 week ziekteverzuim: 42 weken, 5 werkdagen, 10 km enkele reis ad € 0,23</t>
  </si>
  <si>
    <t>Vervanging bij ziekteverzuim. 3,5 week verzuim, eerste 2 weken geen vervanging. Dus 1,5 week vergoeding</t>
  </si>
  <si>
    <t>Verlof/feestdagen/opleiding/etc</t>
  </si>
  <si>
    <t>ja</t>
  </si>
  <si>
    <t>Selecteer uit keuzelijst</t>
  </si>
  <si>
    <t>Gewogen salaris</t>
  </si>
  <si>
    <t>Omdat de dienstverlening volledig plaatsvindt op een gemeentelijke locatie en uitsluitend gebruik wordt gemaakt van de aanwezige gemeentelijke voorzieningen, zijn de materiële kosten en kapitaallasten voor de uitvoerende partij aantoonbaar lager dan in de benchmark van Berenschot</t>
  </si>
  <si>
    <t>Prijsindexcijfers</t>
  </si>
  <si>
    <t>VNG kostentool</t>
  </si>
  <si>
    <t>Algemene Maatregel van Bestuur (AMvB)</t>
  </si>
  <si>
    <t>Berenschot Benchmark Care (BM-c)</t>
  </si>
  <si>
    <t>Rapportage Tarievenonderzoek Open House inkoop Wmo en lokale Jeugdhulp</t>
  </si>
  <si>
    <t>TransitiePartners (TP)</t>
  </si>
  <si>
    <t>Gemeente Voorne aan Zee (VaZ)</t>
  </si>
  <si>
    <t xml:space="preserve">Onderstaande opbouw van de tarieven is gebaseerd op de eisen uit de Algemene Maatregel van Bestuur (AMvB). </t>
  </si>
  <si>
    <t>sector</t>
  </si>
  <si>
    <t>Vergoeden dienstreizen</t>
  </si>
  <si>
    <t>Den Haag</t>
  </si>
  <si>
    <t>jeugdzorg</t>
  </si>
  <si>
    <t>Perceel 3: Gedragswetenschapper</t>
  </si>
  <si>
    <t>Mevis</t>
  </si>
  <si>
    <t>City Kids</t>
  </si>
  <si>
    <t>Smart People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</si>
</sst>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 #,##0.00"/>
    <numFmt numFmtId="165" formatCode="#,##0.0"/>
  </numFmts>
  <fonts count="13" x14ac:knownFonts="1">
    <font>
      <sz val="11"/>
      <color theme="1"/>
      <name val="Aptos Narrow"/>
      <family val="2"/>
      <scheme val="minor"/>
    </font>
    <font>
      <b/>
      <sz val="11"/>
      <color theme="1"/>
      <name val="Aptos Narrow"/>
      <family val="2"/>
      <scheme val="minor"/>
    </font>
    <font>
      <u/>
      <sz val="11"/>
      <color theme="10"/>
      <name val="Aptos Narrow"/>
      <family val="2"/>
      <scheme val="minor"/>
    </font>
    <font>
      <b/>
      <sz val="11"/>
      <color theme="0"/>
      <name val="Aptos Narrow"/>
      <family val="2"/>
      <scheme val="minor"/>
    </font>
    <font>
      <sz val="11"/>
      <color theme="0"/>
      <name val="Aptos Narrow"/>
      <family val="2"/>
      <scheme val="minor"/>
    </font>
    <font>
      <sz val="11"/>
      <color rgb="FFFF0000"/>
      <name val="Aptos Narrow"/>
      <family val="2"/>
      <scheme val="minor"/>
    </font>
    <font>
      <sz val="11"/>
      <color rgb="FF01154D"/>
      <name val="Aptos Narrow"/>
      <family val="2"/>
      <scheme val="minor"/>
    </font>
    <font>
      <b/>
      <sz val="11"/>
      <color rgb="FF01154D"/>
      <name val="Aptos Narrow"/>
      <family val="2"/>
      <scheme val="minor"/>
    </font>
    <font>
      <b/>
      <sz val="12"/>
      <color theme="0"/>
      <name val="Aptos Narrow"/>
      <family val="2"/>
      <scheme val="minor"/>
    </font>
    <font>
      <sz val="9"/>
      <color theme="1"/>
      <name val="Aptos Narrow"/>
      <family val="2"/>
      <scheme val="minor"/>
    </font>
    <font>
      <b/>
      <sz val="9"/>
      <color theme="1"/>
      <name val="Aptos Narrow"/>
      <family val="2"/>
      <scheme val="minor"/>
    </font>
    <font>
      <sz val="8"/>
      <name val="Aptos Narrow"/>
      <family val="2"/>
      <scheme val="minor"/>
    </font>
    <font>
      <sz val="11"/>
      <color theme="9" tint="0.59999389629810485"/>
      <name val="Aptos Narrow"/>
      <family val="2"/>
      <scheme val="minor"/>
    </font>
  </fonts>
  <fills count="8">
    <fill>
      <patternFill patternType="none"/>
    </fill>
    <fill>
      <patternFill patternType="gray125"/>
    </fill>
    <fill>
      <patternFill patternType="solid">
        <fgColor rgb="FFFFFF00"/>
        <bgColor indexed="64"/>
      </patternFill>
    </fill>
    <fill>
      <patternFill patternType="solid">
        <fgColor theme="6"/>
        <bgColor indexed="64"/>
      </patternFill>
    </fill>
    <fill>
      <patternFill patternType="solid">
        <fgColor theme="9" tint="0.79998168889431442"/>
        <bgColor indexed="64"/>
      </patternFill>
    </fill>
    <fill>
      <patternFill patternType="solid">
        <fgColor theme="2"/>
        <bgColor indexed="64"/>
      </patternFill>
    </fill>
    <fill>
      <patternFill patternType="solid">
        <fgColor theme="9" tint="0.59999389629810485"/>
        <bgColor indexed="64"/>
      </patternFill>
    </fill>
    <fill>
      <patternFill patternType="solid">
        <fgColor theme="2" tint="-9.9978637043366805E-2"/>
        <bgColor indexed="64"/>
      </patternFill>
    </fill>
  </fills>
  <borders count="3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ouble">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s>
  <cellStyleXfs count="2">
    <xf numFmtId="0" fontId="0" fillId="0" borderId="0"/>
    <xf numFmtId="0" fontId="2" fillId="0" borderId="0" applyNumberFormat="0" applyFill="0" applyBorder="0" applyAlignment="0" applyProtection="0"/>
  </cellStyleXfs>
  <cellXfs count="138">
    <xf numFmtId="0" fontId="0" fillId="0" borderId="0" xfId="0"/>
    <xf numFmtId="10" fontId="0" fillId="0" borderId="0" xfId="0" applyNumberFormat="1"/>
    <xf numFmtId="10" fontId="0" fillId="0" borderId="5" xfId="0" applyNumberFormat="1" applyBorder="1"/>
    <xf numFmtId="10" fontId="0" fillId="0" borderId="8" xfId="0" applyNumberFormat="1" applyBorder="1"/>
    <xf numFmtId="0" fontId="0" fillId="0" borderId="4" xfId="0" applyBorder="1"/>
    <xf numFmtId="0" fontId="0" fillId="0" borderId="6" xfId="0" applyBorder="1"/>
    <xf numFmtId="0" fontId="3" fillId="3" borderId="1" xfId="0" applyFont="1" applyFill="1" applyBorder="1"/>
    <xf numFmtId="164" fontId="4" fillId="3" borderId="2" xfId="0" applyNumberFormat="1" applyFont="1" applyFill="1" applyBorder="1"/>
    <xf numFmtId="0" fontId="4" fillId="3" borderId="3" xfId="0" applyFont="1" applyFill="1" applyBorder="1"/>
    <xf numFmtId="0" fontId="3" fillId="3" borderId="11" xfId="0" applyFont="1" applyFill="1" applyBorder="1"/>
    <xf numFmtId="0" fontId="4" fillId="3" borderId="13" xfId="0" applyFont="1" applyFill="1" applyBorder="1"/>
    <xf numFmtId="0" fontId="0" fillId="2" borderId="0" xfId="0" applyFill="1"/>
    <xf numFmtId="10" fontId="4" fillId="3" borderId="2" xfId="0" applyNumberFormat="1" applyFont="1" applyFill="1" applyBorder="1"/>
    <xf numFmtId="0" fontId="0" fillId="4" borderId="4" xfId="0" applyFill="1" applyBorder="1"/>
    <xf numFmtId="0" fontId="0" fillId="4" borderId="6" xfId="0" applyFill="1" applyBorder="1"/>
    <xf numFmtId="164" fontId="0" fillId="4" borderId="7" xfId="0" applyNumberFormat="1" applyFill="1" applyBorder="1"/>
    <xf numFmtId="164" fontId="0" fillId="4" borderId="0" xfId="0" applyNumberFormat="1" applyFill="1"/>
    <xf numFmtId="0" fontId="0" fillId="4" borderId="5" xfId="0" applyFill="1" applyBorder="1"/>
    <xf numFmtId="0" fontId="0" fillId="4" borderId="8" xfId="0" applyFill="1" applyBorder="1"/>
    <xf numFmtId="10" fontId="1" fillId="0" borderId="9" xfId="0" applyNumberFormat="1" applyFont="1" applyBorder="1"/>
    <xf numFmtId="0" fontId="0" fillId="4" borderId="0" xfId="0" applyFill="1"/>
    <xf numFmtId="10" fontId="0" fillId="0" borderId="14" xfId="0" applyNumberFormat="1" applyBorder="1"/>
    <xf numFmtId="10" fontId="0" fillId="0" borderId="15" xfId="0" applyNumberFormat="1" applyBorder="1"/>
    <xf numFmtId="0" fontId="0" fillId="4" borderId="7" xfId="0" applyFill="1" applyBorder="1"/>
    <xf numFmtId="0" fontId="4" fillId="3" borderId="12" xfId="0" applyFont="1" applyFill="1" applyBorder="1"/>
    <xf numFmtId="49" fontId="3" fillId="3" borderId="3" xfId="0" applyNumberFormat="1" applyFont="1" applyFill="1" applyBorder="1" applyAlignment="1">
      <alignment vertical="top"/>
    </xf>
    <xf numFmtId="0" fontId="0" fillId="5" borderId="0" xfId="0" applyFill="1"/>
    <xf numFmtId="10" fontId="0" fillId="5" borderId="0" xfId="0" applyNumberFormat="1" applyFill="1"/>
    <xf numFmtId="0" fontId="2" fillId="5" borderId="0" xfId="1" applyFill="1" applyBorder="1"/>
    <xf numFmtId="0" fontId="2" fillId="5" borderId="0" xfId="1" applyFill="1"/>
    <xf numFmtId="0" fontId="1" fillId="5" borderId="0" xfId="0" applyFont="1" applyFill="1"/>
    <xf numFmtId="0" fontId="1" fillId="5" borderId="0" xfId="0" applyFont="1" applyFill="1" applyAlignment="1">
      <alignment horizontal="center"/>
    </xf>
    <xf numFmtId="0" fontId="5" fillId="5" borderId="0" xfId="0" applyFont="1" applyFill="1"/>
    <xf numFmtId="0" fontId="1" fillId="0" borderId="4" xfId="0" applyFont="1" applyBorder="1"/>
    <xf numFmtId="0" fontId="1" fillId="0" borderId="5" xfId="0" applyFont="1" applyBorder="1" applyAlignment="1">
      <alignment horizontal="center"/>
    </xf>
    <xf numFmtId="0" fontId="1" fillId="0" borderId="4" xfId="0" applyFont="1" applyBorder="1" applyAlignment="1">
      <alignment horizontal="left"/>
    </xf>
    <xf numFmtId="164" fontId="1" fillId="0" borderId="9" xfId="0" applyNumberFormat="1" applyFont="1" applyBorder="1"/>
    <xf numFmtId="164" fontId="0" fillId="2" borderId="0" xfId="0" applyNumberFormat="1" applyFill="1"/>
    <xf numFmtId="0" fontId="0" fillId="2" borderId="0" xfId="0" applyFill="1" applyAlignment="1">
      <alignment horizontal="center"/>
    </xf>
    <xf numFmtId="164" fontId="0" fillId="5" borderId="0" xfId="0" applyNumberFormat="1" applyFill="1"/>
    <xf numFmtId="0" fontId="0" fillId="0" borderId="5" xfId="0" applyBorder="1"/>
    <xf numFmtId="0" fontId="0" fillId="0" borderId="4" xfId="0" applyBorder="1" applyAlignment="1">
      <alignment horizontal="left" indent="1"/>
    </xf>
    <xf numFmtId="164" fontId="0" fillId="0" borderId="10" xfId="0" applyNumberFormat="1" applyBorder="1"/>
    <xf numFmtId="0" fontId="1" fillId="6" borderId="4" xfId="0" applyFont="1" applyFill="1" applyBorder="1"/>
    <xf numFmtId="0" fontId="8" fillId="3" borderId="1" xfId="0" applyFont="1" applyFill="1" applyBorder="1"/>
    <xf numFmtId="0" fontId="8" fillId="3" borderId="2" xfId="0" applyFont="1" applyFill="1" applyBorder="1"/>
    <xf numFmtId="10" fontId="3" fillId="3" borderId="2" xfId="0" applyNumberFormat="1" applyFont="1" applyFill="1" applyBorder="1"/>
    <xf numFmtId="0" fontId="0" fillId="5" borderId="18" xfId="0" applyFill="1" applyBorder="1"/>
    <xf numFmtId="0" fontId="0" fillId="5" borderId="20" xfId="0" applyFill="1" applyBorder="1"/>
    <xf numFmtId="0" fontId="0" fillId="5" borderId="22" xfId="0" applyFill="1" applyBorder="1"/>
    <xf numFmtId="0" fontId="0" fillId="5" borderId="4" xfId="0" applyFill="1" applyBorder="1"/>
    <xf numFmtId="0" fontId="0" fillId="5" borderId="6" xfId="0" applyFill="1" applyBorder="1"/>
    <xf numFmtId="0" fontId="4" fillId="3" borderId="2" xfId="0" applyFont="1" applyFill="1" applyBorder="1"/>
    <xf numFmtId="165" fontId="0" fillId="5" borderId="0" xfId="0" applyNumberFormat="1" applyFill="1"/>
    <xf numFmtId="10" fontId="0" fillId="5" borderId="5" xfId="0" applyNumberFormat="1" applyFill="1" applyBorder="1"/>
    <xf numFmtId="165" fontId="0" fillId="5" borderId="7" xfId="0" applyNumberFormat="1" applyFill="1" applyBorder="1"/>
    <xf numFmtId="10" fontId="0" fillId="5" borderId="8" xfId="0" applyNumberFormat="1" applyFill="1" applyBorder="1"/>
    <xf numFmtId="0" fontId="0" fillId="5" borderId="5" xfId="0" applyFill="1" applyBorder="1"/>
    <xf numFmtId="0" fontId="0" fillId="5" borderId="7" xfId="0" applyFill="1" applyBorder="1"/>
    <xf numFmtId="10" fontId="0" fillId="5" borderId="7" xfId="0" applyNumberFormat="1" applyFill="1" applyBorder="1"/>
    <xf numFmtId="164" fontId="0" fillId="5" borderId="7" xfId="0" applyNumberFormat="1" applyFill="1" applyBorder="1"/>
    <xf numFmtId="0" fontId="0" fillId="5" borderId="8" xfId="0" applyFill="1" applyBorder="1"/>
    <xf numFmtId="0" fontId="0" fillId="7" borderId="0" xfId="0" applyFill="1"/>
    <xf numFmtId="0" fontId="1" fillId="7" borderId="0" xfId="0" applyFont="1" applyFill="1" applyAlignment="1">
      <alignment horizontal="center"/>
    </xf>
    <xf numFmtId="0" fontId="1" fillId="7" borderId="0" xfId="0" applyFont="1" applyFill="1"/>
    <xf numFmtId="0" fontId="5" fillId="7" borderId="0" xfId="0" applyFont="1" applyFill="1"/>
    <xf numFmtId="10" fontId="0" fillId="7" borderId="0" xfId="0" applyNumberFormat="1" applyFill="1"/>
    <xf numFmtId="0" fontId="2" fillId="7" borderId="0" xfId="1" applyFill="1"/>
    <xf numFmtId="164" fontId="0" fillId="7" borderId="0" xfId="0" applyNumberFormat="1" applyFill="1"/>
    <xf numFmtId="0" fontId="10" fillId="0" borderId="5" xfId="0" applyFont="1" applyBorder="1" applyAlignment="1">
      <alignment horizontal="center"/>
    </xf>
    <xf numFmtId="0" fontId="9" fillId="0" borderId="5" xfId="0" applyFont="1" applyBorder="1" applyAlignment="1">
      <alignment horizontal="center"/>
    </xf>
    <xf numFmtId="0" fontId="0" fillId="4" borderId="0" xfId="0" applyFill="1" applyAlignment="1">
      <alignment horizontal="center"/>
    </xf>
    <xf numFmtId="164" fontId="0" fillId="4" borderId="17" xfId="0" applyNumberFormat="1" applyFill="1" applyBorder="1"/>
    <xf numFmtId="0" fontId="0" fillId="2" borderId="0" xfId="0" quotePrefix="1" applyFill="1"/>
    <xf numFmtId="10" fontId="0" fillId="4" borderId="0" xfId="0" applyNumberFormat="1" applyFill="1" applyAlignment="1">
      <alignment horizontal="center"/>
    </xf>
    <xf numFmtId="0" fontId="3" fillId="3" borderId="2" xfId="0" applyFont="1" applyFill="1" applyBorder="1"/>
    <xf numFmtId="49" fontId="3" fillId="3" borderId="2" xfId="0" applyNumberFormat="1" applyFont="1" applyFill="1" applyBorder="1" applyAlignment="1">
      <alignment vertical="top"/>
    </xf>
    <xf numFmtId="10" fontId="0" fillId="5" borderId="0" xfId="0" applyNumberFormat="1" applyFill="1" applyAlignment="1">
      <alignment vertical="top" wrapText="1"/>
    </xf>
    <xf numFmtId="10" fontId="0" fillId="5" borderId="7" xfId="0" applyNumberFormat="1" applyFill="1" applyBorder="1" applyAlignment="1">
      <alignment vertical="top" wrapText="1"/>
    </xf>
    <xf numFmtId="165" fontId="0" fillId="5" borderId="9" xfId="0" applyNumberFormat="1" applyFill="1" applyBorder="1"/>
    <xf numFmtId="0" fontId="1" fillId="5" borderId="4" xfId="0" applyFont="1" applyFill="1" applyBorder="1"/>
    <xf numFmtId="0" fontId="0" fillId="5" borderId="27" xfId="0" applyFill="1" applyBorder="1" applyAlignment="1">
      <alignment vertical="top"/>
    </xf>
    <xf numFmtId="0" fontId="0" fillId="0" borderId="7" xfId="0" applyBorder="1"/>
    <xf numFmtId="10" fontId="0" fillId="0" borderId="7" xfId="0" applyNumberFormat="1" applyBorder="1"/>
    <xf numFmtId="164" fontId="0" fillId="0" borderId="7" xfId="0" applyNumberFormat="1" applyBorder="1"/>
    <xf numFmtId="0" fontId="0" fillId="0" borderId="8" xfId="0" applyBorder="1"/>
    <xf numFmtId="0" fontId="4" fillId="3" borderId="5" xfId="0" applyFont="1" applyFill="1" applyBorder="1"/>
    <xf numFmtId="164" fontId="0" fillId="0" borderId="0" xfId="0" applyNumberFormat="1"/>
    <xf numFmtId="0" fontId="2" fillId="0" borderId="0" xfId="1" applyBorder="1" applyAlignment="1"/>
    <xf numFmtId="0" fontId="8" fillId="3" borderId="4" xfId="0" applyFont="1" applyFill="1" applyBorder="1"/>
    <xf numFmtId="0" fontId="8" fillId="3" borderId="0" xfId="0" applyFont="1" applyFill="1"/>
    <xf numFmtId="10" fontId="3" fillId="3" borderId="0" xfId="0" applyNumberFormat="1" applyFont="1" applyFill="1"/>
    <xf numFmtId="164" fontId="4" fillId="3" borderId="0" xfId="0" applyNumberFormat="1" applyFont="1" applyFill="1"/>
    <xf numFmtId="0" fontId="12" fillId="4" borderId="5" xfId="0" applyFont="1" applyFill="1" applyBorder="1"/>
    <xf numFmtId="0" fontId="1" fillId="0" borderId="0" xfId="0" applyFont="1"/>
    <xf numFmtId="0" fontId="1" fillId="6" borderId="0" xfId="0" applyFont="1" applyFill="1"/>
    <xf numFmtId="10" fontId="1" fillId="0" borderId="0" xfId="0" applyNumberFormat="1" applyFont="1" applyAlignment="1">
      <alignment horizontal="center"/>
    </xf>
    <xf numFmtId="164" fontId="1" fillId="0" borderId="0" xfId="0" applyNumberFormat="1" applyFont="1" applyAlignment="1">
      <alignment horizontal="center"/>
    </xf>
    <xf numFmtId="10" fontId="1" fillId="0" borderId="0" xfId="0" applyNumberFormat="1" applyFont="1"/>
    <xf numFmtId="164" fontId="1" fillId="0" borderId="0" xfId="0" applyNumberFormat="1" applyFont="1"/>
    <xf numFmtId="0" fontId="0" fillId="0" borderId="0" xfId="0" applyAlignment="1">
      <alignment horizontal="left" indent="1"/>
    </xf>
    <xf numFmtId="10" fontId="0" fillId="0" borderId="0" xfId="0" applyNumberFormat="1" applyAlignment="1">
      <alignment horizontal="center"/>
    </xf>
    <xf numFmtId="164" fontId="6" fillId="0" borderId="0" xfId="0" applyNumberFormat="1" applyFont="1" applyAlignment="1">
      <alignment vertical="center" wrapText="1"/>
    </xf>
    <xf numFmtId="0" fontId="1" fillId="0" borderId="0" xfId="0" applyFont="1" applyAlignment="1">
      <alignment horizontal="left"/>
    </xf>
    <xf numFmtId="164" fontId="7" fillId="0" borderId="0" xfId="0" applyNumberFormat="1" applyFont="1" applyAlignment="1">
      <alignment vertical="center" wrapText="1"/>
    </xf>
    <xf numFmtId="0" fontId="0" fillId="4" borderId="5" xfId="0" applyFill="1" applyBorder="1" applyAlignment="1">
      <alignment horizontal="center"/>
    </xf>
    <xf numFmtId="10" fontId="0" fillId="2" borderId="7" xfId="0" applyNumberFormat="1" applyFill="1" applyBorder="1" applyAlignment="1">
      <alignment horizontal="center"/>
    </xf>
    <xf numFmtId="0" fontId="0" fillId="2" borderId="5" xfId="0" applyFill="1" applyBorder="1" applyAlignment="1">
      <alignment horizontal="center"/>
    </xf>
    <xf numFmtId="0" fontId="0" fillId="5" borderId="16" xfId="0" applyFill="1" applyBorder="1" applyAlignment="1">
      <alignment vertical="top" wrapText="1"/>
    </xf>
    <xf numFmtId="0" fontId="0" fillId="5" borderId="23" xfId="0" applyFill="1" applyBorder="1" applyAlignment="1">
      <alignment vertical="top" wrapText="1"/>
    </xf>
    <xf numFmtId="0" fontId="0" fillId="5" borderId="17" xfId="0" applyFill="1" applyBorder="1" applyAlignment="1">
      <alignment vertical="top" wrapText="1"/>
    </xf>
    <xf numFmtId="0" fontId="0" fillId="5" borderId="19" xfId="0" applyFill="1" applyBorder="1" applyAlignment="1">
      <alignment vertical="top" wrapText="1"/>
    </xf>
    <xf numFmtId="0" fontId="0" fillId="5" borderId="25" xfId="0" applyFill="1" applyBorder="1" applyAlignment="1">
      <alignment vertical="top" wrapText="1"/>
    </xf>
    <xf numFmtId="0" fontId="0" fillId="5" borderId="26" xfId="0" applyFill="1" applyBorder="1" applyAlignment="1">
      <alignment vertical="top" wrapText="1"/>
    </xf>
    <xf numFmtId="0" fontId="0" fillId="5" borderId="0" xfId="0" applyFill="1" applyAlignment="1">
      <alignment vertical="top" wrapText="1"/>
    </xf>
    <xf numFmtId="0" fontId="0" fillId="5" borderId="5" xfId="0" applyFill="1" applyBorder="1" applyAlignment="1">
      <alignment vertical="top" wrapText="1"/>
    </xf>
    <xf numFmtId="0" fontId="0" fillId="0" borderId="22" xfId="0" applyBorder="1" applyAlignment="1">
      <alignment vertical="top" wrapText="1"/>
    </xf>
    <xf numFmtId="0" fontId="0" fillId="0" borderId="16" xfId="0" applyBorder="1" applyAlignment="1">
      <alignment vertical="top" wrapText="1"/>
    </xf>
    <xf numFmtId="0" fontId="0" fillId="0" borderId="23" xfId="0" applyBorder="1" applyAlignment="1">
      <alignment vertical="top" wrapText="1"/>
    </xf>
    <xf numFmtId="0" fontId="0" fillId="5" borderId="10" xfId="0" applyFill="1" applyBorder="1" applyAlignment="1">
      <alignment vertical="top" wrapText="1"/>
    </xf>
    <xf numFmtId="0" fontId="0" fillId="5" borderId="21" xfId="0" applyFill="1" applyBorder="1" applyAlignment="1">
      <alignment vertical="top" wrapText="1"/>
    </xf>
    <xf numFmtId="0" fontId="0" fillId="5" borderId="28" xfId="0" applyFill="1" applyBorder="1" applyAlignment="1">
      <alignment vertical="top" wrapText="1"/>
    </xf>
    <xf numFmtId="0" fontId="0" fillId="5" borderId="29" xfId="0" applyFill="1" applyBorder="1" applyAlignment="1">
      <alignment vertical="top" wrapText="1"/>
    </xf>
    <xf numFmtId="0" fontId="0" fillId="5" borderId="22" xfId="0" applyFill="1" applyBorder="1"/>
    <xf numFmtId="0" fontId="0" fillId="0" borderId="16" xfId="0" applyBorder="1"/>
    <xf numFmtId="0" fontId="0" fillId="0" borderId="23" xfId="0" applyBorder="1"/>
    <xf numFmtId="0" fontId="0" fillId="5" borderId="24" xfId="0" applyFill="1" applyBorder="1" applyAlignment="1">
      <alignment vertical="top" wrapText="1"/>
    </xf>
    <xf numFmtId="0" fontId="0" fillId="0" borderId="0" xfId="0" applyAlignment="1">
      <alignment vertical="top" wrapText="1"/>
    </xf>
    <xf numFmtId="0" fontId="0" fillId="0" borderId="5" xfId="0" applyBorder="1" applyAlignment="1">
      <alignment vertical="top" wrapText="1"/>
    </xf>
    <xf numFmtId="0" fontId="2" fillId="0" borderId="0" xfId="1" applyBorder="1" applyAlignment="1"/>
    <xf numFmtId="0" fontId="0" fillId="0" borderId="0" xfId="0"/>
    <xf numFmtId="0" fontId="0" fillId="0" borderId="5" xfId="0" applyBorder="1"/>
    <xf numFmtId="0" fontId="2" fillId="0" borderId="7" xfId="1" applyBorder="1" applyAlignment="1"/>
    <xf numFmtId="0" fontId="0" fillId="0" borderId="7" xfId="0" applyBorder="1"/>
    <xf numFmtId="0" fontId="0" fillId="0" borderId="8" xfId="0" applyBorder="1"/>
    <xf numFmtId="0" fontId="2" fillId="5" borderId="0" xfId="1" applyFill="1" applyBorder="1" applyAlignment="1"/>
    <xf numFmtId="0" fontId="0" fillId="2" borderId="0" xfId="0" applyFill="1"/>
    <xf numFmtId="0" fontId="0" fillId="2" borderId="5" xfId="0" applyFill="1" applyBorder="1"/>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8" Type="http://schemas.openxmlformats.org/officeDocument/2006/relationships/hyperlink" Target="https://zoek.officielebekendmakingen.nl/stb-2024-69.html" TargetMode="External"/><Relationship Id="rId13" Type="http://schemas.openxmlformats.org/officeDocument/2006/relationships/printerSettings" Target="../printerSettings/printerSettings1.bin"/><Relationship Id="rId3" Type="http://schemas.openxmlformats.org/officeDocument/2006/relationships/hyperlink" Target="https://www.uwv.nl/nl/premies-bedragen/premie-ww" TargetMode="External"/><Relationship Id="rId7" Type="http://schemas.openxmlformats.org/officeDocument/2006/relationships/hyperlink" Target="https://www.uwv.nl/nl/publicaties/kennis/2025/gedifferentieerde-premies-wga-en-ziektewet-2026" TargetMode="External"/><Relationship Id="rId12" Type="http://schemas.openxmlformats.org/officeDocument/2006/relationships/hyperlink" Target="https://vng.nl/publicaties/kostentool-jeugdhulp" TargetMode="External"/><Relationship Id="rId2" Type="http://schemas.openxmlformats.org/officeDocument/2006/relationships/hyperlink" Target="https://www.uwv.nl/nl/premies-bedragen" TargetMode="External"/><Relationship Id="rId1" Type="http://schemas.openxmlformats.org/officeDocument/2006/relationships/hyperlink" Target="https://www.sociaalwerk-werkt.nl/werkgevers/pensioenpremies-2025" TargetMode="External"/><Relationship Id="rId6" Type="http://schemas.openxmlformats.org/officeDocument/2006/relationships/hyperlink" Target="https://www.mkbservicedesk.nl/personeel/beloning-arbeidsvoorwaarden/werkgeversbijdrage-kinderopvang" TargetMode="External"/><Relationship Id="rId11" Type="http://schemas.openxmlformats.org/officeDocument/2006/relationships/hyperlink" Target="https://www.nza.nl/onderwerpen/p/prijsindexcijfers" TargetMode="External"/><Relationship Id="rId5" Type="http://schemas.openxmlformats.org/officeDocument/2006/relationships/hyperlink" Target="https://www.uwv.nl/nl/publicaties/kennis/2025/gedifferentieerde-premies-wga-en-ziektewet-2026" TargetMode="External"/><Relationship Id="rId10" Type="http://schemas.openxmlformats.org/officeDocument/2006/relationships/hyperlink" Target="https://azwstatline.cbs.nl/" TargetMode="External"/><Relationship Id="rId4" Type="http://schemas.openxmlformats.org/officeDocument/2006/relationships/hyperlink" Target="https://www.belastingdienst.nl/wps/wcm/connect/bldcontentnl/belastingdienst/prive/werk_en_inkomen/zorgverzekeringswet/veranderingen-bijdrage-zvw/percentages-zvw" TargetMode="External"/><Relationship Id="rId9" Type="http://schemas.openxmlformats.org/officeDocument/2006/relationships/hyperlink" Target="https://www.berenschot.nl/benchmarken/benchmark-car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4DCD27-2EE1-4FD4-9767-6CD515B35B64}">
  <dimension ref="B1:H25"/>
  <sheetViews>
    <sheetView workbookViewId="0">
      <selection activeCell="F12" sqref="F12"/>
    </sheetView>
  </sheetViews>
  <sheetFormatPr defaultColWidth="9.140625" defaultRowHeight="15" x14ac:dyDescent="0.25"/>
  <cols>
    <col min="1" max="1" width="2.7109375" style="26" customWidth="1"/>
    <col min="2" max="2" width="32.85546875" style="26" customWidth="1"/>
    <col min="3" max="3" width="18.5703125" style="26" customWidth="1"/>
    <col min="4" max="6" width="12.7109375" style="26" customWidth="1"/>
    <col min="7" max="16384" width="9.140625" style="26"/>
  </cols>
  <sheetData>
    <row r="1" spans="2:8" ht="15.75" thickBot="1" x14ac:dyDescent="0.3">
      <c r="B1" s="30"/>
    </row>
    <row r="2" spans="2:8" x14ac:dyDescent="0.25">
      <c r="B2" s="6" t="s">
        <v>41</v>
      </c>
      <c r="C2" s="12"/>
      <c r="D2" s="7"/>
      <c r="E2" s="7"/>
      <c r="F2" s="8"/>
    </row>
    <row r="3" spans="2:8" x14ac:dyDescent="0.25">
      <c r="B3" s="13" t="s">
        <v>42</v>
      </c>
      <c r="C3" s="136" t="s">
        <v>138</v>
      </c>
      <c r="D3" s="136"/>
      <c r="E3" s="136"/>
      <c r="F3" s="137"/>
    </row>
    <row r="4" spans="2:8" x14ac:dyDescent="0.25">
      <c r="B4" s="13"/>
      <c r="C4" s="20" t="s">
        <v>78</v>
      </c>
      <c r="D4" s="71" t="s">
        <v>76</v>
      </c>
      <c r="E4" s="71" t="s">
        <v>77</v>
      </c>
      <c r="F4" s="105" t="s">
        <v>134</v>
      </c>
    </row>
    <row r="5" spans="2:8" x14ac:dyDescent="0.25">
      <c r="B5" s="13" t="s">
        <v>86</v>
      </c>
      <c r="C5" s="11" t="s">
        <v>139</v>
      </c>
      <c r="D5" s="37">
        <v>4119</v>
      </c>
      <c r="E5" s="37">
        <v>6224</v>
      </c>
      <c r="F5" s="107" t="s">
        <v>137</v>
      </c>
      <c r="H5" s="32"/>
    </row>
    <row r="6" spans="2:8" x14ac:dyDescent="0.25">
      <c r="B6" s="13" t="s">
        <v>87</v>
      </c>
      <c r="C6" s="73" t="s">
        <v>140</v>
      </c>
      <c r="D6" s="37">
        <v>4119.0200000000004</v>
      </c>
      <c r="E6" s="37">
        <v>6224.38</v>
      </c>
      <c r="F6" s="107" t="s">
        <v>137</v>
      </c>
    </row>
    <row r="7" spans="2:8" x14ac:dyDescent="0.25">
      <c r="B7" s="13" t="s">
        <v>88</v>
      </c>
      <c r="C7" s="11" t="s">
        <v>136</v>
      </c>
      <c r="D7" s="37">
        <v>4119</v>
      </c>
      <c r="E7" s="37">
        <v>6224</v>
      </c>
      <c r="F7" s="107" t="s">
        <v>137</v>
      </c>
    </row>
    <row r="8" spans="2:8" x14ac:dyDescent="0.25">
      <c r="B8" s="13" t="s">
        <v>89</v>
      </c>
      <c r="C8" s="11" t="s">
        <v>141</v>
      </c>
      <c r="D8" s="37">
        <v>3972</v>
      </c>
      <c r="E8" s="37">
        <v>6002</v>
      </c>
      <c r="F8" s="107" t="s">
        <v>137</v>
      </c>
    </row>
    <row r="9" spans="2:8" x14ac:dyDescent="0.25">
      <c r="B9" s="13" t="s">
        <v>90</v>
      </c>
      <c r="C9" s="11"/>
      <c r="D9" s="37"/>
      <c r="E9" s="37"/>
      <c r="F9" s="107"/>
    </row>
    <row r="10" spans="2:8" x14ac:dyDescent="0.25">
      <c r="B10" s="13" t="s">
        <v>75</v>
      </c>
      <c r="C10" s="20"/>
      <c r="D10" s="72">
        <f>SUM(D5:D9)/F10</f>
        <v>4082.2550000000001</v>
      </c>
      <c r="E10" s="72">
        <f>SUM(E5:E9)/F10</f>
        <v>6168.5950000000003</v>
      </c>
      <c r="F10" s="93">
        <f>COUNT(E5:E9)</f>
        <v>4</v>
      </c>
    </row>
    <row r="11" spans="2:8" x14ac:dyDescent="0.25">
      <c r="B11" s="13" t="s">
        <v>31</v>
      </c>
      <c r="C11" s="38" t="s">
        <v>7</v>
      </c>
      <c r="D11" s="16" t="s">
        <v>123</v>
      </c>
      <c r="E11" s="16"/>
      <c r="F11" s="17"/>
    </row>
    <row r="12" spans="2:8" x14ac:dyDescent="0.25">
      <c r="B12" s="13" t="s">
        <v>32</v>
      </c>
      <c r="C12" s="38" t="s">
        <v>24</v>
      </c>
      <c r="D12" s="16" t="s">
        <v>123</v>
      </c>
      <c r="E12" s="16"/>
      <c r="F12" s="17"/>
    </row>
    <row r="13" spans="2:8" x14ac:dyDescent="0.25">
      <c r="B13" s="13" t="s">
        <v>135</v>
      </c>
      <c r="C13" s="38" t="s">
        <v>122</v>
      </c>
      <c r="D13" s="16" t="s">
        <v>123</v>
      </c>
      <c r="E13" s="16"/>
      <c r="F13" s="17"/>
    </row>
    <row r="14" spans="2:8" ht="15.75" thickBot="1" x14ac:dyDescent="0.3">
      <c r="B14" s="14" t="s">
        <v>39</v>
      </c>
      <c r="C14" s="106">
        <v>0</v>
      </c>
      <c r="D14" s="15" t="s">
        <v>73</v>
      </c>
      <c r="E14" s="15"/>
      <c r="F14" s="18"/>
    </row>
    <row r="15" spans="2:8" ht="15.75" thickBot="1" x14ac:dyDescent="0.3"/>
    <row r="16" spans="2:8" ht="15.75" thickBot="1" x14ac:dyDescent="0.3">
      <c r="B16" s="9" t="s">
        <v>46</v>
      </c>
      <c r="C16" s="24"/>
      <c r="D16" s="24"/>
      <c r="E16" s="24"/>
      <c r="F16" s="10"/>
    </row>
    <row r="17" spans="2:6" x14ac:dyDescent="0.25">
      <c r="B17" s="13" t="s">
        <v>124</v>
      </c>
      <c r="C17" s="16">
        <f>+'Tarief inhuur'!E9</f>
        <v>5907.8024999999998</v>
      </c>
      <c r="D17" s="20" t="str">
        <f>+C11</f>
        <v>Schaars</v>
      </c>
      <c r="E17" s="74"/>
      <c r="F17" s="17"/>
    </row>
    <row r="18" spans="2:6" x14ac:dyDescent="0.25">
      <c r="B18" s="13" t="s">
        <v>33</v>
      </c>
      <c r="C18" s="16">
        <f>+'Tarief inhuur'!F37</f>
        <v>152682.26220599716</v>
      </c>
      <c r="D18" s="20"/>
      <c r="E18" s="20"/>
      <c r="F18" s="17"/>
    </row>
    <row r="19" spans="2:6" ht="15.75" thickBot="1" x14ac:dyDescent="0.3">
      <c r="B19" s="14"/>
      <c r="C19" s="15"/>
      <c r="D19" s="23"/>
      <c r="E19" s="23"/>
      <c r="F19" s="18"/>
    </row>
    <row r="24" spans="2:6" x14ac:dyDescent="0.25">
      <c r="B24" s="29"/>
    </row>
    <row r="25" spans="2:6" x14ac:dyDescent="0.25">
      <c r="B25" s="29"/>
    </row>
  </sheetData>
  <mergeCells count="1">
    <mergeCell ref="C3:F3"/>
  </mergeCells>
  <phoneticPr fontId="11" type="noConversion"/>
  <dataValidations count="1">
    <dataValidation type="list" allowBlank="1" showInputMessage="1" showErrorMessage="1" sqref="C13" xr:uid="{C10B20A1-26C4-42F5-8DB7-CF9376E223A8}">
      <formula1>#REF!</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71268324-BF92-456D-A00F-56F16B606403}">
          <x14:formula1>
            <xm:f>'Tarief inhuur'!$B$62:$B$69</xm:f>
          </x14:formula1>
          <xm:sqref>C11</xm:sqref>
        </x14:dataValidation>
        <x14:dataValidation type="list" allowBlank="1" showInputMessage="1" showErrorMessage="1" xr:uid="{B9E8FC90-2CE8-4031-ACAC-51DB271A7AE5}">
          <x14:formula1>
            <xm:f>'Tarief inhuur'!$B$71:$B$75</xm:f>
          </x14:formula1>
          <xm:sqref>C12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192C2-2032-4663-9D1F-F506EE22634D}">
  <dimension ref="A1:Z192"/>
  <sheetViews>
    <sheetView tabSelected="1" topLeftCell="A15" zoomScale="115" zoomScaleNormal="115" workbookViewId="0">
      <selection activeCell="C27" sqref="C27"/>
    </sheetView>
  </sheetViews>
  <sheetFormatPr defaultColWidth="9.140625" defaultRowHeight="15" x14ac:dyDescent="0.25"/>
  <cols>
    <col min="1" max="1" width="2.5703125" style="62" customWidth="1"/>
    <col min="2" max="2" width="41.7109375" style="26" customWidth="1"/>
    <col min="3" max="3" width="16.85546875" style="26" customWidth="1"/>
    <col min="4" max="4" width="12.5703125" style="27" customWidth="1"/>
    <col min="5" max="6" width="12.7109375" style="39" customWidth="1"/>
    <col min="7" max="7" width="9.140625" style="26"/>
    <col min="8" max="8" width="4" style="62" customWidth="1"/>
    <col min="9" max="9" width="55.42578125" style="62" customWidth="1"/>
    <col min="10" max="10" width="14.5703125" style="62" bestFit="1" customWidth="1"/>
    <col min="11" max="26" width="9.140625" style="62"/>
    <col min="27" max="16384" width="9.140625" style="26"/>
  </cols>
  <sheetData>
    <row r="1" spans="1:26" ht="15.75" x14ac:dyDescent="0.25">
      <c r="B1" s="44" t="s">
        <v>80</v>
      </c>
      <c r="C1" s="45"/>
      <c r="D1" s="46"/>
      <c r="E1" s="7"/>
      <c r="F1" s="7"/>
      <c r="G1" s="8"/>
    </row>
    <row r="2" spans="1:26" x14ac:dyDescent="0.25">
      <c r="B2" s="116" t="s">
        <v>133</v>
      </c>
      <c r="C2" s="117"/>
      <c r="D2" s="117"/>
      <c r="E2" s="117"/>
      <c r="F2" s="117"/>
      <c r="G2" s="118"/>
    </row>
    <row r="3" spans="1:26" x14ac:dyDescent="0.25">
      <c r="B3" s="33"/>
      <c r="C3" s="94"/>
      <c r="D3" s="94"/>
      <c r="E3" s="87"/>
      <c r="F3" s="87"/>
      <c r="G3" s="40"/>
    </row>
    <row r="4" spans="1:26" s="31" customFormat="1" x14ac:dyDescent="0.25">
      <c r="A4" s="63"/>
      <c r="B4" s="43" t="str">
        <f>+Start!C3</f>
        <v>Perceel 3: Gedragswetenschapper</v>
      </c>
      <c r="C4" s="95"/>
      <c r="D4" s="96" t="s">
        <v>13</v>
      </c>
      <c r="E4" s="97" t="s">
        <v>9</v>
      </c>
      <c r="F4" s="97" t="s">
        <v>34</v>
      </c>
      <c r="G4" s="34" t="s">
        <v>99</v>
      </c>
      <c r="H4" s="63"/>
      <c r="I4" s="63"/>
      <c r="J4" s="63"/>
      <c r="K4" s="63"/>
      <c r="L4" s="63"/>
      <c r="M4" s="63"/>
      <c r="N4" s="63"/>
      <c r="O4" s="63"/>
      <c r="P4" s="63"/>
      <c r="Q4" s="63"/>
      <c r="R4" s="63"/>
      <c r="S4" s="63"/>
      <c r="T4" s="63"/>
      <c r="U4" s="63"/>
      <c r="V4" s="63"/>
      <c r="W4" s="63"/>
      <c r="X4" s="63"/>
      <c r="Y4" s="63"/>
      <c r="Z4" s="63"/>
    </row>
    <row r="5" spans="1:26" s="30" customFormat="1" x14ac:dyDescent="0.25">
      <c r="A5" s="64"/>
      <c r="B5" s="33"/>
      <c r="C5" s="94"/>
      <c r="D5" s="98"/>
      <c r="E5" s="99"/>
      <c r="F5" s="99"/>
      <c r="G5" s="69"/>
      <c r="H5" s="64"/>
      <c r="I5" s="64"/>
      <c r="J5" s="64"/>
      <c r="K5" s="64"/>
      <c r="L5" s="64"/>
      <c r="M5" s="64"/>
      <c r="N5" s="64"/>
      <c r="O5" s="64"/>
      <c r="P5" s="64"/>
      <c r="Q5" s="64"/>
      <c r="R5" s="64"/>
      <c r="S5" s="64"/>
      <c r="T5" s="64"/>
      <c r="U5" s="64"/>
      <c r="V5" s="64"/>
      <c r="W5" s="64"/>
      <c r="X5" s="64"/>
      <c r="Y5" s="64"/>
      <c r="Z5" s="64"/>
    </row>
    <row r="6" spans="1:26" x14ac:dyDescent="0.25">
      <c r="B6" s="33" t="s">
        <v>51</v>
      </c>
      <c r="C6" s="94"/>
      <c r="D6" s="1"/>
      <c r="E6" s="87"/>
      <c r="F6" s="87"/>
      <c r="G6" s="70" t="s">
        <v>98</v>
      </c>
    </row>
    <row r="7" spans="1:26" x14ac:dyDescent="0.25">
      <c r="B7" s="41" t="s">
        <v>48</v>
      </c>
      <c r="C7" s="100"/>
      <c r="D7" s="1"/>
      <c r="E7" s="87">
        <f>+Start!D10</f>
        <v>4082.2550000000001</v>
      </c>
      <c r="F7" s="87"/>
      <c r="G7" s="70"/>
    </row>
    <row r="8" spans="1:26" x14ac:dyDescent="0.25">
      <c r="B8" s="41" t="s">
        <v>49</v>
      </c>
      <c r="C8" s="100"/>
      <c r="D8" s="1"/>
      <c r="E8" s="87">
        <f>+Start!E10</f>
        <v>6168.5950000000003</v>
      </c>
      <c r="F8" s="87"/>
      <c r="G8" s="70"/>
    </row>
    <row r="9" spans="1:26" x14ac:dyDescent="0.25">
      <c r="B9" s="41" t="s">
        <v>50</v>
      </c>
      <c r="C9" s="100"/>
      <c r="D9" s="101" t="str">
        <f>+Start!C11</f>
        <v>Schaars</v>
      </c>
      <c r="E9" s="42">
        <f>IF(Start!C11="Gewogen",+(((E7+E8)/2+E8)/2),IF(Start!C11="Schaars",+(((((E7+E8)/2)+E8)/2)+E8)/2,E8))</f>
        <v>5907.8024999999998</v>
      </c>
      <c r="F9" s="87"/>
      <c r="G9" s="70"/>
    </row>
    <row r="10" spans="1:26" x14ac:dyDescent="0.25">
      <c r="B10" s="41"/>
      <c r="C10" s="100"/>
      <c r="D10" s="1"/>
      <c r="E10" s="87"/>
      <c r="F10" s="102">
        <f>+E9*12</f>
        <v>70893.63</v>
      </c>
      <c r="G10" s="70"/>
    </row>
    <row r="11" spans="1:26" x14ac:dyDescent="0.25">
      <c r="B11" s="35" t="s">
        <v>52</v>
      </c>
      <c r="C11" s="103"/>
      <c r="D11" s="1"/>
      <c r="E11" s="87"/>
      <c r="F11" s="104"/>
      <c r="G11" s="70" t="s">
        <v>98</v>
      </c>
    </row>
    <row r="12" spans="1:26" x14ac:dyDescent="0.25">
      <c r="B12" s="41" t="s">
        <v>10</v>
      </c>
      <c r="C12" s="100"/>
      <c r="D12" s="1">
        <f>IF(Start!C12="Sector GGZ",'Tarief inhuur'!C71,IF(Start!C12="Sector GHZ",'Tarief inhuur'!C72,IF(Start!C12="Sector Jeugdzorg",'Tarief inhuur'!C73, IF(Start!C12="Sociaal Werk",'Tarief inhuur'!C74,'Tarief inhuur'!C75))))</f>
        <v>0.08</v>
      </c>
      <c r="E12" s="87">
        <f>+F10*D12</f>
        <v>5671.4904000000006</v>
      </c>
      <c r="F12" s="104"/>
      <c r="G12" s="70" t="s">
        <v>105</v>
      </c>
    </row>
    <row r="13" spans="1:26" x14ac:dyDescent="0.25">
      <c r="B13" s="41" t="s">
        <v>11</v>
      </c>
      <c r="C13" s="100"/>
      <c r="D13" s="1">
        <f>IF(Start!C12="Sector GGZ",'Tarief inhuur'!D71,IF(Start!C12="Sector GHZ",'Tarief inhuur'!D72,IF(Start!C12="Sector Jeugdzorg",'Tarief inhuur'!D73, IF(Start!C12="Sociaal Werk",'Tarief inhuur'!D74,'Tarief inhuur'!D75))))</f>
        <v>8.3000000000000004E-2</v>
      </c>
      <c r="E13" s="87">
        <f>+F10*D13</f>
        <v>5884.1712900000011</v>
      </c>
      <c r="F13" s="104"/>
      <c r="G13" s="70" t="s">
        <v>105</v>
      </c>
    </row>
    <row r="14" spans="1:26" x14ac:dyDescent="0.25">
      <c r="B14" s="41" t="s">
        <v>12</v>
      </c>
      <c r="C14" s="100"/>
      <c r="D14" s="1">
        <v>0</v>
      </c>
      <c r="E14" s="42">
        <f>+F10*D14</f>
        <v>0</v>
      </c>
      <c r="F14" s="104"/>
      <c r="G14" s="70"/>
    </row>
    <row r="15" spans="1:26" x14ac:dyDescent="0.25">
      <c r="B15" s="4"/>
      <c r="C15"/>
      <c r="D15" s="1"/>
      <c r="E15" s="87"/>
      <c r="F15" s="102">
        <f>SUM(E11:E14)</f>
        <v>11555.661690000001</v>
      </c>
      <c r="G15" s="70"/>
    </row>
    <row r="16" spans="1:26" x14ac:dyDescent="0.25">
      <c r="B16" s="35" t="s">
        <v>14</v>
      </c>
      <c r="C16" s="103"/>
      <c r="D16" s="1">
        <f>+'Tarief inhuur'!C88</f>
        <v>0.32180000000000003</v>
      </c>
      <c r="E16" s="42">
        <f>(+F10+F15)*D16</f>
        <v>26532.182065842007</v>
      </c>
      <c r="F16" s="104"/>
      <c r="G16" s="70"/>
      <c r="H16" s="65"/>
      <c r="I16" s="65"/>
    </row>
    <row r="17" spans="2:9" x14ac:dyDescent="0.25">
      <c r="B17" s="4"/>
      <c r="C17"/>
      <c r="D17" s="1"/>
      <c r="E17" s="87"/>
      <c r="F17" s="102">
        <f>+E16</f>
        <v>26532.182065842007</v>
      </c>
      <c r="G17" s="70"/>
    </row>
    <row r="18" spans="2:9" x14ac:dyDescent="0.25">
      <c r="B18" s="33" t="s">
        <v>93</v>
      </c>
      <c r="C18" s="94"/>
      <c r="D18" s="1">
        <f>IF(Start!C12="Sector GGZ",'Tarief inhuur'!E71,IF(Start!C12="Sector GHZ",'Tarief inhuur'!E72,IF(Start!C12="Sector Jeugdzorg",'Tarief inhuur'!E73,IF(Start!C12="Sociaal Werk",'Tarief inhuur'!E74,'Tarief inhuur'!E75))))</f>
        <v>0.18099999999999999</v>
      </c>
      <c r="E18" s="42">
        <f>(D18/(1-D18))*(F10+F15+F17)</f>
        <v>24085.038766553611</v>
      </c>
      <c r="F18" s="87"/>
      <c r="G18" s="70" t="s">
        <v>107</v>
      </c>
      <c r="H18" s="66"/>
      <c r="I18" s="66"/>
    </row>
    <row r="19" spans="2:9" x14ac:dyDescent="0.25">
      <c r="B19" s="4"/>
      <c r="C19"/>
      <c r="D19" s="1"/>
      <c r="E19" s="87"/>
      <c r="F19" s="87">
        <f>+E18</f>
        <v>24085.038766553611</v>
      </c>
      <c r="G19" s="70"/>
    </row>
    <row r="20" spans="2:9" x14ac:dyDescent="0.25">
      <c r="B20" s="33" t="s">
        <v>2</v>
      </c>
      <c r="C20" s="94"/>
      <c r="D20" s="1"/>
      <c r="E20" s="87"/>
      <c r="F20" s="87"/>
      <c r="G20" s="70" t="s">
        <v>100</v>
      </c>
    </row>
    <row r="21" spans="2:9" x14ac:dyDescent="0.25">
      <c r="B21" s="41" t="s">
        <v>29</v>
      </c>
      <c r="C21" s="100"/>
      <c r="D21" s="1">
        <f>6.86%/2</f>
        <v>3.4300000000000004E-2</v>
      </c>
      <c r="E21" s="87">
        <f>(D21/(1-D21-D22))*(+F10+F15+F17+F19)</f>
        <v>4846.7467128790186</v>
      </c>
      <c r="F21" s="87"/>
      <c r="G21" s="70" t="s">
        <v>108</v>
      </c>
    </row>
    <row r="22" spans="2:9" x14ac:dyDescent="0.25">
      <c r="B22" s="41" t="s">
        <v>30</v>
      </c>
      <c r="C22" s="100"/>
      <c r="D22" s="1">
        <f>4.8%/2</f>
        <v>2.4E-2</v>
      </c>
      <c r="E22" s="87">
        <f>(D22/(1-D21-D22))*(F10+F15+F17+F19)</f>
        <v>3391.3096533264261</v>
      </c>
      <c r="F22" s="87"/>
      <c r="G22" s="70" t="s">
        <v>108</v>
      </c>
    </row>
    <row r="23" spans="2:9" x14ac:dyDescent="0.25">
      <c r="B23" s="41" t="s">
        <v>114</v>
      </c>
      <c r="C23" s="100"/>
      <c r="D23" s="1">
        <v>0.02</v>
      </c>
      <c r="E23" s="87">
        <f>(D23/(1-D23))*(F10+F15+F17+F19)</f>
        <v>2715.6431127019523</v>
      </c>
      <c r="F23" s="87"/>
      <c r="G23" s="70" t="s">
        <v>107</v>
      </c>
    </row>
    <row r="24" spans="2:9" x14ac:dyDescent="0.25">
      <c r="B24" s="41" t="s">
        <v>106</v>
      </c>
      <c r="C24" s="100"/>
      <c r="D24" s="1">
        <v>0</v>
      </c>
      <c r="E24" s="87">
        <f>(D24/(1-D24))*(F10+F15+F17+F19)</f>
        <v>0</v>
      </c>
      <c r="F24" s="87"/>
      <c r="G24" s="70" t="s">
        <v>97</v>
      </c>
      <c r="H24" s="65"/>
      <c r="I24" s="65"/>
    </row>
    <row r="25" spans="2:9" x14ac:dyDescent="0.25">
      <c r="B25" s="4"/>
      <c r="C25"/>
      <c r="D25" s="1"/>
      <c r="E25" s="87"/>
      <c r="F25" s="87">
        <f>SUM(E20:E24)</f>
        <v>10953.699478907398</v>
      </c>
      <c r="G25" s="70"/>
    </row>
    <row r="26" spans="2:9" x14ac:dyDescent="0.25">
      <c r="B26" s="33" t="s">
        <v>118</v>
      </c>
      <c r="C26"/>
      <c r="D26" s="1"/>
      <c r="E26" s="87">
        <f>((+F10+F15+F17+F19)/52)*1.5</f>
        <v>3838.4570919921821</v>
      </c>
      <c r="F26" s="87"/>
      <c r="G26" s="70" t="s">
        <v>101</v>
      </c>
    </row>
    <row r="27" spans="2:9" x14ac:dyDescent="0.25">
      <c r="B27" s="33"/>
      <c r="C27"/>
      <c r="D27" s="1"/>
      <c r="E27" s="87"/>
      <c r="F27" s="87">
        <f>+E26</f>
        <v>3838.4570919921821</v>
      </c>
      <c r="G27" s="70"/>
    </row>
    <row r="28" spans="2:9" x14ac:dyDescent="0.25">
      <c r="B28" s="33" t="s">
        <v>91</v>
      </c>
      <c r="C28" s="94"/>
      <c r="D28" s="1"/>
      <c r="E28" s="87"/>
      <c r="F28" s="87"/>
      <c r="G28" s="70" t="s">
        <v>102</v>
      </c>
    </row>
    <row r="29" spans="2:9" x14ac:dyDescent="0.25">
      <c r="B29" s="41" t="s">
        <v>95</v>
      </c>
      <c r="C29"/>
      <c r="D29" s="1"/>
      <c r="E29" s="87">
        <f>42*(10*10*0.23)</f>
        <v>966</v>
      </c>
      <c r="F29" s="87"/>
      <c r="G29" s="70" t="s">
        <v>97</v>
      </c>
    </row>
    <row r="30" spans="2:9" x14ac:dyDescent="0.25">
      <c r="B30" s="41" t="s">
        <v>94</v>
      </c>
      <c r="C30" t="str">
        <f>IF(Start!C13="nee","Werkzaamheden op vaste locatie"," ")</f>
        <v xml:space="preserve"> </v>
      </c>
      <c r="D30" s="1"/>
      <c r="E30" s="87">
        <f>IF(Start!C13="ja",(((1.5*15*0.23)*5)*42)+((4*60)*0.23),0)</f>
        <v>1141.95</v>
      </c>
      <c r="F30" s="87"/>
      <c r="G30" s="70" t="s">
        <v>97</v>
      </c>
    </row>
    <row r="31" spans="2:9" x14ac:dyDescent="0.25">
      <c r="B31" s="41" t="s">
        <v>5</v>
      </c>
      <c r="C31"/>
      <c r="D31" s="1">
        <v>0.02</v>
      </c>
      <c r="E31" s="42">
        <f>(D31/(1-D31))*(F10+F15+F17+F19)</f>
        <v>2715.6431127019523</v>
      </c>
      <c r="F31" s="87"/>
      <c r="G31" s="70" t="s">
        <v>107</v>
      </c>
    </row>
    <row r="32" spans="2:9" x14ac:dyDescent="0.25">
      <c r="B32" s="41"/>
      <c r="C32" s="100"/>
      <c r="D32" s="1"/>
      <c r="E32" s="87"/>
      <c r="F32" s="87"/>
      <c r="G32" s="70"/>
    </row>
    <row r="33" spans="2:8" x14ac:dyDescent="0.25">
      <c r="B33" s="33" t="s">
        <v>1</v>
      </c>
      <c r="C33" s="94"/>
      <c r="D33" s="1"/>
      <c r="E33" s="87"/>
      <c r="F33" s="87">
        <f>SUM(E28:E31)</f>
        <v>4823.5931127019521</v>
      </c>
      <c r="G33" s="70" t="s">
        <v>103</v>
      </c>
    </row>
    <row r="34" spans="2:8" x14ac:dyDescent="0.25">
      <c r="B34" s="41" t="s">
        <v>81</v>
      </c>
      <c r="C34" s="100"/>
      <c r="D34" s="1">
        <f>+Start!C14</f>
        <v>0</v>
      </c>
      <c r="E34" s="42">
        <f>(D34/(1-D34))*(F10+F15+F17+F19+F25)</f>
        <v>0</v>
      </c>
      <c r="F34" s="87"/>
      <c r="G34" s="70"/>
    </row>
    <row r="35" spans="2:8" x14ac:dyDescent="0.25">
      <c r="B35" s="4"/>
      <c r="C35"/>
      <c r="D35" s="1"/>
      <c r="E35" s="87"/>
      <c r="F35" s="87">
        <f>+E34</f>
        <v>0</v>
      </c>
      <c r="G35" s="70"/>
    </row>
    <row r="36" spans="2:8" x14ac:dyDescent="0.25">
      <c r="B36" s="4"/>
      <c r="C36"/>
      <c r="D36" s="1"/>
      <c r="E36" s="87"/>
      <c r="F36" s="87"/>
      <c r="G36" s="70"/>
    </row>
    <row r="37" spans="2:8" ht="15.75" thickBot="1" x14ac:dyDescent="0.3">
      <c r="B37" s="33" t="s">
        <v>96</v>
      </c>
      <c r="C37" s="94"/>
      <c r="D37" s="1"/>
      <c r="E37" s="87"/>
      <c r="F37" s="36">
        <f>SUM(F4:F36)</f>
        <v>152682.26220599716</v>
      </c>
      <c r="G37" s="40"/>
    </row>
    <row r="38" spans="2:8" ht="16.5" thickTop="1" thickBot="1" x14ac:dyDescent="0.3">
      <c r="B38" s="5"/>
      <c r="C38" s="82"/>
      <c r="D38" s="83"/>
      <c r="E38" s="84"/>
      <c r="F38" s="84"/>
      <c r="G38" s="85"/>
    </row>
    <row r="39" spans="2:8" ht="15.75" x14ac:dyDescent="0.25">
      <c r="B39" s="44" t="s">
        <v>83</v>
      </c>
      <c r="C39" s="45"/>
      <c r="D39" s="46"/>
      <c r="E39" s="7"/>
      <c r="F39" s="7"/>
      <c r="G39" s="8"/>
      <c r="H39" s="62" t="s">
        <v>47</v>
      </c>
    </row>
    <row r="40" spans="2:8" x14ac:dyDescent="0.25">
      <c r="B40" s="47" t="s">
        <v>51</v>
      </c>
      <c r="C40" s="110" t="s">
        <v>53</v>
      </c>
      <c r="D40" s="110"/>
      <c r="E40" s="110"/>
      <c r="F40" s="110"/>
      <c r="G40" s="111"/>
      <c r="H40" s="62" t="s">
        <v>47</v>
      </c>
    </row>
    <row r="41" spans="2:8" x14ac:dyDescent="0.25">
      <c r="B41" s="48"/>
      <c r="C41" s="119"/>
      <c r="D41" s="119"/>
      <c r="E41" s="119"/>
      <c r="F41" s="119"/>
      <c r="G41" s="120"/>
    </row>
    <row r="42" spans="2:8" x14ac:dyDescent="0.25">
      <c r="B42" s="49" t="s">
        <v>52</v>
      </c>
      <c r="C42" s="108" t="s">
        <v>54</v>
      </c>
      <c r="D42" s="108"/>
      <c r="E42" s="108"/>
      <c r="F42" s="108"/>
      <c r="G42" s="109"/>
    </row>
    <row r="43" spans="2:8" x14ac:dyDescent="0.25">
      <c r="B43" s="49" t="s">
        <v>14</v>
      </c>
      <c r="C43" s="108" t="s">
        <v>55</v>
      </c>
      <c r="D43" s="108"/>
      <c r="E43" s="108"/>
      <c r="F43" s="108"/>
      <c r="G43" s="109"/>
    </row>
    <row r="44" spans="2:8" x14ac:dyDescent="0.25">
      <c r="B44" s="49" t="s">
        <v>27</v>
      </c>
      <c r="C44" s="108" t="s">
        <v>56</v>
      </c>
      <c r="D44" s="108"/>
      <c r="E44" s="108"/>
      <c r="F44" s="108"/>
      <c r="G44" s="109"/>
    </row>
    <row r="45" spans="2:8" x14ac:dyDescent="0.25">
      <c r="B45" s="47" t="s">
        <v>2</v>
      </c>
      <c r="C45" s="110" t="s">
        <v>125</v>
      </c>
      <c r="D45" s="110"/>
      <c r="E45" s="110"/>
      <c r="F45" s="110"/>
      <c r="G45" s="111"/>
    </row>
    <row r="46" spans="2:8" x14ac:dyDescent="0.25">
      <c r="B46" s="50"/>
      <c r="C46" s="114"/>
      <c r="D46" s="114"/>
      <c r="E46" s="114"/>
      <c r="F46" s="114"/>
      <c r="G46" s="115"/>
    </row>
    <row r="47" spans="2:8" ht="32.1" customHeight="1" x14ac:dyDescent="0.25">
      <c r="B47" s="50"/>
      <c r="C47" s="114"/>
      <c r="D47" s="114"/>
      <c r="E47" s="114"/>
      <c r="F47" s="114"/>
      <c r="G47" s="115"/>
    </row>
    <row r="48" spans="2:8" x14ac:dyDescent="0.25">
      <c r="B48" s="49" t="s">
        <v>57</v>
      </c>
      <c r="C48" s="108" t="s">
        <v>56</v>
      </c>
      <c r="D48" s="108"/>
      <c r="E48" s="108"/>
      <c r="F48" s="108"/>
      <c r="G48" s="109"/>
    </row>
    <row r="49" spans="2:7" ht="29.45" customHeight="1" x14ac:dyDescent="0.25">
      <c r="B49" s="49" t="s">
        <v>95</v>
      </c>
      <c r="C49" s="110" t="s">
        <v>119</v>
      </c>
      <c r="D49" s="110"/>
      <c r="E49" s="110"/>
      <c r="F49" s="110"/>
      <c r="G49" s="111"/>
    </row>
    <row r="50" spans="2:7" ht="32.450000000000003" customHeight="1" x14ac:dyDescent="0.25">
      <c r="B50" s="49" t="s">
        <v>94</v>
      </c>
      <c r="C50" s="110" t="s">
        <v>117</v>
      </c>
      <c r="D50" s="110"/>
      <c r="E50" s="110"/>
      <c r="F50" s="110"/>
      <c r="G50" s="111"/>
    </row>
    <row r="51" spans="2:7" x14ac:dyDescent="0.25">
      <c r="B51" s="49" t="s">
        <v>45</v>
      </c>
      <c r="C51" s="108" t="s">
        <v>85</v>
      </c>
      <c r="D51" s="108"/>
      <c r="E51" s="108"/>
      <c r="F51" s="108"/>
      <c r="G51" s="109"/>
    </row>
    <row r="52" spans="2:7" ht="15.75" thickBot="1" x14ac:dyDescent="0.3">
      <c r="B52" s="47" t="s">
        <v>1</v>
      </c>
      <c r="C52" s="110" t="s">
        <v>82</v>
      </c>
      <c r="D52" s="110"/>
      <c r="E52" s="110"/>
      <c r="F52" s="110"/>
      <c r="G52" s="111"/>
    </row>
    <row r="53" spans="2:7" ht="15.75" x14ac:dyDescent="0.25">
      <c r="B53" s="44" t="s">
        <v>99</v>
      </c>
      <c r="C53" s="45"/>
      <c r="D53" s="46"/>
      <c r="E53" s="7"/>
      <c r="F53" s="7"/>
      <c r="G53" s="8"/>
    </row>
    <row r="54" spans="2:7" x14ac:dyDescent="0.25">
      <c r="B54" s="50" t="s">
        <v>128</v>
      </c>
      <c r="C54" s="135" t="s">
        <v>0</v>
      </c>
      <c r="D54" s="130"/>
      <c r="E54" s="130"/>
      <c r="F54" s="130"/>
      <c r="G54" s="131"/>
    </row>
    <row r="55" spans="2:7" x14ac:dyDescent="0.25">
      <c r="B55" s="50" t="s">
        <v>129</v>
      </c>
      <c r="C55" s="129" t="s">
        <v>15</v>
      </c>
      <c r="D55" s="130"/>
      <c r="E55" s="130"/>
      <c r="F55" s="130"/>
      <c r="G55" s="131"/>
    </row>
    <row r="56" spans="2:7" ht="14.45" customHeight="1" x14ac:dyDescent="0.25">
      <c r="B56" s="50" t="s">
        <v>72</v>
      </c>
      <c r="C56" s="129" t="s">
        <v>67</v>
      </c>
      <c r="D56" s="130"/>
      <c r="E56" s="130"/>
      <c r="F56" s="130"/>
      <c r="G56" s="131"/>
    </row>
    <row r="57" spans="2:7" ht="14.45" customHeight="1" x14ac:dyDescent="0.25">
      <c r="B57" s="50" t="s">
        <v>132</v>
      </c>
      <c r="C57" s="88"/>
      <c r="D57"/>
      <c r="E57"/>
      <c r="F57"/>
      <c r="G57" s="40"/>
    </row>
    <row r="58" spans="2:7" ht="14.45" customHeight="1" x14ac:dyDescent="0.25">
      <c r="B58" s="50" t="s">
        <v>126</v>
      </c>
      <c r="C58" s="129" t="s">
        <v>74</v>
      </c>
      <c r="D58" s="130"/>
      <c r="E58" s="130"/>
      <c r="F58" s="130"/>
      <c r="G58" s="131"/>
    </row>
    <row r="59" spans="2:7" x14ac:dyDescent="0.25">
      <c r="B59" s="50" t="s">
        <v>131</v>
      </c>
      <c r="C59" s="114" t="s">
        <v>130</v>
      </c>
      <c r="D59" s="127"/>
      <c r="E59" s="127"/>
      <c r="F59" s="127"/>
      <c r="G59" s="128"/>
    </row>
    <row r="60" spans="2:7" ht="14.45" customHeight="1" thickBot="1" x14ac:dyDescent="0.3">
      <c r="B60" s="51" t="s">
        <v>127</v>
      </c>
      <c r="C60" s="132" t="s">
        <v>92</v>
      </c>
      <c r="D60" s="133"/>
      <c r="E60" s="133"/>
      <c r="F60" s="133"/>
      <c r="G60" s="134"/>
    </row>
    <row r="61" spans="2:7" ht="15.75" x14ac:dyDescent="0.25">
      <c r="B61" s="89" t="s">
        <v>58</v>
      </c>
      <c r="C61" s="90"/>
      <c r="D61" s="91"/>
      <c r="E61" s="92"/>
      <c r="F61" s="92"/>
      <c r="G61" s="86"/>
    </row>
    <row r="62" spans="2:7" ht="14.45" customHeight="1" x14ac:dyDescent="0.25">
      <c r="B62" s="126" t="s">
        <v>6</v>
      </c>
      <c r="C62" s="112" t="s">
        <v>3</v>
      </c>
      <c r="D62" s="112"/>
      <c r="E62" s="112"/>
      <c r="F62" s="112"/>
      <c r="G62" s="113"/>
    </row>
    <row r="63" spans="2:7" x14ac:dyDescent="0.25">
      <c r="B63" s="126"/>
      <c r="C63" s="112"/>
      <c r="D63" s="112"/>
      <c r="E63" s="112"/>
      <c r="F63" s="112"/>
      <c r="G63" s="113"/>
    </row>
    <row r="64" spans="2:7" x14ac:dyDescent="0.25">
      <c r="B64" s="126"/>
      <c r="C64" s="112"/>
      <c r="D64" s="112"/>
      <c r="E64" s="112"/>
      <c r="F64" s="112"/>
      <c r="G64" s="113"/>
    </row>
    <row r="65" spans="2:8" ht="14.45" customHeight="1" x14ac:dyDescent="0.25">
      <c r="B65" s="126" t="s">
        <v>7</v>
      </c>
      <c r="C65" s="112" t="s">
        <v>4</v>
      </c>
      <c r="D65" s="112"/>
      <c r="E65" s="112"/>
      <c r="F65" s="112"/>
      <c r="G65" s="113"/>
    </row>
    <row r="66" spans="2:8" x14ac:dyDescent="0.25">
      <c r="B66" s="126"/>
      <c r="C66" s="112"/>
      <c r="D66" s="112"/>
      <c r="E66" s="112"/>
      <c r="F66" s="112"/>
      <c r="G66" s="113"/>
    </row>
    <row r="67" spans="2:8" x14ac:dyDescent="0.25">
      <c r="B67" s="126"/>
      <c r="C67" s="112"/>
      <c r="D67" s="112"/>
      <c r="E67" s="112"/>
      <c r="F67" s="112"/>
      <c r="G67" s="113"/>
    </row>
    <row r="68" spans="2:8" x14ac:dyDescent="0.25">
      <c r="B68" s="126"/>
      <c r="C68" s="112"/>
      <c r="D68" s="112"/>
      <c r="E68" s="112"/>
      <c r="F68" s="112"/>
      <c r="G68" s="113"/>
    </row>
    <row r="69" spans="2:8" ht="15" customHeight="1" thickBot="1" x14ac:dyDescent="0.3">
      <c r="B69" s="81" t="s">
        <v>8</v>
      </c>
      <c r="C69" s="121" t="s">
        <v>61</v>
      </c>
      <c r="D69" s="121"/>
      <c r="E69" s="121"/>
      <c r="F69" s="121"/>
      <c r="G69" s="122"/>
    </row>
    <row r="70" spans="2:8" x14ac:dyDescent="0.25">
      <c r="B70" s="6" t="s">
        <v>52</v>
      </c>
      <c r="C70" s="75" t="s">
        <v>59</v>
      </c>
      <c r="D70" s="76" t="s">
        <v>28</v>
      </c>
      <c r="E70" s="76" t="s">
        <v>27</v>
      </c>
      <c r="F70" s="76" t="s">
        <v>26</v>
      </c>
      <c r="G70" s="25" t="s">
        <v>64</v>
      </c>
    </row>
    <row r="71" spans="2:8" x14ac:dyDescent="0.25">
      <c r="B71" s="4" t="s">
        <v>22</v>
      </c>
      <c r="C71" s="21">
        <v>8.3299999999999999E-2</v>
      </c>
      <c r="D71" s="21">
        <v>8.3299999999999999E-2</v>
      </c>
      <c r="E71" s="2">
        <v>0.217</v>
      </c>
      <c r="F71" s="21">
        <f>+D91/C91</f>
        <v>6.9201277955271576E-2</v>
      </c>
      <c r="G71" s="2">
        <v>0.1295</v>
      </c>
    </row>
    <row r="72" spans="2:8" x14ac:dyDescent="0.25">
      <c r="B72" s="4" t="s">
        <v>23</v>
      </c>
      <c r="C72" s="21">
        <v>0.08</v>
      </c>
      <c r="D72" s="21">
        <v>8.3299999999999999E-2</v>
      </c>
      <c r="E72" s="2">
        <v>0.18099999999999999</v>
      </c>
      <c r="F72" s="21">
        <f>+D92/C92</f>
        <v>7.840255591054314E-2</v>
      </c>
      <c r="G72" s="2">
        <v>0.1295</v>
      </c>
    </row>
    <row r="73" spans="2:8" x14ac:dyDescent="0.25">
      <c r="B73" s="4" t="s">
        <v>24</v>
      </c>
      <c r="C73" s="21">
        <v>0.08</v>
      </c>
      <c r="D73" s="21">
        <v>8.3000000000000004E-2</v>
      </c>
      <c r="E73" s="2">
        <v>0.18099999999999999</v>
      </c>
      <c r="F73" s="21">
        <f>+D93/C93</f>
        <v>6.7997870074547398E-2</v>
      </c>
      <c r="G73" s="2">
        <v>0.13500000000000001</v>
      </c>
    </row>
    <row r="74" spans="2:8" x14ac:dyDescent="0.25">
      <c r="B74" s="4" t="s">
        <v>60</v>
      </c>
      <c r="C74" s="21">
        <v>0.08</v>
      </c>
      <c r="D74" s="21">
        <v>8.3000000000000004E-2</v>
      </c>
      <c r="E74" s="2">
        <v>0.217</v>
      </c>
      <c r="F74" s="21">
        <f>+D94/C94</f>
        <v>6.979765708200214E-2</v>
      </c>
      <c r="G74" s="2">
        <v>0.129</v>
      </c>
    </row>
    <row r="75" spans="2:8" ht="15.75" thickBot="1" x14ac:dyDescent="0.3">
      <c r="B75" s="5" t="s">
        <v>25</v>
      </c>
      <c r="C75" s="22">
        <v>0.08</v>
      </c>
      <c r="D75" s="22">
        <v>8.3299999999999999E-2</v>
      </c>
      <c r="E75" s="3">
        <v>0.17399999999999999</v>
      </c>
      <c r="F75" s="22">
        <f>+D95/C95</f>
        <v>8.6001064962726304E-2</v>
      </c>
      <c r="G75" s="3">
        <v>0.1295</v>
      </c>
    </row>
    <row r="76" spans="2:8" x14ac:dyDescent="0.25">
      <c r="B76" s="50" t="s">
        <v>10</v>
      </c>
      <c r="C76" s="77">
        <f>+D12</f>
        <v>0.08</v>
      </c>
      <c r="D76" s="114" t="s">
        <v>62</v>
      </c>
      <c r="E76" s="114"/>
      <c r="F76" s="114"/>
      <c r="G76" s="115"/>
    </row>
    <row r="77" spans="2:8" x14ac:dyDescent="0.25">
      <c r="B77" s="50" t="s">
        <v>11</v>
      </c>
      <c r="C77" s="77">
        <f>+D13</f>
        <v>8.3000000000000004E-2</v>
      </c>
      <c r="D77" s="114" t="s">
        <v>62</v>
      </c>
      <c r="E77" s="114"/>
      <c r="F77" s="114"/>
      <c r="G77" s="115"/>
    </row>
    <row r="78" spans="2:8" ht="15.75" thickBot="1" x14ac:dyDescent="0.3">
      <c r="B78" s="51" t="s">
        <v>12</v>
      </c>
      <c r="C78" s="78">
        <v>0</v>
      </c>
      <c r="D78" s="59" t="s">
        <v>109</v>
      </c>
      <c r="E78" s="60"/>
      <c r="F78" s="60"/>
      <c r="G78" s="61"/>
    </row>
    <row r="79" spans="2:8" x14ac:dyDescent="0.25">
      <c r="B79" s="6" t="s">
        <v>21</v>
      </c>
      <c r="C79" s="52"/>
      <c r="D79" s="52" t="s">
        <v>104</v>
      </c>
      <c r="E79" s="52"/>
      <c r="F79" s="52"/>
      <c r="G79" s="8"/>
    </row>
    <row r="80" spans="2:8" x14ac:dyDescent="0.25">
      <c r="B80" s="50" t="s">
        <v>16</v>
      </c>
      <c r="C80" s="1">
        <v>7.6300000000000007E-2</v>
      </c>
      <c r="D80" s="28" t="s">
        <v>35</v>
      </c>
      <c r="G80" s="57"/>
      <c r="H80" s="62" t="s">
        <v>47</v>
      </c>
    </row>
    <row r="81" spans="2:8" x14ac:dyDescent="0.25">
      <c r="B81" s="50" t="s">
        <v>17</v>
      </c>
      <c r="C81" s="1">
        <f>IF(Start!C12="Sector GGZ",'Tarief inhuur'!G71,IF(Start!C12="Sector GHZ",'Tarief inhuur'!G72,IF(Start!C12="Sector Jeugdzorg",'Tarief inhuur'!G73, IF(Start!C12="Sociaal Werk",'Tarief inhuur'!G74,'Tarief inhuur'!G75))))</f>
        <v>0.13500000000000001</v>
      </c>
      <c r="D81" s="28" t="s">
        <v>18</v>
      </c>
      <c r="G81" s="57"/>
      <c r="H81" s="62" t="s">
        <v>47</v>
      </c>
    </row>
    <row r="82" spans="2:8" x14ac:dyDescent="0.25">
      <c r="B82" s="50" t="s">
        <v>19</v>
      </c>
      <c r="C82" s="1">
        <v>2.7400000000000001E-2</v>
      </c>
      <c r="D82" s="28" t="s">
        <v>36</v>
      </c>
      <c r="G82" s="57"/>
      <c r="H82" s="62" t="s">
        <v>47</v>
      </c>
    </row>
    <row r="83" spans="2:8" x14ac:dyDescent="0.25">
      <c r="B83" s="50" t="s">
        <v>20</v>
      </c>
      <c r="C83" s="1">
        <v>6.0999999999999999E-2</v>
      </c>
      <c r="D83" s="28" t="s">
        <v>37</v>
      </c>
      <c r="G83" s="57"/>
      <c r="H83" s="62" t="s">
        <v>47</v>
      </c>
    </row>
    <row r="84" spans="2:8" x14ac:dyDescent="0.25">
      <c r="B84" s="50" t="s">
        <v>63</v>
      </c>
      <c r="C84" s="1">
        <v>9.5999999999999992E-3</v>
      </c>
      <c r="D84" s="28" t="s">
        <v>38</v>
      </c>
      <c r="G84" s="57"/>
      <c r="H84" s="62" t="s">
        <v>47</v>
      </c>
    </row>
    <row r="85" spans="2:8" x14ac:dyDescent="0.25">
      <c r="B85" s="50" t="s">
        <v>44</v>
      </c>
      <c r="C85" s="1">
        <v>5.5999999999999999E-3</v>
      </c>
      <c r="D85" s="28" t="s">
        <v>38</v>
      </c>
      <c r="G85" s="57"/>
      <c r="H85" s="62" t="s">
        <v>47</v>
      </c>
    </row>
    <row r="86" spans="2:8" x14ac:dyDescent="0.25">
      <c r="B86" s="50" t="s">
        <v>40</v>
      </c>
      <c r="C86" s="1">
        <v>5.0000000000000001E-3</v>
      </c>
      <c r="D86" s="28" t="s">
        <v>43</v>
      </c>
      <c r="G86" s="57"/>
      <c r="H86" s="62" t="s">
        <v>47</v>
      </c>
    </row>
    <row r="87" spans="2:8" x14ac:dyDescent="0.25">
      <c r="B87" s="50" t="s">
        <v>79</v>
      </c>
      <c r="C87" s="1">
        <v>1.9E-3</v>
      </c>
      <c r="D87" s="28"/>
      <c r="G87" s="57"/>
      <c r="H87" s="62" t="s">
        <v>47</v>
      </c>
    </row>
    <row r="88" spans="2:8" ht="15.75" thickBot="1" x14ac:dyDescent="0.3">
      <c r="B88" s="80" t="s">
        <v>65</v>
      </c>
      <c r="C88" s="19">
        <f>SUM(C80:C87)</f>
        <v>0.32180000000000003</v>
      </c>
      <c r="D88" s="30"/>
      <c r="G88" s="57"/>
      <c r="H88" s="62" t="s">
        <v>47</v>
      </c>
    </row>
    <row r="89" spans="2:8" ht="16.5" thickTop="1" thickBot="1" x14ac:dyDescent="0.3">
      <c r="B89" s="51" t="s">
        <v>66</v>
      </c>
      <c r="C89" s="58"/>
      <c r="D89" s="59"/>
      <c r="E89" s="60"/>
      <c r="F89" s="60"/>
      <c r="G89" s="61"/>
      <c r="H89" s="62" t="s">
        <v>47</v>
      </c>
    </row>
    <row r="90" spans="2:8" x14ac:dyDescent="0.25">
      <c r="B90" s="6" t="s">
        <v>110</v>
      </c>
      <c r="C90" s="52" t="s">
        <v>70</v>
      </c>
      <c r="D90" s="52" t="s">
        <v>84</v>
      </c>
      <c r="E90" s="52" t="s">
        <v>71</v>
      </c>
      <c r="F90" s="52" t="s">
        <v>68</v>
      </c>
      <c r="G90" s="8" t="s">
        <v>69</v>
      </c>
      <c r="H90" s="62" t="s">
        <v>47</v>
      </c>
    </row>
    <row r="91" spans="2:8" x14ac:dyDescent="0.25">
      <c r="B91" s="4" t="s">
        <v>22</v>
      </c>
      <c r="C91" s="53">
        <v>1878</v>
      </c>
      <c r="D91" s="53">
        <v>129.96</v>
      </c>
      <c r="E91" s="53">
        <f>268.86+56.34+45.07+93.9</f>
        <v>464.17000000000007</v>
      </c>
      <c r="F91" s="53">
        <f>+C91-D91-E91</f>
        <v>1283.8699999999999</v>
      </c>
      <c r="G91" s="54">
        <f>+F91/C91</f>
        <v>0.68363684771033006</v>
      </c>
    </row>
    <row r="92" spans="2:8" x14ac:dyDescent="0.25">
      <c r="B92" s="4" t="s">
        <v>23</v>
      </c>
      <c r="C92" s="53">
        <v>1878</v>
      </c>
      <c r="D92" s="53">
        <v>147.24</v>
      </c>
      <c r="E92" s="53">
        <f>276.36+56.34+45.07+93.9</f>
        <v>471.67000000000007</v>
      </c>
      <c r="F92" s="53">
        <f t="shared" ref="F92:F95" si="0">+C92-D92-E92</f>
        <v>1259.0899999999999</v>
      </c>
      <c r="G92" s="54">
        <f>+F92/C92</f>
        <v>0.67044195953141639</v>
      </c>
    </row>
    <row r="93" spans="2:8" x14ac:dyDescent="0.25">
      <c r="B93" s="4" t="s">
        <v>24</v>
      </c>
      <c r="C93" s="53">
        <v>1878</v>
      </c>
      <c r="D93" s="53">
        <v>127.7</v>
      </c>
      <c r="E93" s="53">
        <f>289.69+56.34+45.07+93.9</f>
        <v>485</v>
      </c>
      <c r="F93" s="53">
        <f t="shared" si="0"/>
        <v>1265.3</v>
      </c>
      <c r="G93" s="54">
        <f t="shared" ref="G93:G95" si="1">+F93/C93</f>
        <v>0.67374866879659212</v>
      </c>
    </row>
    <row r="94" spans="2:8" x14ac:dyDescent="0.25">
      <c r="B94" s="4" t="s">
        <v>60</v>
      </c>
      <c r="C94" s="53">
        <v>1878</v>
      </c>
      <c r="D94" s="53">
        <v>131.08000000000001</v>
      </c>
      <c r="E94" s="53">
        <f>250.39+56.34+45.07+93.9</f>
        <v>445.70000000000005</v>
      </c>
      <c r="F94" s="53">
        <f t="shared" si="0"/>
        <v>1301.22</v>
      </c>
      <c r="G94" s="54">
        <f t="shared" si="1"/>
        <v>0.69287539936102238</v>
      </c>
    </row>
    <row r="95" spans="2:8" ht="15.75" thickBot="1" x14ac:dyDescent="0.3">
      <c r="B95" s="5" t="s">
        <v>25</v>
      </c>
      <c r="C95" s="55">
        <v>1878</v>
      </c>
      <c r="D95" s="55">
        <v>161.51</v>
      </c>
      <c r="E95" s="55">
        <f>252.63+56.34+45.07+93.9</f>
        <v>447.94000000000005</v>
      </c>
      <c r="F95" s="55">
        <f t="shared" si="0"/>
        <v>1268.55</v>
      </c>
      <c r="G95" s="56">
        <f t="shared" si="1"/>
        <v>0.67547923322683701</v>
      </c>
    </row>
    <row r="96" spans="2:8" x14ac:dyDescent="0.25">
      <c r="B96" s="50" t="s">
        <v>111</v>
      </c>
      <c r="C96" s="53">
        <f>IF(Start!$C$12='Tarief inhuur'!$B$91,'Tarief inhuur'!C91,IF(Start!$C$12='Tarief inhuur'!$B$92,'Tarief inhuur'!C92,IF(Start!$C$12='Tarief inhuur'!$B$93,'Tarief inhuur'!C93,IF(Start!$C$12='Tarief inhuur'!$B$94,'Tarief inhuur'!C94,'Tarief inhuur'!C95))))</f>
        <v>1878</v>
      </c>
      <c r="D96" s="27" t="s">
        <v>116</v>
      </c>
      <c r="G96" s="57"/>
      <c r="H96" s="62" t="s">
        <v>47</v>
      </c>
    </row>
    <row r="97" spans="2:9" x14ac:dyDescent="0.25">
      <c r="B97" s="50" t="s">
        <v>84</v>
      </c>
      <c r="C97" s="53">
        <f>IF(Start!$C$12='Tarief inhuur'!$B$91,'Tarief inhuur'!D91,IF(Start!$C$12='Tarief inhuur'!$B$92,'Tarief inhuur'!D92,IF(Start!$C$12='Tarief inhuur'!$B$93,'Tarief inhuur'!D93,IF(Start!$C$12='Tarief inhuur'!$B$94,'Tarief inhuur'!D94,'Tarief inhuur'!D95))))</f>
        <v>127.7</v>
      </c>
      <c r="D97" s="27" t="s">
        <v>115</v>
      </c>
      <c r="G97" s="57"/>
      <c r="H97" s="62" t="s">
        <v>47</v>
      </c>
    </row>
    <row r="98" spans="2:9" x14ac:dyDescent="0.25">
      <c r="B98" s="50" t="s">
        <v>121</v>
      </c>
      <c r="C98" s="53">
        <f>IF(Start!$C$12='Tarief inhuur'!$B$91,'Tarief inhuur'!E91,IF(Start!$C$12='Tarief inhuur'!$B$92,'Tarief inhuur'!E92,IF(Start!$C$12='Tarief inhuur'!$B$93,'Tarief inhuur'!E93,IF(Start!$C$12='Tarief inhuur'!$B$94,'Tarief inhuur'!E94,'Tarief inhuur'!E95))))</f>
        <v>485</v>
      </c>
      <c r="D98" s="27" t="s">
        <v>116</v>
      </c>
      <c r="G98" s="57"/>
      <c r="H98" s="62" t="s">
        <v>47</v>
      </c>
    </row>
    <row r="99" spans="2:9" ht="15.75" thickBot="1" x14ac:dyDescent="0.3">
      <c r="B99" s="50" t="s">
        <v>112</v>
      </c>
      <c r="C99" s="79">
        <f>+C96-C97-C98</f>
        <v>1265.3</v>
      </c>
      <c r="G99" s="57"/>
    </row>
    <row r="100" spans="2:9" ht="16.5" thickTop="1" thickBot="1" x14ac:dyDescent="0.3">
      <c r="B100" s="51" t="s">
        <v>113</v>
      </c>
      <c r="C100" s="59">
        <f>+C99/C96</f>
        <v>0.67374866879659212</v>
      </c>
      <c r="D100" s="59"/>
      <c r="E100" s="60"/>
      <c r="F100" s="60"/>
      <c r="G100" s="61"/>
    </row>
    <row r="101" spans="2:9" x14ac:dyDescent="0.25">
      <c r="B101" s="6" t="s">
        <v>118</v>
      </c>
      <c r="C101" s="52"/>
      <c r="D101" s="52"/>
      <c r="E101" s="52"/>
      <c r="F101" s="52"/>
      <c r="G101" s="8"/>
    </row>
    <row r="102" spans="2:9" x14ac:dyDescent="0.25">
      <c r="B102" s="123" t="s">
        <v>120</v>
      </c>
      <c r="C102" s="124"/>
      <c r="D102" s="124"/>
      <c r="E102" s="124"/>
      <c r="F102" s="124"/>
      <c r="G102" s="125"/>
    </row>
    <row r="103" spans="2:9" x14ac:dyDescent="0.25">
      <c r="B103" s="62"/>
      <c r="C103" s="62"/>
      <c r="D103" s="66"/>
      <c r="E103" s="68"/>
      <c r="F103" s="68"/>
      <c r="G103" s="62"/>
    </row>
    <row r="104" spans="2:9" x14ac:dyDescent="0.25">
      <c r="B104" s="62"/>
      <c r="C104" s="62"/>
      <c r="D104" s="66"/>
      <c r="E104" s="68"/>
      <c r="F104" s="68"/>
      <c r="G104" s="62"/>
    </row>
    <row r="105" spans="2:9" x14ac:dyDescent="0.25">
      <c r="B105" s="62"/>
      <c r="C105" s="62"/>
      <c r="D105" s="66"/>
      <c r="E105" s="68"/>
      <c r="F105" s="68"/>
      <c r="G105" s="62"/>
    </row>
    <row r="106" spans="2:9" x14ac:dyDescent="0.25">
      <c r="B106" s="62"/>
      <c r="C106" s="62"/>
      <c r="D106" s="66"/>
      <c r="E106" s="68"/>
      <c r="F106" s="68"/>
      <c r="G106" s="62"/>
      <c r="I106" s="67"/>
    </row>
    <row r="107" spans="2:9" x14ac:dyDescent="0.25">
      <c r="B107" s="62"/>
      <c r="C107" s="62"/>
      <c r="D107" s="66"/>
      <c r="E107" s="68"/>
      <c r="F107" s="68"/>
      <c r="G107" s="62"/>
    </row>
    <row r="108" spans="2:9" s="62" customFormat="1" x14ac:dyDescent="0.25">
      <c r="D108" s="66"/>
      <c r="E108" s="68"/>
      <c r="F108" s="68"/>
    </row>
    <row r="109" spans="2:9" s="62" customFormat="1" x14ac:dyDescent="0.25">
      <c r="D109" s="66"/>
      <c r="E109" s="68"/>
      <c r="F109" s="68"/>
    </row>
    <row r="110" spans="2:9" s="62" customFormat="1" x14ac:dyDescent="0.25"/>
    <row r="111" spans="2:9" s="62" customFormat="1" x14ac:dyDescent="0.25"/>
    <row r="112" spans="2:9" s="62" customFormat="1" x14ac:dyDescent="0.25"/>
    <row r="113" spans="4:6" s="62" customFormat="1" x14ac:dyDescent="0.25"/>
    <row r="114" spans="4:6" s="62" customFormat="1" x14ac:dyDescent="0.25"/>
    <row r="115" spans="4:6" s="62" customFormat="1" x14ac:dyDescent="0.25"/>
    <row r="116" spans="4:6" s="62" customFormat="1" x14ac:dyDescent="0.25"/>
    <row r="117" spans="4:6" s="62" customFormat="1" x14ac:dyDescent="0.25">
      <c r="D117" s="66"/>
      <c r="E117" s="68"/>
      <c r="F117" s="68"/>
    </row>
    <row r="118" spans="4:6" s="62" customFormat="1" x14ac:dyDescent="0.25">
      <c r="D118" s="66"/>
      <c r="E118" s="68"/>
      <c r="F118" s="68"/>
    </row>
    <row r="119" spans="4:6" s="62" customFormat="1" x14ac:dyDescent="0.25">
      <c r="D119" s="66"/>
      <c r="E119" s="68"/>
      <c r="F119" s="68"/>
    </row>
    <row r="120" spans="4:6" s="62" customFormat="1" x14ac:dyDescent="0.25">
      <c r="D120" s="66"/>
      <c r="E120" s="68"/>
      <c r="F120" s="68"/>
    </row>
    <row r="121" spans="4:6" s="62" customFormat="1" x14ac:dyDescent="0.25">
      <c r="D121" s="66"/>
      <c r="E121" s="68"/>
      <c r="F121" s="68"/>
    </row>
    <row r="122" spans="4:6" s="62" customFormat="1" x14ac:dyDescent="0.25">
      <c r="D122" s="66"/>
      <c r="E122" s="68"/>
      <c r="F122" s="68"/>
    </row>
    <row r="123" spans="4:6" s="62" customFormat="1" x14ac:dyDescent="0.25">
      <c r="D123" s="66"/>
      <c r="E123" s="68"/>
      <c r="F123" s="68"/>
    </row>
    <row r="124" spans="4:6" s="62" customFormat="1" x14ac:dyDescent="0.25">
      <c r="D124" s="66"/>
      <c r="E124" s="68"/>
      <c r="F124" s="68"/>
    </row>
    <row r="125" spans="4:6" s="62" customFormat="1" x14ac:dyDescent="0.25">
      <c r="D125" s="66"/>
      <c r="E125" s="68"/>
      <c r="F125" s="68"/>
    </row>
    <row r="126" spans="4:6" s="62" customFormat="1" x14ac:dyDescent="0.25">
      <c r="D126" s="66"/>
      <c r="E126" s="68"/>
      <c r="F126" s="68"/>
    </row>
    <row r="127" spans="4:6" s="62" customFormat="1" x14ac:dyDescent="0.25">
      <c r="D127" s="66"/>
      <c r="E127" s="68"/>
      <c r="F127" s="68"/>
    </row>
    <row r="128" spans="4:6" s="62" customFormat="1" x14ac:dyDescent="0.25">
      <c r="D128" s="66"/>
      <c r="E128" s="68"/>
      <c r="F128" s="68"/>
    </row>
    <row r="129" spans="4:6" s="62" customFormat="1" x14ac:dyDescent="0.25">
      <c r="D129" s="66"/>
      <c r="E129" s="68"/>
      <c r="F129" s="68"/>
    </row>
    <row r="130" spans="4:6" s="62" customFormat="1" x14ac:dyDescent="0.25">
      <c r="D130" s="66"/>
      <c r="E130" s="68"/>
      <c r="F130" s="68"/>
    </row>
    <row r="131" spans="4:6" s="62" customFormat="1" x14ac:dyDescent="0.25">
      <c r="D131" s="66"/>
      <c r="E131" s="68"/>
      <c r="F131" s="68"/>
    </row>
    <row r="132" spans="4:6" s="62" customFormat="1" x14ac:dyDescent="0.25">
      <c r="D132" s="66"/>
      <c r="E132" s="68"/>
      <c r="F132" s="68"/>
    </row>
    <row r="133" spans="4:6" s="62" customFormat="1" x14ac:dyDescent="0.25">
      <c r="D133" s="66"/>
      <c r="E133" s="68"/>
      <c r="F133" s="68"/>
    </row>
    <row r="134" spans="4:6" s="62" customFormat="1" x14ac:dyDescent="0.25">
      <c r="D134" s="66"/>
      <c r="E134" s="68"/>
      <c r="F134" s="68"/>
    </row>
    <row r="135" spans="4:6" s="62" customFormat="1" x14ac:dyDescent="0.25">
      <c r="D135" s="66"/>
      <c r="E135" s="68"/>
      <c r="F135" s="68"/>
    </row>
    <row r="136" spans="4:6" s="62" customFormat="1" x14ac:dyDescent="0.25">
      <c r="D136" s="66"/>
      <c r="E136" s="68"/>
      <c r="F136" s="68"/>
    </row>
    <row r="137" spans="4:6" s="62" customFormat="1" x14ac:dyDescent="0.25">
      <c r="D137" s="66"/>
      <c r="E137" s="68"/>
      <c r="F137" s="68"/>
    </row>
    <row r="138" spans="4:6" s="62" customFormat="1" x14ac:dyDescent="0.25">
      <c r="D138" s="66"/>
      <c r="E138" s="68"/>
      <c r="F138" s="68"/>
    </row>
    <row r="139" spans="4:6" s="62" customFormat="1" x14ac:dyDescent="0.25">
      <c r="D139" s="66"/>
      <c r="E139" s="68"/>
      <c r="F139" s="68"/>
    </row>
    <row r="140" spans="4:6" s="62" customFormat="1" x14ac:dyDescent="0.25">
      <c r="D140" s="66"/>
      <c r="E140" s="68"/>
      <c r="F140" s="68"/>
    </row>
    <row r="141" spans="4:6" s="62" customFormat="1" x14ac:dyDescent="0.25">
      <c r="D141" s="66"/>
      <c r="E141" s="68"/>
      <c r="F141" s="68"/>
    </row>
    <row r="142" spans="4:6" s="62" customFormat="1" x14ac:dyDescent="0.25">
      <c r="D142" s="66"/>
      <c r="E142" s="68"/>
      <c r="F142" s="68"/>
    </row>
    <row r="143" spans="4:6" s="62" customFormat="1" x14ac:dyDescent="0.25">
      <c r="D143" s="66"/>
      <c r="E143" s="68"/>
      <c r="F143" s="68"/>
    </row>
    <row r="144" spans="4:6" s="62" customFormat="1" x14ac:dyDescent="0.25">
      <c r="D144" s="66"/>
      <c r="E144" s="68"/>
      <c r="F144" s="68"/>
    </row>
    <row r="145" spans="4:6" s="62" customFormat="1" x14ac:dyDescent="0.25">
      <c r="D145" s="66"/>
      <c r="E145" s="68"/>
      <c r="F145" s="68"/>
    </row>
    <row r="146" spans="4:6" s="62" customFormat="1" x14ac:dyDescent="0.25">
      <c r="D146" s="66"/>
      <c r="E146" s="68"/>
      <c r="F146" s="68"/>
    </row>
    <row r="147" spans="4:6" s="62" customFormat="1" x14ac:dyDescent="0.25">
      <c r="D147" s="66"/>
      <c r="E147" s="68"/>
      <c r="F147" s="68"/>
    </row>
    <row r="148" spans="4:6" s="62" customFormat="1" x14ac:dyDescent="0.25">
      <c r="D148" s="66"/>
      <c r="E148" s="68"/>
      <c r="F148" s="68"/>
    </row>
    <row r="149" spans="4:6" s="62" customFormat="1" x14ac:dyDescent="0.25">
      <c r="D149" s="66"/>
      <c r="E149" s="68"/>
      <c r="F149" s="68"/>
    </row>
    <row r="150" spans="4:6" s="62" customFormat="1" x14ac:dyDescent="0.25">
      <c r="D150" s="66"/>
      <c r="E150" s="68"/>
      <c r="F150" s="68"/>
    </row>
    <row r="151" spans="4:6" s="62" customFormat="1" x14ac:dyDescent="0.25">
      <c r="D151" s="66"/>
      <c r="E151" s="68"/>
      <c r="F151" s="68"/>
    </row>
    <row r="152" spans="4:6" s="62" customFormat="1" x14ac:dyDescent="0.25">
      <c r="D152" s="66"/>
      <c r="E152" s="68"/>
      <c r="F152" s="68"/>
    </row>
    <row r="153" spans="4:6" s="62" customFormat="1" x14ac:dyDescent="0.25">
      <c r="D153" s="66"/>
      <c r="E153" s="68"/>
      <c r="F153" s="68"/>
    </row>
    <row r="154" spans="4:6" s="62" customFormat="1" x14ac:dyDescent="0.25">
      <c r="D154" s="66"/>
      <c r="E154" s="68"/>
      <c r="F154" s="68"/>
    </row>
    <row r="155" spans="4:6" s="62" customFormat="1" x14ac:dyDescent="0.25">
      <c r="D155" s="66"/>
      <c r="E155" s="68"/>
      <c r="F155" s="68"/>
    </row>
    <row r="156" spans="4:6" s="62" customFormat="1" x14ac:dyDescent="0.25">
      <c r="D156" s="66"/>
      <c r="E156" s="68"/>
      <c r="F156" s="68"/>
    </row>
    <row r="157" spans="4:6" s="62" customFormat="1" x14ac:dyDescent="0.25">
      <c r="D157" s="66"/>
      <c r="E157" s="68"/>
      <c r="F157" s="68"/>
    </row>
    <row r="158" spans="4:6" s="62" customFormat="1" x14ac:dyDescent="0.25">
      <c r="D158" s="66"/>
      <c r="E158" s="68"/>
      <c r="F158" s="68"/>
    </row>
    <row r="159" spans="4:6" s="62" customFormat="1" x14ac:dyDescent="0.25">
      <c r="D159" s="66"/>
      <c r="E159" s="68"/>
      <c r="F159" s="68"/>
    </row>
    <row r="160" spans="4:6" s="62" customFormat="1" x14ac:dyDescent="0.25">
      <c r="D160" s="66"/>
      <c r="E160" s="68"/>
      <c r="F160" s="68"/>
    </row>
    <row r="161" spans="4:6" s="62" customFormat="1" x14ac:dyDescent="0.25">
      <c r="D161" s="66"/>
      <c r="E161" s="68"/>
      <c r="F161" s="68"/>
    </row>
    <row r="162" spans="4:6" s="62" customFormat="1" x14ac:dyDescent="0.25">
      <c r="D162" s="66"/>
      <c r="E162" s="68"/>
      <c r="F162" s="68"/>
    </row>
    <row r="163" spans="4:6" s="62" customFormat="1" x14ac:dyDescent="0.25">
      <c r="D163" s="66"/>
      <c r="E163" s="68"/>
      <c r="F163" s="68"/>
    </row>
    <row r="164" spans="4:6" s="62" customFormat="1" x14ac:dyDescent="0.25">
      <c r="D164" s="66"/>
      <c r="E164" s="68"/>
      <c r="F164" s="68"/>
    </row>
    <row r="165" spans="4:6" s="62" customFormat="1" x14ac:dyDescent="0.25">
      <c r="D165" s="66"/>
      <c r="E165" s="68"/>
      <c r="F165" s="68"/>
    </row>
    <row r="166" spans="4:6" s="62" customFormat="1" x14ac:dyDescent="0.25">
      <c r="D166" s="66"/>
      <c r="E166" s="68"/>
      <c r="F166" s="68"/>
    </row>
    <row r="167" spans="4:6" s="62" customFormat="1" x14ac:dyDescent="0.25">
      <c r="D167" s="66"/>
      <c r="E167" s="68"/>
      <c r="F167" s="68"/>
    </row>
    <row r="168" spans="4:6" s="62" customFormat="1" x14ac:dyDescent="0.25">
      <c r="D168" s="66"/>
      <c r="E168" s="68"/>
      <c r="F168" s="68"/>
    </row>
    <row r="169" spans="4:6" s="62" customFormat="1" x14ac:dyDescent="0.25">
      <c r="D169" s="66"/>
      <c r="E169" s="68"/>
      <c r="F169" s="68"/>
    </row>
    <row r="170" spans="4:6" s="62" customFormat="1" x14ac:dyDescent="0.25">
      <c r="D170" s="66"/>
      <c r="E170" s="68"/>
      <c r="F170" s="68"/>
    </row>
    <row r="171" spans="4:6" s="62" customFormat="1" x14ac:dyDescent="0.25">
      <c r="D171" s="66"/>
      <c r="E171" s="68"/>
      <c r="F171" s="68"/>
    </row>
    <row r="172" spans="4:6" s="62" customFormat="1" x14ac:dyDescent="0.25">
      <c r="D172" s="66"/>
      <c r="E172" s="68"/>
      <c r="F172" s="68"/>
    </row>
    <row r="173" spans="4:6" s="62" customFormat="1" x14ac:dyDescent="0.25">
      <c r="D173" s="66"/>
      <c r="E173" s="68"/>
      <c r="F173" s="68"/>
    </row>
    <row r="174" spans="4:6" s="62" customFormat="1" x14ac:dyDescent="0.25">
      <c r="D174" s="66"/>
      <c r="E174" s="68"/>
      <c r="F174" s="68"/>
    </row>
    <row r="175" spans="4:6" s="62" customFormat="1" x14ac:dyDescent="0.25">
      <c r="D175" s="66"/>
      <c r="E175" s="68"/>
      <c r="F175" s="68"/>
    </row>
    <row r="176" spans="4:6" s="62" customFormat="1" x14ac:dyDescent="0.25">
      <c r="D176" s="66"/>
      <c r="E176" s="68"/>
      <c r="F176" s="68"/>
    </row>
    <row r="177" spans="4:6" s="62" customFormat="1" x14ac:dyDescent="0.25">
      <c r="D177" s="66"/>
      <c r="E177" s="68"/>
      <c r="F177" s="68"/>
    </row>
    <row r="178" spans="4:6" s="62" customFormat="1" x14ac:dyDescent="0.25">
      <c r="D178" s="66"/>
      <c r="E178" s="68"/>
      <c r="F178" s="68"/>
    </row>
    <row r="179" spans="4:6" s="62" customFormat="1" x14ac:dyDescent="0.25">
      <c r="D179" s="66"/>
      <c r="E179" s="68"/>
      <c r="F179" s="68"/>
    </row>
    <row r="180" spans="4:6" s="62" customFormat="1" x14ac:dyDescent="0.25">
      <c r="D180" s="66"/>
      <c r="E180" s="68"/>
      <c r="F180" s="68"/>
    </row>
    <row r="181" spans="4:6" s="62" customFormat="1" x14ac:dyDescent="0.25">
      <c r="D181" s="66"/>
      <c r="E181" s="68"/>
      <c r="F181" s="68"/>
    </row>
    <row r="182" spans="4:6" s="62" customFormat="1" x14ac:dyDescent="0.25">
      <c r="D182" s="66"/>
      <c r="E182" s="68"/>
      <c r="F182" s="68"/>
    </row>
    <row r="183" spans="4:6" s="62" customFormat="1" x14ac:dyDescent="0.25">
      <c r="D183" s="66"/>
      <c r="E183" s="68"/>
      <c r="F183" s="68"/>
    </row>
    <row r="184" spans="4:6" s="62" customFormat="1" x14ac:dyDescent="0.25">
      <c r="D184" s="66"/>
      <c r="E184" s="68"/>
      <c r="F184" s="68"/>
    </row>
    <row r="185" spans="4:6" s="62" customFormat="1" x14ac:dyDescent="0.25">
      <c r="D185" s="66"/>
      <c r="E185" s="68"/>
      <c r="F185" s="68"/>
    </row>
    <row r="186" spans="4:6" s="62" customFormat="1" x14ac:dyDescent="0.25">
      <c r="D186" s="66"/>
      <c r="E186" s="68"/>
      <c r="F186" s="68"/>
    </row>
    <row r="187" spans="4:6" s="62" customFormat="1" x14ac:dyDescent="0.25">
      <c r="D187" s="66"/>
      <c r="E187" s="68"/>
      <c r="F187" s="68"/>
    </row>
    <row r="188" spans="4:6" s="62" customFormat="1" x14ac:dyDescent="0.25">
      <c r="D188" s="66"/>
      <c r="E188" s="68"/>
      <c r="F188" s="68"/>
    </row>
    <row r="189" spans="4:6" s="62" customFormat="1" x14ac:dyDescent="0.25">
      <c r="D189" s="66"/>
      <c r="E189" s="68"/>
      <c r="F189" s="68"/>
    </row>
    <row r="190" spans="4:6" s="62" customFormat="1" x14ac:dyDescent="0.25">
      <c r="D190" s="66"/>
      <c r="E190" s="68"/>
      <c r="F190" s="68"/>
    </row>
    <row r="191" spans="4:6" s="62" customFormat="1" x14ac:dyDescent="0.25">
      <c r="D191" s="66"/>
      <c r="E191" s="68"/>
      <c r="F191" s="68"/>
    </row>
    <row r="192" spans="4:6" s="62" customFormat="1" x14ac:dyDescent="0.25">
      <c r="D192" s="66"/>
      <c r="E192" s="68"/>
      <c r="F192" s="68"/>
    </row>
  </sheetData>
  <sheetProtection algorithmName="SHA-512" hashValue="4DIzG6hySkP7GtnG9cW1P/xjWU6SGKMfybizfEi+94a9Fhc1+dNt4BdBNn+PIPLOrxof8OnuLmshiHb/9F4LVg==" saltValue="nltTYEM+unc20E/b4hID/A==" spinCount="100000" sheet="1" objects="1" scenarios="1"/>
  <mergeCells count="25">
    <mergeCell ref="C69:G69"/>
    <mergeCell ref="D77:G77"/>
    <mergeCell ref="D76:G76"/>
    <mergeCell ref="C50:G50"/>
    <mergeCell ref="B102:G102"/>
    <mergeCell ref="B62:B64"/>
    <mergeCell ref="B65:B68"/>
    <mergeCell ref="C65:G68"/>
    <mergeCell ref="C59:G59"/>
    <mergeCell ref="C56:G56"/>
    <mergeCell ref="C58:G58"/>
    <mergeCell ref="C60:G60"/>
    <mergeCell ref="C54:G54"/>
    <mergeCell ref="C55:G55"/>
    <mergeCell ref="C45:G47"/>
    <mergeCell ref="B2:G2"/>
    <mergeCell ref="C40:G41"/>
    <mergeCell ref="C42:G42"/>
    <mergeCell ref="C43:G43"/>
    <mergeCell ref="C44:G44"/>
    <mergeCell ref="C48:G48"/>
    <mergeCell ref="C49:G49"/>
    <mergeCell ref="C52:G52"/>
    <mergeCell ref="C51:G51"/>
    <mergeCell ref="C62:G64"/>
  </mergeCells>
  <hyperlinks>
    <hyperlink ref="D81" r:id="rId1" location=":~:text=Voor%20zowel%20werkgever%20als%20werknemer,blijft%20ook%20gelijk%20in%202025." xr:uid="{081D3277-7EAA-4CBE-8780-9E70143D0D77}"/>
    <hyperlink ref="D80" r:id="rId2" display="https://www.uwv.nl/nl/premies-bedragen" xr:uid="{57CB4067-B697-460C-9690-080FF707213D}"/>
    <hyperlink ref="D82" r:id="rId3" display="https://www.uwv.nl/nl/premies-bedragen/premie-ww" xr:uid="{CA399E84-6E0B-4F48-9C9F-36A29CFADD76}"/>
    <hyperlink ref="D83" r:id="rId4" display="https://www.belastingdienst.nl/wps/wcm/connect/bldcontentnl/belastingdienst/prive/werk_en_inkomen/zorgverzekeringswet/veranderingen-bijdrage-zvw/percentages-zvw" xr:uid="{67DAA73E-DADF-4654-8CE6-BE6668A46762}"/>
    <hyperlink ref="D85" r:id="rId5" display="https://www.uwv.nl/nl/publicaties/kennis/2025/gedifferentieerde-premies-wga-en-ziektewet-2026" xr:uid="{E2B323C7-A926-448E-B933-AD1859685B9B}"/>
    <hyperlink ref="D86" r:id="rId6" display="https://www.mkbservicedesk.nl/personeel/beloning-arbeidsvoorwaarden/werkgeversbijdrage-kinderopvang" xr:uid="{EC0CDFF6-64CF-4036-91E9-0F719B1514E9}"/>
    <hyperlink ref="D84" r:id="rId7" display="https://www.uwv.nl/nl/publicaties/kennis/2025/gedifferentieerde-premies-wga-en-ziektewet-2026" xr:uid="{39A17DDD-1461-4EFB-8111-593C3EF4658B}"/>
    <hyperlink ref="C54" r:id="rId8" display="https://zoek.officielebekendmakingen.nl/stb-2024-69.html" xr:uid="{176DC1D7-DE2B-4477-B2C3-E7EAC778C8CC}"/>
    <hyperlink ref="C55" r:id="rId9" display="https://www.berenschot.nl/benchmarken/benchmark-care" xr:uid="{194A3F1A-9CD0-4184-B7AC-78A0DD75C8BB}"/>
    <hyperlink ref="C56" r:id="rId10" location="/AZW/nl/dataset/24015NED/table?dl=79EA2" display="https://azwstatline.cbs.nl/ - /AZW/nl/dataset/24015NED/table?dl=79EA2" xr:uid="{F0C977B5-52B6-44C5-9D24-F811D73106E9}"/>
    <hyperlink ref="C58" r:id="rId11" display="https://www.nza.nl/onderwerpen/p/prijsindexcijfers" xr:uid="{7745C869-0167-4C72-9803-E504202A8BD0}"/>
    <hyperlink ref="C60" r:id="rId12" display="https://vng.nl/publicaties/kostentool-jeugdhulp" xr:uid="{3BB21483-3FD5-40EF-885D-4A165CC11B89}"/>
  </hyperlinks>
  <pageMargins left="0.39370078740157483" right="0.23622047244094491" top="0.78740157480314965" bottom="0.59055118110236227" header="0.31496062992125984" footer="0.31496062992125984"/>
  <pageSetup paperSize="9" scale="92" fitToHeight="2" orientation="portrait" r:id="rId13"/>
  <rowBreaks count="1" manualBreakCount="1">
    <brk id="3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Start</vt:lpstr>
      <vt:lpstr>Tarief inhuur</vt:lpstr>
      <vt:lpstr>'Tarief inhuur'!Afdrukbereik</vt:lpstr>
    </vt:vector>
  </TitlesOfParts>
  <Company>SSC Syntrophos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 Peter</dc:creator>
  <cp:lastModifiedBy>Roskam, Bart</cp:lastModifiedBy>
  <cp:lastPrinted>2026-10-14T07:31:04Z</cp:lastPrinted>
  <dcterms:created xsi:type="dcterms:W3CDTF">2026-09-15T13:55:31Z</dcterms:created>
  <dcterms:modified xsi:type="dcterms:W3CDTF">2026-11-02T14:43:33Z</dcterms:modified>
</cp:coreProperties>
</file>