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I:\_SEC\Inkoop-RD\Inkoopdossiers lopend\REO2026-0049_JO Aziatische hoornaar\06. Aanbestedingsdocumenten\"/>
    </mc:Choice>
  </mc:AlternateContent>
  <xr:revisionPtr revIDLastSave="0" documentId="14_{DD9D1AC0-CB4B-4630-AF76-D5784049F6D8}" xr6:coauthVersionLast="47" xr6:coauthVersionMax="47" xr10:uidLastSave="{00000000-0000-0000-0000-000000000000}"/>
  <bookViews>
    <workbookView xWindow="-28920" yWindow="-120" windowWidth="29040" windowHeight="15720" tabRatio="888" xr2:uid="{00000000-000D-0000-FFFF-FFFF00000000}"/>
  </bookViews>
  <sheets>
    <sheet name="fictieve meerwaarde &amp; eisen" sheetId="21" r:id="rId1"/>
    <sheet name="materieelinzetplan" sheetId="24" r:id="rId2"/>
    <sheet name="subsidie" sheetId="36" state="hidden" r:id="rId3"/>
    <sheet name="machinelijst" sheetId="32" r:id="rId4"/>
    <sheet name="beoordeling" sheetId="42" state="hidden" r:id="rId5"/>
  </sheets>
  <externalReferences>
    <externalReference r:id="rId6"/>
  </externalReferences>
  <definedNames>
    <definedName name="_xlnm._FilterDatabase" localSheetId="2" hidden="1">subsidie!$G$13:$G$57</definedName>
    <definedName name="_xlnm.Print_Area" localSheetId="4">beoordeling!$A$2:$M$19</definedName>
    <definedName name="Afdrukbereik_FictieveMeerwaarde" localSheetId="0">'fictieve meerwaarde &amp; eisen'!$A$1:$S$57</definedName>
    <definedName name="Afdrukbereik_Materieelinzetplan" localSheetId="1">materieelinzetplan!$A$1:$K$61</definedName>
    <definedName name="Afdrukbereik_Subsidie" localSheetId="2">subsidie!$A$1:$O$57</definedName>
    <definedName name="dropdown_Bedrijfsauto_energie">_xlfn.XLOOKUP(materieelinzetplan!XFD1,motor_Bedrijfsauto,energie_Bedrijfsauto):_xlfn.XLOOKUP(materieelinzetplan!XFD1,motor_Bedrijfsauto,energie_Bedrijfsauto,,,-1)</definedName>
    <definedName name="dropdown_Transport_energie">_xlfn.XLOOKUP(materieelinzetplan!XFD1,motor_Transport,energie_Transport):_xlfn.XLOOKUP(materieelinzetplan!XFD1,motor_Transport,energie_Transport,,,-1)</definedName>
    <definedName name="dropdown_Werktuigen_energie">_xlfn.XLOOKUP(materieelinzetplan!XFD1,motor_Werktuigen,energie_Werktuigen):_xlfn.XLOOKUP(materieelinzetplan!XFD1,motor_Werktuigen,energie_Werktuigen,,,-1)</definedName>
    <definedName name="dropdown_Werktuigen_vermogen">_xlfn.XLOOKUP(materieelinzetplan!$C1048573&amp;materieelinzetplan!$D1048573,werktuigen_motor_2027&amp;werktuigen_energie_2027,werktuigen_vermogen_2027):_xlfn.XLOOKUP(materieelinzetplan!$C1048573&amp;materieelinzetplan!$D1048573,werktuigen_motor_2027&amp;werktuigen_energie_2027,werktuigen_vermogen_2027,,,-1)</definedName>
    <definedName name="energie_Bedrijfsauto">'fictieve meerwaarde &amp; eisen'!$C$25:$C$31</definedName>
    <definedName name="energie_Transport">'fictieve meerwaarde &amp; eisen'!$C$35:$C$45</definedName>
    <definedName name="energie_Werktuigen">'fictieve meerwaarde &amp; eisen'!$C$16:$C$18</definedName>
    <definedName name="geenToegangZEzone">subsidie!$K$41</definedName>
    <definedName name="groslijsten">subsidie!$K$14:$K$29</definedName>
    <definedName name="gunning_werktuigen_2027">'fictieve meerwaarde &amp; eisen'!$P$19:$P$21</definedName>
    <definedName name="gunning_werktuigen_2028">'fictieve meerwaarde &amp; eisen'!$P$20:$P$21</definedName>
    <definedName name="lijst_aggregaten_batterijpakketten">machinelijst!$D$68:$D$70</definedName>
    <definedName name="lijst_DClaadstation">machinelijst!$D$71</definedName>
    <definedName name="lijst_Transport">machinelijst!$D$93:$D$105</definedName>
    <definedName name="lijst_Werktuigen">machinelijst!$D$4:$D$58</definedName>
    <definedName name="motor_Bedrijfsauto">'fictieve meerwaarde &amp; eisen'!$B$25:$B$31</definedName>
    <definedName name="motor_Transport">'fictieve meerwaarde &amp; eisen'!$B$35:$B$45</definedName>
    <definedName name="motor_Werktuigen">'fictieve meerwaarde &amp; eisen'!$B$16:$B$18</definedName>
    <definedName name="stageVmotor">'fictieve meerwaarde &amp; eisen'!$B$18</definedName>
    <definedName name="subsidie_batterijen">machinelijst!$D$68:$D$70</definedName>
    <definedName name="subsidie_gereedschappen">machinelijst!$D$60:$D$66</definedName>
    <definedName name="subsidie_laadstation">machinelijst!$D$71</definedName>
    <definedName name="subsidie_Transport">machinelijst!$D$93:$D$100</definedName>
    <definedName name="subsidie_Werktuigen">machinelijst!$D$4:$D$48</definedName>
    <definedName name="vermogenklasse_eisen_2027">'fictieve meerwaarde &amp; eisen'!$P$16:$P$18</definedName>
    <definedName name="vermogensklasse">subsidie!$K$2:$K$7</definedName>
    <definedName name="vermogensklasse56tot130kW">'fictieve meerwaarde &amp; eisen'!$P$19</definedName>
    <definedName name="voldoet_geenFM_2027">subsidie!$K$38</definedName>
    <definedName name="voldoet_geenFM_2028">subsidie!$K$39</definedName>
    <definedName name="voldoet_niet">subsidie!$K$40</definedName>
    <definedName name="voldoet_niet_2028">subsidie!$K$37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" i="36" l="1"/>
  <c r="H80" i="36" s="1"/>
  <c r="G79" i="36"/>
  <c r="H79" i="36" s="1"/>
  <c r="G78" i="36"/>
  <c r="H78" i="36" s="1"/>
  <c r="G77" i="36"/>
  <c r="H77" i="36" s="1"/>
  <c r="G76" i="36"/>
  <c r="H76" i="36" s="1"/>
  <c r="E75" i="36"/>
  <c r="D75" i="36"/>
  <c r="B75" i="36"/>
  <c r="G72" i="36"/>
  <c r="H72" i="36" s="1"/>
  <c r="G71" i="36"/>
  <c r="H71" i="36" s="1"/>
  <c r="G70" i="36"/>
  <c r="H70" i="36" s="1"/>
  <c r="G69" i="36"/>
  <c r="H69" i="36" s="1"/>
  <c r="G68" i="36"/>
  <c r="H68" i="36" s="1"/>
  <c r="E67" i="36"/>
  <c r="D67" i="36"/>
  <c r="B67" i="36"/>
  <c r="G64" i="36"/>
  <c r="H64" i="36" s="1"/>
  <c r="G63" i="36"/>
  <c r="H63" i="36" s="1"/>
  <c r="G62" i="36"/>
  <c r="H62" i="36" s="1"/>
  <c r="G61" i="36"/>
  <c r="H61" i="36" s="1"/>
  <c r="G60" i="36"/>
  <c r="H60" i="36" s="1"/>
  <c r="E59" i="36"/>
  <c r="D59" i="36"/>
  <c r="B59" i="36"/>
  <c r="K41" i="24" l="1"/>
  <c r="K42" i="24"/>
  <c r="K43" i="24"/>
  <c r="K44" i="24"/>
  <c r="K45" i="24"/>
  <c r="K46" i="24"/>
  <c r="K47" i="24"/>
  <c r="K48" i="24"/>
  <c r="K49" i="24"/>
  <c r="K50" i="24"/>
  <c r="K51" i="24"/>
  <c r="K52" i="24"/>
  <c r="K53" i="24"/>
  <c r="K54" i="24"/>
  <c r="K55" i="24"/>
  <c r="K56" i="24"/>
  <c r="K57" i="24"/>
  <c r="K58" i="24"/>
  <c r="K59" i="24"/>
  <c r="K40" i="24"/>
  <c r="K17" i="24"/>
  <c r="K19" i="24"/>
  <c r="K20" i="24"/>
  <c r="K21" i="24"/>
  <c r="K22" i="24"/>
  <c r="K23" i="24"/>
  <c r="K24" i="24"/>
  <c r="K25" i="24"/>
  <c r="K27" i="24"/>
  <c r="K28" i="24"/>
  <c r="K29" i="24"/>
  <c r="K30" i="24"/>
  <c r="K31" i="24"/>
  <c r="K32" i="24"/>
  <c r="K33" i="24"/>
  <c r="K34" i="24"/>
  <c r="K35" i="24"/>
  <c r="K36" i="24"/>
  <c r="P17" i="21"/>
  <c r="P18" i="21"/>
  <c r="P19" i="21"/>
  <c r="P20" i="21"/>
  <c r="J18" i="21" s="1" a="1"/>
  <c r="J18" i="21" s="1"/>
  <c r="P21" i="21"/>
  <c r="P16" i="21"/>
  <c r="K18" i="24" s="1"/>
  <c r="L16" i="21" l="1" a="1"/>
  <c r="L16" i="21" s="1"/>
  <c r="K26" i="24"/>
  <c r="F18" i="21" a="1"/>
  <c r="F18" i="21" s="1"/>
  <c r="H18" i="21" a="1"/>
  <c r="H18" i="21" s="1"/>
  <c r="H17" i="21" a="1"/>
  <c r="H17" i="21" s="1"/>
  <c r="H16" i="21" a="1"/>
  <c r="H16" i="21" s="1"/>
  <c r="J16" i="21" a="1"/>
  <c r="J16" i="21" s="1"/>
  <c r="J17" i="21" a="1"/>
  <c r="J17" i="21" s="1"/>
  <c r="F17" i="21" a="1"/>
  <c r="F17" i="21" s="1"/>
  <c r="L17" i="21" a="1"/>
  <c r="L17" i="21" s="1"/>
  <c r="F16" i="21" a="1"/>
  <c r="F16" i="21" s="1"/>
  <c r="L18" i="21" a="1"/>
  <c r="L18" i="21" s="1"/>
  <c r="H4" i="36"/>
  <c r="F37" i="36"/>
  <c r="B2" i="42"/>
  <c r="F35" i="21"/>
  <c r="E35" i="21" s="1"/>
  <c r="F36" i="21"/>
  <c r="E36" i="21" s="1"/>
  <c r="F37" i="21"/>
  <c r="E37" i="21" s="1"/>
  <c r="F38" i="21"/>
  <c r="E38" i="21" s="1"/>
  <c r="F39" i="21"/>
  <c r="E39" i="21" s="1"/>
  <c r="F40" i="21"/>
  <c r="E40" i="21" s="1"/>
  <c r="F41" i="21"/>
  <c r="E41" i="21" s="1"/>
  <c r="F42" i="21"/>
  <c r="E42" i="21" s="1"/>
  <c r="F43" i="21"/>
  <c r="E43" i="21" s="1"/>
  <c r="F44" i="21"/>
  <c r="E44" i="21" s="1"/>
  <c r="F45" i="21"/>
  <c r="E45" i="21" s="1"/>
  <c r="F46" i="21" l="1"/>
  <c r="F38" i="36" l="1"/>
  <c r="F39" i="36"/>
  <c r="F40" i="36"/>
  <c r="F41" i="36"/>
  <c r="F42" i="36"/>
  <c r="F43" i="36"/>
  <c r="F44" i="36"/>
  <c r="F45" i="36"/>
  <c r="F46" i="36"/>
  <c r="F47" i="36"/>
  <c r="F48" i="36"/>
  <c r="F49" i="36"/>
  <c r="F50" i="36"/>
  <c r="F51" i="36"/>
  <c r="F52" i="36"/>
  <c r="F53" i="36"/>
  <c r="F54" i="36"/>
  <c r="F55" i="36"/>
  <c r="F56" i="36"/>
  <c r="E15" i="36"/>
  <c r="E16" i="36"/>
  <c r="E17" i="36"/>
  <c r="E18" i="36"/>
  <c r="E19" i="36"/>
  <c r="E20" i="36"/>
  <c r="E21" i="36"/>
  <c r="E22" i="36"/>
  <c r="E23" i="36"/>
  <c r="E24" i="36"/>
  <c r="E25" i="36"/>
  <c r="E26" i="36"/>
  <c r="E27" i="36"/>
  <c r="E28" i="36"/>
  <c r="E29" i="36"/>
  <c r="E30" i="36"/>
  <c r="E31" i="36"/>
  <c r="E32" i="36"/>
  <c r="E33" i="36"/>
  <c r="D15" i="36"/>
  <c r="D16" i="36"/>
  <c r="D17" i="36"/>
  <c r="D18" i="36"/>
  <c r="D19" i="36"/>
  <c r="D20" i="36"/>
  <c r="D21" i="36"/>
  <c r="D22" i="36"/>
  <c r="D23" i="36"/>
  <c r="D24" i="36"/>
  <c r="D25" i="36"/>
  <c r="D26" i="36"/>
  <c r="D27" i="36"/>
  <c r="D28" i="36"/>
  <c r="D29" i="36"/>
  <c r="D30" i="36"/>
  <c r="D31" i="36"/>
  <c r="D32" i="36"/>
  <c r="D33" i="36"/>
  <c r="C15" i="36"/>
  <c r="C16" i="36"/>
  <c r="C17" i="36"/>
  <c r="C18" i="36"/>
  <c r="C19" i="36"/>
  <c r="C20" i="36"/>
  <c r="C21" i="36"/>
  <c r="C22" i="36"/>
  <c r="C23" i="36"/>
  <c r="C24" i="36"/>
  <c r="C25" i="36"/>
  <c r="C26" i="36"/>
  <c r="C27" i="36"/>
  <c r="C28" i="36"/>
  <c r="C29" i="36"/>
  <c r="C30" i="36"/>
  <c r="C31" i="36"/>
  <c r="C32" i="36"/>
  <c r="C33" i="36"/>
  <c r="B15" i="36"/>
  <c r="B16" i="36"/>
  <c r="B17" i="36"/>
  <c r="B18" i="36"/>
  <c r="B19" i="36"/>
  <c r="B20" i="36"/>
  <c r="B21" i="36"/>
  <c r="B22" i="36"/>
  <c r="B23" i="36"/>
  <c r="B24" i="36"/>
  <c r="B25" i="36"/>
  <c r="B26" i="36"/>
  <c r="B27" i="36"/>
  <c r="B28" i="36"/>
  <c r="B29" i="36"/>
  <c r="B30" i="36"/>
  <c r="B31" i="36"/>
  <c r="B32" i="36"/>
  <c r="B33" i="36"/>
  <c r="B51" i="36"/>
  <c r="C51" i="36"/>
  <c r="D51" i="36"/>
  <c r="E51" i="36"/>
  <c r="B52" i="36"/>
  <c r="C52" i="36"/>
  <c r="D52" i="36"/>
  <c r="E52" i="36"/>
  <c r="B53" i="36"/>
  <c r="C53" i="36"/>
  <c r="D53" i="36"/>
  <c r="E53" i="36"/>
  <c r="B54" i="36"/>
  <c r="C54" i="36"/>
  <c r="D54" i="36"/>
  <c r="E54" i="36"/>
  <c r="B55" i="36"/>
  <c r="C55" i="36"/>
  <c r="D55" i="36"/>
  <c r="E55" i="36"/>
  <c r="F28" i="36"/>
  <c r="F29" i="36"/>
  <c r="F30" i="36"/>
  <c r="F31" i="36"/>
  <c r="F32" i="36"/>
  <c r="G27" i="36" l="1"/>
  <c r="H27" i="36" s="1"/>
  <c r="G25" i="36"/>
  <c r="G26" i="36"/>
  <c r="G23" i="36"/>
  <c r="G20" i="36"/>
  <c r="G24" i="36"/>
  <c r="G28" i="36"/>
  <c r="H28" i="36" s="1"/>
  <c r="G19" i="36"/>
  <c r="G22" i="36"/>
  <c r="G21" i="36"/>
  <c r="G33" i="36"/>
  <c r="H33" i="36" s="1"/>
  <c r="G31" i="36"/>
  <c r="H31" i="36" s="1"/>
  <c r="G54" i="36"/>
  <c r="H54" i="36" s="1"/>
  <c r="G17" i="36"/>
  <c r="G29" i="36"/>
  <c r="H29" i="36" s="1"/>
  <c r="G15" i="36"/>
  <c r="G32" i="36"/>
  <c r="H32" i="36" s="1"/>
  <c r="G30" i="36"/>
  <c r="H30" i="36" s="1"/>
  <c r="G18" i="36"/>
  <c r="G16" i="36"/>
  <c r="G53" i="36"/>
  <c r="H53" i="36" s="1"/>
  <c r="G52" i="36"/>
  <c r="H52" i="36" s="1"/>
  <c r="G55" i="36"/>
  <c r="H55" i="36" s="1"/>
  <c r="G51" i="36"/>
  <c r="H51" i="36" s="1"/>
  <c r="B15" i="24"/>
  <c r="E15" i="24"/>
  <c r="B2" i="24"/>
  <c r="Q14" i="21"/>
  <c r="I16" i="21"/>
  <c r="I17" i="21"/>
  <c r="I18" i="21"/>
  <c r="J35" i="21"/>
  <c r="I35" i="21" s="1"/>
  <c r="J36" i="21"/>
  <c r="I36" i="21" s="1"/>
  <c r="J37" i="21"/>
  <c r="I37" i="21" s="1"/>
  <c r="J38" i="21"/>
  <c r="I38" i="21" s="1"/>
  <c r="J39" i="21"/>
  <c r="I39" i="21" s="1"/>
  <c r="J40" i="21"/>
  <c r="I40" i="21" s="1"/>
  <c r="J41" i="21"/>
  <c r="I41" i="21" s="1"/>
  <c r="J42" i="21"/>
  <c r="I42" i="21" s="1"/>
  <c r="J43" i="21"/>
  <c r="I43" i="21" s="1"/>
  <c r="J44" i="21"/>
  <c r="I44" i="21" s="1"/>
  <c r="J45" i="21"/>
  <c r="I45" i="21" s="1"/>
  <c r="J19" i="21" l="1"/>
  <c r="I19" i="21"/>
  <c r="J46" i="21"/>
  <c r="I46" i="21"/>
  <c r="J47" i="21" l="1"/>
  <c r="J20" i="21"/>
  <c r="C7" i="36" l="1"/>
  <c r="E17" i="21"/>
  <c r="G16" i="21"/>
  <c r="I38" i="24"/>
  <c r="H38" i="24"/>
  <c r="G38" i="24"/>
  <c r="F38" i="24"/>
  <c r="E38" i="24"/>
  <c r="I15" i="24"/>
  <c r="H15" i="24"/>
  <c r="G15" i="24"/>
  <c r="F15" i="24"/>
  <c r="G17" i="21"/>
  <c r="K17" i="21"/>
  <c r="F14" i="36"/>
  <c r="F15" i="36"/>
  <c r="H15" i="36" s="1"/>
  <c r="F16" i="36"/>
  <c r="H16" i="36" s="1"/>
  <c r="F17" i="36"/>
  <c r="H17" i="36" s="1"/>
  <c r="F18" i="36"/>
  <c r="H18" i="36" s="1"/>
  <c r="F19" i="36"/>
  <c r="H19" i="36" s="1"/>
  <c r="F20" i="36"/>
  <c r="H20" i="36" s="1"/>
  <c r="F21" i="36"/>
  <c r="H21" i="36" s="1"/>
  <c r="F22" i="36"/>
  <c r="H22" i="36" s="1"/>
  <c r="F23" i="36"/>
  <c r="H23" i="36" s="1"/>
  <c r="F24" i="36"/>
  <c r="H24" i="36" s="1"/>
  <c r="F25" i="36"/>
  <c r="H25" i="36" s="1"/>
  <c r="F26" i="36"/>
  <c r="H26" i="36" s="1"/>
  <c r="F27" i="36"/>
  <c r="F33" i="36"/>
  <c r="C12" i="42"/>
  <c r="D37" i="36"/>
  <c r="E50" i="36"/>
  <c r="E56" i="36"/>
  <c r="E45" i="36"/>
  <c r="E46" i="36"/>
  <c r="E47" i="36"/>
  <c r="E48" i="36"/>
  <c r="E49" i="36"/>
  <c r="E38" i="36"/>
  <c r="E39" i="36"/>
  <c r="E40" i="36"/>
  <c r="E41" i="36"/>
  <c r="E42" i="36"/>
  <c r="E43" i="36"/>
  <c r="E44" i="36"/>
  <c r="E37" i="36"/>
  <c r="D50" i="36"/>
  <c r="D56" i="36"/>
  <c r="D45" i="36"/>
  <c r="D46" i="36"/>
  <c r="D47" i="36"/>
  <c r="D48" i="36"/>
  <c r="D49" i="36"/>
  <c r="D38" i="36"/>
  <c r="D39" i="36"/>
  <c r="D40" i="36"/>
  <c r="D41" i="36"/>
  <c r="D42" i="36"/>
  <c r="D43" i="36"/>
  <c r="D44" i="36"/>
  <c r="C50" i="36"/>
  <c r="C56" i="36"/>
  <c r="C45" i="36"/>
  <c r="C46" i="36"/>
  <c r="C47" i="36"/>
  <c r="C48" i="36"/>
  <c r="C49" i="36"/>
  <c r="C38" i="36"/>
  <c r="C39" i="36"/>
  <c r="C40" i="36"/>
  <c r="C41" i="36"/>
  <c r="C42" i="36"/>
  <c r="C43" i="36"/>
  <c r="C44" i="36"/>
  <c r="C37" i="36"/>
  <c r="B50" i="36"/>
  <c r="B56" i="36"/>
  <c r="B45" i="36"/>
  <c r="B46" i="36"/>
  <c r="B47" i="36"/>
  <c r="B48" i="36"/>
  <c r="B49" i="36"/>
  <c r="B38" i="36"/>
  <c r="B39" i="36"/>
  <c r="B40" i="36"/>
  <c r="B41" i="36"/>
  <c r="B42" i="36"/>
  <c r="B43" i="36"/>
  <c r="B44" i="36"/>
  <c r="B35" i="36"/>
  <c r="G40" i="36" l="1"/>
  <c r="H40" i="36" s="1"/>
  <c r="E16" i="21"/>
  <c r="G38" i="36"/>
  <c r="H38" i="36" s="1"/>
  <c r="G46" i="36"/>
  <c r="H46" i="36" s="1"/>
  <c r="G56" i="36"/>
  <c r="H56" i="36" s="1"/>
  <c r="G49" i="36"/>
  <c r="H49" i="36" s="1"/>
  <c r="G48" i="36"/>
  <c r="H48" i="36" s="1"/>
  <c r="G47" i="36"/>
  <c r="H47" i="36" s="1"/>
  <c r="G37" i="36"/>
  <c r="H37" i="36" s="1"/>
  <c r="G50" i="36"/>
  <c r="H50" i="36" s="1"/>
  <c r="G42" i="36"/>
  <c r="H42" i="36" s="1"/>
  <c r="G44" i="36"/>
  <c r="H44" i="36" s="1"/>
  <c r="G43" i="36"/>
  <c r="H43" i="36" s="1"/>
  <c r="G45" i="36"/>
  <c r="H45" i="36" s="1"/>
  <c r="G39" i="36"/>
  <c r="H39" i="36" s="1"/>
  <c r="G41" i="36"/>
  <c r="H41" i="36" s="1"/>
  <c r="L36" i="21" l="1"/>
  <c r="K36" i="21" s="1"/>
  <c r="L37" i="21"/>
  <c r="K37" i="21" s="1"/>
  <c r="L38" i="21"/>
  <c r="K38" i="21" s="1"/>
  <c r="L39" i="21"/>
  <c r="K39" i="21" s="1"/>
  <c r="L40" i="21"/>
  <c r="K40" i="21" s="1"/>
  <c r="L41" i="21"/>
  <c r="K41" i="21" s="1"/>
  <c r="L42" i="21"/>
  <c r="K42" i="21" s="1"/>
  <c r="L43" i="21"/>
  <c r="K43" i="21" s="1"/>
  <c r="L44" i="21"/>
  <c r="K44" i="21" s="1"/>
  <c r="L45" i="21"/>
  <c r="K45" i="21" s="1"/>
  <c r="L35" i="21"/>
  <c r="K35" i="21" s="1"/>
  <c r="H36" i="21"/>
  <c r="G36" i="21" s="1"/>
  <c r="H37" i="21"/>
  <c r="G37" i="21" s="1"/>
  <c r="H38" i="21"/>
  <c r="G38" i="21" s="1"/>
  <c r="H39" i="21"/>
  <c r="G39" i="21" s="1"/>
  <c r="H40" i="21"/>
  <c r="G40" i="21" s="1"/>
  <c r="H41" i="21"/>
  <c r="G41" i="21" s="1"/>
  <c r="H42" i="21"/>
  <c r="G42" i="21" s="1"/>
  <c r="H43" i="21"/>
  <c r="G43" i="21" s="1"/>
  <c r="H44" i="21"/>
  <c r="G44" i="21" s="1"/>
  <c r="H45" i="21"/>
  <c r="G45" i="21" s="1"/>
  <c r="H35" i="21"/>
  <c r="B38" i="24"/>
  <c r="M48" i="21"/>
  <c r="E13" i="42" l="1"/>
  <c r="M13" i="42"/>
  <c r="K13" i="42"/>
  <c r="I13" i="42"/>
  <c r="G13" i="42"/>
  <c r="G35" i="21"/>
  <c r="G46" i="21" s="1"/>
  <c r="E46" i="21"/>
  <c r="K46" i="21"/>
  <c r="H46" i="21"/>
  <c r="L46" i="21"/>
  <c r="F47" i="21" l="1"/>
  <c r="L47" i="21"/>
  <c r="H47" i="21"/>
  <c r="M47" i="21" l="1"/>
  <c r="B12" i="36" l="1"/>
  <c r="C9" i="42" l="1"/>
  <c r="K18" i="21"/>
  <c r="K16" i="21"/>
  <c r="G18" i="21" l="1"/>
  <c r="G19" i="21" s="1"/>
  <c r="K19" i="21"/>
  <c r="C6" i="36"/>
  <c r="C2" i="42" l="1"/>
  <c r="M21" i="21" l="1"/>
  <c r="C12" i="21" l="1"/>
  <c r="M10" i="42"/>
  <c r="K10" i="42"/>
  <c r="I10" i="42"/>
  <c r="G10" i="42"/>
  <c r="E10" i="42"/>
  <c r="E14" i="36"/>
  <c r="D14" i="36"/>
  <c r="C14" i="36"/>
  <c r="B14" i="36"/>
  <c r="B2" i="36"/>
  <c r="G14" i="36" l="1"/>
  <c r="H14" i="36" s="1"/>
  <c r="H5" i="36" s="1"/>
  <c r="E18" i="21"/>
  <c r="L19" i="21" l="1"/>
  <c r="F19" i="21"/>
  <c r="E19" i="21"/>
  <c r="F20" i="21" l="1"/>
  <c r="H19" i="21" l="1"/>
  <c r="L20" i="21"/>
  <c r="H20" i="21" l="1"/>
  <c r="M20" i="21" l="1"/>
  <c r="C11" i="2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1">
    <bk>
      <extLst>
        <ext uri="{3e2802c4-a4d2-4d8b-9148-e3be6c30e623}">
          <xlrd:rvb i="0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">
    <bk>
      <rc t="1" v="0"/>
    </bk>
  </valueMetadata>
</metadata>
</file>

<file path=xl/sharedStrings.xml><?xml version="1.0" encoding="utf-8"?>
<sst xmlns="http://schemas.openxmlformats.org/spreadsheetml/2006/main" count="349" uniqueCount="248">
  <si>
    <t>waarschuwing</t>
  </si>
  <si>
    <t>voldoet niet aan eisen per 1 jan 2028</t>
  </si>
  <si>
    <t>Fomulier Schoon- en Emissieloos Bouwen</t>
  </si>
  <si>
    <r>
      <rPr>
        <b/>
        <sz val="11"/>
        <rFont val="Calibri"/>
        <family val="2"/>
        <scheme val="minor"/>
      </rPr>
      <t xml:space="preserve">Instructie: </t>
    </r>
    <r>
      <rPr>
        <sz val="11"/>
        <rFont val="Calibri"/>
        <family val="2"/>
        <scheme val="minor"/>
      </rPr>
      <t>Gebruik dit formulier om het Gunningscriterium Schoon en Emissieloos Bouwen te beantwoorden.</t>
    </r>
  </si>
  <si>
    <r>
      <t>De inschrijver vult het '</t>
    </r>
    <r>
      <rPr>
        <b/>
        <sz val="11"/>
        <rFont val="Calibri"/>
        <family val="2"/>
        <scheme val="minor"/>
      </rPr>
      <t>materieelinzetplan</t>
    </r>
    <r>
      <rPr>
        <sz val="11"/>
        <rFont val="Calibri"/>
        <family val="2"/>
        <scheme val="minor"/>
      </rPr>
      <t>' in. Dat is het tweede tabblad van dit formulier.</t>
    </r>
  </si>
  <si>
    <r>
      <t xml:space="preserve">Aan de hand van deze ingevulde gegevens wordt hieronder </t>
    </r>
    <r>
      <rPr>
        <b/>
        <sz val="11"/>
        <rFont val="Calibri"/>
        <family val="2"/>
        <scheme val="minor"/>
      </rPr>
      <t xml:space="preserve">automatisch </t>
    </r>
    <r>
      <rPr>
        <sz val="11"/>
        <rFont val="Calibri"/>
        <family val="2"/>
        <scheme val="minor"/>
      </rPr>
      <t xml:space="preserve">de fictieve meerwaarde berekend. </t>
    </r>
  </si>
  <si>
    <r>
      <rPr>
        <b/>
        <sz val="11"/>
        <rFont val="Calibri"/>
        <family val="2"/>
        <scheme val="minor"/>
      </rPr>
      <t xml:space="preserve">Let op! </t>
    </r>
    <r>
      <rPr>
        <sz val="11"/>
        <rFont val="Calibri"/>
        <family val="2"/>
        <scheme val="minor"/>
      </rPr>
      <t>Het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Excel-tabblad genaamd 'gunningscriterium' mag door de inschrijver niet worden aangepast.</t>
    </r>
  </si>
  <si>
    <t>Totale fictieve meerwaarde</t>
  </si>
  <si>
    <t>behaald</t>
  </si>
  <si>
    <t>maximum</t>
  </si>
  <si>
    <t>datum</t>
  </si>
  <si>
    <t>WERKTUIGEN</t>
  </si>
  <si>
    <t>vanaf</t>
  </si>
  <si>
    <t>EISEN</t>
  </si>
  <si>
    <t>motor</t>
  </si>
  <si>
    <t>energiedrager</t>
  </si>
  <si>
    <t>weegfactor</t>
  </si>
  <si>
    <t xml:space="preserve">waardering </t>
  </si>
  <si>
    <t>ureninzet</t>
  </si>
  <si>
    <t>totaal</t>
  </si>
  <si>
    <t>per ingang van:</t>
  </si>
  <si>
    <t>elektromotor</t>
  </si>
  <si>
    <t>groene stroom</t>
  </si>
  <si>
    <t>emissieloos</t>
  </si>
  <si>
    <t>groene waterstof</t>
  </si>
  <si>
    <t>stage V motor</t>
  </si>
  <si>
    <t>biodiesel (HVO 100)</t>
  </si>
  <si>
    <t>stage V motor + biodiesel (HVO 100)</t>
  </si>
  <si>
    <t>behaalde fictieve meerwaarde</t>
  </si>
  <si>
    <t>maximaal te behalen fictieve meerwaarde</t>
  </si>
  <si>
    <t>Buiten de zero-emissiezone</t>
  </si>
  <si>
    <t>Emissieklasse 6 motor + biodiesel (HVO 100)</t>
  </si>
  <si>
    <t>Binnen de zero-emissiezone</t>
  </si>
  <si>
    <t>Euro 6 motor + biodiesel (HVO 100)</t>
  </si>
  <si>
    <t>plug-in hybride</t>
  </si>
  <si>
    <t>groen gas (BNG/LBG)</t>
  </si>
  <si>
    <t>aardgas (CNG/LNG)</t>
  </si>
  <si>
    <t>hybride</t>
  </si>
  <si>
    <t>verbrandingsmotor</t>
  </si>
  <si>
    <t>GEREEDSCHAPPEN</t>
  </si>
  <si>
    <t>Handgereedschappen</t>
  </si>
  <si>
    <t>Aggregraten*</t>
  </si>
  <si>
    <t>Bronbemaling</t>
  </si>
  <si>
    <t xml:space="preserve">* Het opwekken van elektriciteit ten behoeve van materieelstukken mag niet gebeuren middels brandstof aggregaten (uitgezonderd deze op groene waterstof en hydrozine/mierenzuur) noch op de opdrachtlocatie noch op de bedrijfslocatie. </t>
  </si>
  <si>
    <t>Materieelinzetplan</t>
  </si>
  <si>
    <r>
      <rPr>
        <b/>
        <sz val="11"/>
        <color theme="1"/>
        <rFont val="Calibri"/>
        <family val="2"/>
        <scheme val="minor"/>
      </rPr>
      <t>Instructie</t>
    </r>
    <r>
      <rPr>
        <sz val="11"/>
        <color theme="1"/>
        <rFont val="Calibri"/>
        <family val="2"/>
        <scheme val="minor"/>
      </rPr>
      <t>: Vul hieronder de gegevens in van alle materieelstukken die tijdens de opdracht wordt gebruikt, inclusief materieel van onderaannemers.</t>
    </r>
  </si>
  <si>
    <t xml:space="preserve">Kies een materieelstuk: Ga naar het veld ‘Omschrijving materieelstuk’ en selecteer een optie uit de keuzelijst. Staat jouw materieelstuk niet in de lijst? </t>
  </si>
  <si>
    <t xml:space="preserve">Voer het handmatig in. Dit is belangrijk, want ook handmatig ingevoerde materieelstukken tellen mee voor het gunningscriterium. Zo werkt handmatig invoeren: </t>
  </si>
  <si>
    <t>Typ de naam van het materieelstuk in. Druk op Enter. Er verschijnt een venster: klik op ‘Ja’ om te bevestigen. Het materieelstuk is nu toegevoegd aan de tabel.</t>
  </si>
  <si>
    <r>
      <rPr>
        <b/>
        <sz val="11"/>
        <rFont val="Calibri"/>
        <family val="2"/>
        <scheme val="minor"/>
      </rPr>
      <t xml:space="preserve">Let op! </t>
    </r>
    <r>
      <rPr>
        <sz val="11"/>
        <rFont val="Calibri"/>
        <family val="2"/>
        <scheme val="minor"/>
      </rPr>
      <t>Naast de tabel verschijnt een waarschuwing als een materieelstuk binnenkort niet meer aan de eisen voldoet. Laat de witte velden hiervoor leeg (niet invullen).</t>
    </r>
  </si>
  <si>
    <t>Alle gegevens moeten volledig en correct zijn bij inschrijving.</t>
  </si>
  <si>
    <t>Naam inschrijver</t>
  </si>
  <si>
    <t>Datum inschrijving</t>
  </si>
  <si>
    <t>omschrijving materieelstuk</t>
  </si>
  <si>
    <t>vermogensklasse (kW)</t>
  </si>
  <si>
    <t>belofte uren inzet</t>
  </si>
  <si>
    <t>vermogensklasse</t>
  </si>
  <si>
    <t>subsidie per dag</t>
  </si>
  <si>
    <t>ieniminie</t>
  </si>
  <si>
    <t>tot 8 kW</t>
  </si>
  <si>
    <t>tot 20 kW</t>
  </si>
  <si>
    <t>Subsidie SPUK SEB</t>
  </si>
  <si>
    <t>mini</t>
  </si>
  <si>
    <t>van 8 tot 19 kW</t>
  </si>
  <si>
    <t>van 20 tot 50 kW</t>
  </si>
  <si>
    <t>Instructie</t>
  </si>
  <si>
    <t xml:space="preserve">Vernieuw de filter in de cel 'Krijgen we subsidie?' </t>
  </si>
  <si>
    <t>Standaard bedrag</t>
  </si>
  <si>
    <t>klein</t>
  </si>
  <si>
    <t>van 19 tot 56 kW</t>
  </si>
  <si>
    <t>van 50 tot 150 kW</t>
  </si>
  <si>
    <t>Schatting subsidiebedrag</t>
  </si>
  <si>
    <t>middelgroot</t>
  </si>
  <si>
    <t>van 56 tot 130 kW</t>
  </si>
  <si>
    <t>van 150 tot 225 kW</t>
  </si>
  <si>
    <t>Inschrijver</t>
  </si>
  <si>
    <t>groot</t>
  </si>
  <si>
    <t>van 130 tot 300 kW</t>
  </si>
  <si>
    <t>van 225 tot 350 kW</t>
  </si>
  <si>
    <t>zeer groot</t>
  </si>
  <si>
    <t xml:space="preserve">vanaf 300 kW </t>
  </si>
  <si>
    <t>van 350 tot 600 kW</t>
  </si>
  <si>
    <t>vanaf 600 kW</t>
  </si>
  <si>
    <t>inzetdagen 
(min. 2 uur)</t>
  </si>
  <si>
    <t>Krijgen we subsidie?</t>
  </si>
  <si>
    <t>schatting subsidiebedrag</t>
  </si>
  <si>
    <t>A2.14 mobiele waterstof tankvoorziening</t>
  </si>
  <si>
    <t>Beoordeling Schoon- en Emissieloos Bouwen</t>
  </si>
  <si>
    <t>aantal inschrijvers</t>
  </si>
  <si>
    <t>inschrijver 1</t>
  </si>
  <si>
    <t>inschrijver 2</t>
  </si>
  <si>
    <t>inschrijver 3</t>
  </si>
  <si>
    <t>inschrijver 4</t>
  </si>
  <si>
    <t>inschrijver 5</t>
  </si>
  <si>
    <t>ingevuld door</t>
  </si>
  <si>
    <t>[ bedrijfsnaam ]</t>
  </si>
  <si>
    <t>fictieve meerwaarde</t>
  </si>
  <si>
    <t>opmerking(en) voor publicatie</t>
  </si>
  <si>
    <t>handtekening</t>
  </si>
  <si>
    <r>
      <t>RVO Machinelijst SpUk SEB</t>
    </r>
    <r>
      <rPr>
        <sz val="18"/>
        <rFont val="Calibri"/>
        <family val="2"/>
        <scheme val="minor"/>
      </rPr>
      <t xml:space="preserve"> versie november 2025</t>
    </r>
  </si>
  <si>
    <t>A. Werktuigen</t>
  </si>
  <si>
    <t>A1. Mobiele machines</t>
  </si>
  <si>
    <t>A1.1 asfaltzaag, betonzagen (rijdend)</t>
  </si>
  <si>
    <t>A1.2 asfaltspreidmachine, asfaltwerkmachine</t>
  </si>
  <si>
    <t>A1.3 asfaltvoorlader</t>
  </si>
  <si>
    <t>A1.4 ballastafwerkmachine</t>
  </si>
  <si>
    <t>A1.5 bestratingsmachine (zelfrijdend)</t>
  </si>
  <si>
    <t>A1.6 beton- of mortelmachine, paver, mobiele 3D-printer</t>
  </si>
  <si>
    <t>A1.7 beton- of bentonietpomp (standalone)</t>
  </si>
  <si>
    <t>A1.8 bodemstabiliseerder</t>
  </si>
  <si>
    <t>A1.9 bulldozer</t>
  </si>
  <si>
    <t>A1.10 emulsiespuitwagen</t>
  </si>
  <si>
    <t>A1.11 freesmachine voor asfalt of beton</t>
  </si>
  <si>
    <t>A1.12 mobiele meetapparatuur voor de bouw (zoals sondeermachine, sondeertruck, sondeerrups, valgewicht)</t>
  </si>
  <si>
    <t>A1.15 gietasfaltketel</t>
  </si>
  <si>
    <t>A1.16 graaflaadcombinatie</t>
  </si>
  <si>
    <t>A1.17 grader, wegschaaf</t>
  </si>
  <si>
    <t>A1.18 funderingsmachine (gemotoriseerd materieel): heimachine, (damwand) drukmachine, trilstelling, vibrostelling</t>
  </si>
  <si>
    <t>A1.19 hoogwerker (zelfrijdend of getrokken) vanaf 56 kW</t>
  </si>
  <si>
    <t>A1.20 kabeltreklier</t>
  </si>
  <si>
    <t>A1.21 mobiele boorinstallatie, grondboormachine, mobiele (anker) boorinstallatie, grondboormachine, gestuurde boring machine, boorrups</t>
  </si>
  <si>
    <t>A1.22 mobiele compressor</t>
  </si>
  <si>
    <t>A1.23 mobiele graafmachine (niet zijnde 'overslagmachine')</t>
  </si>
  <si>
    <t>A1.24 mobiele kraan (telescoopkraan, torenkraan, rupshijskraan, ruwterreinkraan, draadkraan, minihijskraan, dragline-kraan)</t>
  </si>
  <si>
    <t>A1.25 mobiele lopende band (transportband), zelf aangedreven mobiel modulair transportsysteem</t>
  </si>
  <si>
    <t>A1.26 mobiele puinbreekinstallatie</t>
  </si>
  <si>
    <t>A1.27 mobiele zeefinstallatie, grondzeef</t>
  </si>
  <si>
    <t>A1.28 mobiele overslagmachine, rupsoverslagmachine, overslagkraan (niet zijnde statisch en bekabeld elektrisch)</t>
  </si>
  <si>
    <t>A1.29 rupsdumper</t>
  </si>
  <si>
    <t>A1.30 rupsgraafmachine</t>
  </si>
  <si>
    <t>A1.31 ruw terrein heftruck 4x4 aangedreven</t>
  </si>
  <si>
    <t>A1.32 schranklader</t>
  </si>
  <si>
    <t>A1.33 shovel, laadschop, wiellader op banden of rups</t>
  </si>
  <si>
    <t>A1.34 shuttle buggy</t>
  </si>
  <si>
    <t>A1.35 sleepgraver, dragline</t>
  </si>
  <si>
    <t>A1.36 sloopkraan</t>
  </si>
  <si>
    <t>A1.37 teer- of asfaltsproeier</t>
  </si>
  <si>
    <t>A1.38 tractor of vergelijkbaar multifunctioneel bouwwerktuig, met motorvermogen vanaf 19 kW</t>
  </si>
  <si>
    <t>A1.39 veegmachine met motorvermogen vanaf 56 kW</t>
  </si>
  <si>
    <t>A1.40 verreiker (star of roterend)</t>
  </si>
  <si>
    <t>A1.41 vlindermachine (uitsluitend ride-on)</t>
  </si>
  <si>
    <t>A1.42 wals (klein, knik-, rol-, banden-, grond-)</t>
  </si>
  <si>
    <t>A1.43 waterwagen bij asfalt en freeswerkzaamheden</t>
  </si>
  <si>
    <t>A1.44 (weg)markeringsmachine</t>
  </si>
  <si>
    <t>A1.45 wieldumper</t>
  </si>
  <si>
    <t>A1.46 boomverplantingsmachine</t>
  </si>
  <si>
    <t>A1.47 mobiele wasinstallatie op een bouwlocatie</t>
  </si>
  <si>
    <t>Cirkelmaaier</t>
  </si>
  <si>
    <t>Kooimaaier</t>
  </si>
  <si>
    <t xml:space="preserve">Kraan CLT (Cross-Laminated Timber) </t>
  </si>
  <si>
    <t>Kraan HSB (Houtskeletbouw)</t>
  </si>
  <si>
    <t>Mobiele gietmortelcentrale</t>
  </si>
  <si>
    <t xml:space="preserve">Pannenlift </t>
  </si>
  <si>
    <t>Stobbenfrees</t>
  </si>
  <si>
    <t>Tandheugellift</t>
  </si>
  <si>
    <t>Versnipperraar</t>
  </si>
  <si>
    <t>A2. Vervoerbare industriële uitrustingen</t>
  </si>
  <si>
    <t>A2.3 aggregaat op waterstof of waterstofdragers voor off-grid stroomvoorziening</t>
  </si>
  <si>
    <t>A2.5 lasaggregaat</t>
  </si>
  <si>
    <t>A2.6 lichtmastaggregaat of lichtmast (zelf aangedreven)</t>
  </si>
  <si>
    <t>A2.8 trilplaat / trilblok / stamper</t>
  </si>
  <si>
    <t>A2.9 mobiele (vuil)-waterpomp</t>
  </si>
  <si>
    <t>A2.10 pompen voor baggeren (DOP-pomp, jetpomp, booster-baggerstation)</t>
  </si>
  <si>
    <t xml:space="preserve">A2.12 vliegwiel als vermogensvoorziening </t>
  </si>
  <si>
    <t>A2. Vervoerbare industriële uitrustingen (aggregaten, batterijpakketten, DC-laadstations)</t>
  </si>
  <si>
    <t>A2.2 aggregaat op wind- of zonne-energie voor off-grid stroomvoorziening</t>
  </si>
  <si>
    <t>A2.4 hydraulisch aggregaat</t>
  </si>
  <si>
    <t>A2.7 batterijpakket voor off-grid stroomvoorziening vanaf 50 kWh op een bouwlocatie of behorende bij een bouwwerktuig</t>
  </si>
  <si>
    <t>A2.13 laadstation vanaf 20 kW</t>
  </si>
  <si>
    <t>B. Hulpfuncties</t>
  </si>
  <si>
    <t>B1. elektrische aandrijfmotor met een brandstofcel of een niet-loodhoudend batterijpakket voor aandrijving van de opbouw van een voertuig, oplegger of spoorvoertuig (inclusief vrachtautorailvoertuig), zijnde een:</t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</si>
  <si>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B1.1 autolaadkraan</t>
    </r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</si>
  <si>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B1.2 betonmixer</t>
    </r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</si>
  <si>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B1.3 betonpomp</t>
    </r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</si>
  <si>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B1.4 binnenlader</t>
    </r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</si>
  <si>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B1.5 boor</t>
    </r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</si>
  <si>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B1.6 front-end cylinder</t>
    </r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</si>
  <si>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B1.7 haakarm</t>
    </r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</si>
  <si>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B1.8 kabelsysteem</t>
    </r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</si>
  <si>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B1.9 kettingsysteem</t>
    </r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</si>
  <si>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B1.10 onderwaartse cylinder</t>
    </r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</si>
  <si>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B1.11 portaalarmsysteem</t>
    </r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</si>
  <si>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B1.12 mobiele kraan (zoals telescoopkraan, torenkraan, rupshijskraan, ruwterreinkraan, draadkraan, minihijskraan)</t>
    </r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</si>
  <si>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B1.13 hoogwerker vanaf 46 kW</t>
    </r>
  </si>
  <si>
    <r>
      <rPr>
        <sz val="11"/>
        <color theme="8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B1.14 blaas- en zuigsysteem voor zand, grind en schelpen</t>
    </r>
  </si>
  <si>
    <t>B3. elektrische aandrijfmotor met een brandstofcel of een niet loodhoudend batterijpakket voor aandrijving van hulpfunctie op een vaartuig, niet de voortstuwing, zijnde een:</t>
  </si>
  <si>
    <t>B3.1 grondpers</t>
  </si>
  <si>
    <t>B3.2 hei-installatie op een heischip</t>
  </si>
  <si>
    <t>B3.3 kraan</t>
  </si>
  <si>
    <t>C1. Lichte bedrijfsauto's (N1)</t>
  </si>
  <si>
    <t>Bedrijfsauto tot 3.500kg</t>
  </si>
  <si>
    <t>C. Transportmiddelen (N2 en N3)</t>
  </si>
  <si>
    <t>C1. betonmixer (carrosseriecode 15)</t>
  </si>
  <si>
    <t>C2. betonpompvoertuig (carrosseriecode 16)</t>
  </si>
  <si>
    <t>C3. boorwagen (carrosseriecode 28)</t>
  </si>
  <si>
    <t>C4. hoogwerker (carrosseriecode 27)</t>
  </si>
  <si>
    <r>
      <t xml:space="preserve">C5. </t>
    </r>
    <r>
      <rPr>
        <sz val="11"/>
        <color theme="8"/>
        <rFont val="Calibri"/>
        <family val="2"/>
        <scheme val="minor"/>
      </rPr>
      <t>(asfalt)</t>
    </r>
    <r>
      <rPr>
        <sz val="11"/>
        <color theme="1"/>
        <rFont val="Calibri"/>
        <family val="2"/>
        <scheme val="minor"/>
      </rPr>
      <t>kieptruck (carrosseriecode 10)</t>
    </r>
  </si>
  <si>
    <t>C6. kraanwagen (carrosseriecode 26 of aanduiding SF)</t>
  </si>
  <si>
    <t>C7. voertuig met haakarm (carrosseriecode 9)</t>
  </si>
  <si>
    <t>C8. overige vrachtwagens ingezet voor bouwwerkzaamheden</t>
  </si>
  <si>
    <t>Opleggertrekker</t>
  </si>
  <si>
    <t>Straatveegwagen (carrosseriecode 19)</t>
  </si>
  <si>
    <t>Kolkenzuiger (carrosseriecode 19)</t>
  </si>
  <si>
    <t>Stapelaar</t>
  </si>
  <si>
    <t xml:space="preserve">https://www.opwegnaarzes.nl/media/pages/gemeente/kennisbank/literatuur-en-onderzoek/565ac81af6-1728976470/rapportage_bijzondere_voertuigen.pdf </t>
  </si>
  <si>
    <t>Voorbeelden:</t>
  </si>
  <si>
    <t>Hiervoor gelden de eisen zoals hiernaast is weergegeven.</t>
  </si>
  <si>
    <t>Het onderdeel 'gereedschappen' wordt niet meegewogen in het gunningscriterium.</t>
  </si>
  <si>
    <t xml:space="preserve">Grondzuigwagen </t>
  </si>
  <si>
    <t>Dit onderdeel wordt niet meegewogen in het gunningscriterium.</t>
  </si>
  <si>
    <t>N1 TRANSPORTMIDDELEN (tot 3.500kg)</t>
  </si>
  <si>
    <t>N2 en N3 TRANSPORTMIDDELEN (vanaf 3.500kg)</t>
  </si>
  <si>
    <t>CPV-code</t>
  </si>
  <si>
    <t>groslijst</t>
  </si>
  <si>
    <t>groslijsten</t>
  </si>
  <si>
    <t>001 Groot onderhoud asfalt </t>
  </si>
  <si>
    <t>002 Groot grond verzet </t>
  </si>
  <si>
    <t>003 Herinrichting asfaltverharding / Woonrijp maken / reconstructies </t>
  </si>
  <si>
    <t>004 Herinrichting elementverharding / Woonrijp maken / reconstructies </t>
  </si>
  <si>
    <t>005 Herinrichting / herstrating / Woonrijp maken </t>
  </si>
  <si>
    <t>006 Onderhoud kunstwerken</t>
  </si>
  <si>
    <t>007 Cultuurtechniek</t>
  </si>
  <si>
    <t>015 Sloopwerkzaamheden</t>
  </si>
  <si>
    <t>019 Realisatie en onderhoud Kunstgrassportvelden</t>
  </si>
  <si>
    <t>101 Verkeersmaatregelen</t>
  </si>
  <si>
    <t>102 Beeldinspecties</t>
  </si>
  <si>
    <t>103 Verkennend bodemonderzoek</t>
  </si>
  <si>
    <t>104 Combinatie bodemonderzoek</t>
  </si>
  <si>
    <t>108 Verkeersbeheersing</t>
  </si>
  <si>
    <t>111 Speel- en sporttoestellen</t>
  </si>
  <si>
    <t>Geen groslijst</t>
  </si>
  <si>
    <t>Ranking tijdens aanbesteding</t>
  </si>
  <si>
    <t>Bedrag raming</t>
  </si>
  <si>
    <t>Bedrag inschrijving</t>
  </si>
  <si>
    <r>
      <rPr>
        <b/>
        <sz val="11"/>
        <color rgb="FF000000"/>
        <rFont val="Calibri"/>
        <family val="2"/>
        <scheme val="minor"/>
      </rPr>
      <t>aanvullende eisen zero-emissiezone:</t>
    </r>
    <r>
      <rPr>
        <sz val="11"/>
        <color rgb="FF000000"/>
        <rFont val="Calibri"/>
        <family val="2"/>
        <scheme val="minor"/>
      </rPr>
      <t xml:space="preserve">
Datum Eerste Toelating na 
1-1-2025: emissieloos.</t>
    </r>
  </si>
  <si>
    <r>
      <rPr>
        <b/>
        <sz val="11"/>
        <color rgb="FF000000"/>
        <rFont val="Calibri"/>
        <family val="2"/>
        <scheme val="minor"/>
      </rPr>
      <t>aanvullende eisen zero-emissiezone:</t>
    </r>
    <r>
      <rPr>
        <sz val="11"/>
        <color rgb="FF000000"/>
        <rFont val="Calibri"/>
        <family val="2"/>
        <scheme val="minor"/>
      </rPr>
      <t xml:space="preserve">
Datum Eerste Toelating: minimaal na 1-1-2017.
Bakwagens Datum Eerste Toelating: minimaal na 1-1-2020.
Bij Datum Eerste Toelating na 1-1-2025: emissieloos.</t>
    </r>
  </si>
  <si>
    <r>
      <rPr>
        <b/>
        <sz val="11"/>
        <rFont val="Calibri"/>
        <family val="2"/>
        <scheme val="minor"/>
      </rPr>
      <t>aanvullende eisen zero-emissiezone:</t>
    </r>
    <r>
      <rPr>
        <sz val="11"/>
        <rFont val="Calibri"/>
        <family val="2"/>
        <scheme val="minor"/>
      </rPr>
      <t xml:space="preserve">
Datum Eerste Toelating: minimaal na 1-1-2017.
Bij Datum Eerste Toelating na 1-1-2025: emissieloos.</t>
    </r>
  </si>
  <si>
    <t>geen toegang tot zero-emissiezone per 1 jan 2030</t>
  </si>
  <si>
    <t>voldoet NIET aan de eisen, pas aan.</t>
  </si>
  <si>
    <t>LET OP: Werktuigen die hier niet zijn opgegeven mogen ook niet worden ingezet op het werk. Ook als u hiervoor geen fictieve meerwaarde krijgt.</t>
  </si>
  <si>
    <t>waarschuwingen</t>
  </si>
  <si>
    <t>voldoet aan eisen, maar telt niet mee voor fictieve meerwaarde per 1 jan 2027</t>
  </si>
  <si>
    <t>voldoet aan eisen, maar telt niet mee voor fictieve meerwaarde per 1 jan 2028</t>
  </si>
  <si>
    <t>AGGREGAAT OF BATTERIJPAKKET</t>
  </si>
  <si>
    <t>LAADSTATION</t>
  </si>
  <si>
    <t>GEGEVENSLIJSTEN</t>
  </si>
  <si>
    <t>maximale fictieve meerwaarde</t>
  </si>
  <si>
    <t>Bestrijding geelpoothoornaar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</si>
</sst>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€&quot;* #,##0.00_);_(&quot;€&quot;* \(#,##0.00\);_(&quot;€&quot;* &quot;-&quot;??_);_(@_)"/>
    <numFmt numFmtId="165" formatCode="_ &quot;€&quot;\ * #,##0_ ;_ &quot;€&quot;\ * \-#,##0_ ;_ &quot;€&quot;\ * &quot;-&quot;??_ ;_ @_ "/>
    <numFmt numFmtId="166" formatCode="_ [$€-413]\ * #,##0.00_ ;_ [$€-413]\ * \-#,##0.00_ ;_ [$€-413]\ * &quot;-&quot;??_ ;_ @_ "/>
    <numFmt numFmtId="167" formatCode="_(&quot;€&quot;* #,##0_);_(&quot;€&quot;* \(#,##0\);_(&quot;€&quot;* &quot;-&quot;??_);_(@_)"/>
    <numFmt numFmtId="168" formatCode="#,##0.0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"/>
    </font>
    <font>
      <sz val="11"/>
      <color theme="0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4"/>
      <color theme="8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 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007AC6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</font>
    <font>
      <i/>
      <sz val="9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4"/>
      <color theme="0" tint="-0.499984740745262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0"/>
    <xf numFmtId="164" fontId="1" fillId="0" borderId="0" applyFont="0" applyFill="0" applyBorder="0" applyAlignment="0" applyProtection="0"/>
    <xf numFmtId="0" fontId="47" fillId="0" borderId="0" applyNumberFormat="0" applyFill="0" applyBorder="0" applyAlignment="0" applyProtection="0"/>
  </cellStyleXfs>
  <cellXfs count="423">
    <xf numFmtId="0" fontId="0" fillId="0" borderId="0" xfId="0"/>
    <xf numFmtId="0" fontId="9" fillId="0" borderId="0" xfId="0" applyFont="1"/>
    <xf numFmtId="0" fontId="10" fillId="0" borderId="0" xfId="0" applyFont="1"/>
    <xf numFmtId="0" fontId="5" fillId="0" borderId="0" xfId="0" applyFont="1"/>
    <xf numFmtId="165" fontId="11" fillId="0" borderId="0" xfId="1" applyNumberFormat="1" applyFont="1" applyBorder="1" applyAlignment="1" applyProtection="1">
      <alignment horizontal="center" vertical="center"/>
    </xf>
    <xf numFmtId="0" fontId="12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165" fontId="5" fillId="0" borderId="32" xfId="1" applyNumberFormat="1" applyFont="1" applyBorder="1" applyProtection="1"/>
    <xf numFmtId="165" fontId="5" fillId="0" borderId="20" xfId="1" applyNumberFormat="1" applyFont="1" applyBorder="1" applyProtection="1"/>
    <xf numFmtId="0" fontId="5" fillId="0" borderId="30" xfId="0" applyFont="1" applyBorder="1"/>
    <xf numFmtId="165" fontId="5" fillId="0" borderId="34" xfId="1" applyNumberFormat="1" applyFont="1" applyBorder="1" applyProtection="1"/>
    <xf numFmtId="165" fontId="5" fillId="0" borderId="35" xfId="1" applyNumberFormat="1" applyFont="1" applyBorder="1" applyProtection="1"/>
    <xf numFmtId="164" fontId="16" fillId="5" borderId="0" xfId="1" applyFont="1" applyFill="1" applyBorder="1" applyAlignment="1" applyProtection="1">
      <alignment horizontal="right" vertical="center"/>
    </xf>
    <xf numFmtId="164" fontId="25" fillId="5" borderId="0" xfId="1" applyFont="1" applyFill="1" applyBorder="1" applyAlignment="1" applyProtection="1">
      <alignment horizontal="right" vertical="center"/>
    </xf>
    <xf numFmtId="0" fontId="10" fillId="4" borderId="48" xfId="0" applyFont="1" applyFill="1" applyBorder="1" applyAlignment="1" applyProtection="1">
      <alignment horizontal="center" vertical="center"/>
      <protection locked="0"/>
    </xf>
    <xf numFmtId="164" fontId="16" fillId="4" borderId="8" xfId="1" applyFont="1" applyFill="1" applyBorder="1" applyAlignment="1" applyProtection="1">
      <alignment horizontal="right" vertical="center"/>
      <protection locked="0"/>
    </xf>
    <xf numFmtId="0" fontId="26" fillId="4" borderId="0" xfId="0" applyFont="1" applyFill="1" applyAlignment="1" applyProtection="1">
      <alignment horizontal="left"/>
      <protection locked="0"/>
    </xf>
    <xf numFmtId="14" fontId="26" fillId="4" borderId="0" xfId="0" applyNumberFormat="1" applyFont="1" applyFill="1" applyAlignment="1" applyProtection="1">
      <alignment horizontal="left"/>
      <protection locked="0"/>
    </xf>
    <xf numFmtId="0" fontId="3" fillId="0" borderId="0" xfId="0" applyFont="1" applyAlignment="1">
      <alignment vertical="center"/>
    </xf>
    <xf numFmtId="165" fontId="11" fillId="5" borderId="0" xfId="1" applyNumberFormat="1" applyFont="1" applyFill="1" applyBorder="1" applyAlignment="1" applyProtection="1">
      <alignment horizontal="center" vertical="center"/>
    </xf>
    <xf numFmtId="0" fontId="30" fillId="0" borderId="0" xfId="4" applyFont="1" applyAlignment="1">
      <alignment vertical="center"/>
    </xf>
    <xf numFmtId="0" fontId="16" fillId="0" borderId="22" xfId="1" applyNumberFormat="1" applyFont="1" applyFill="1" applyBorder="1" applyAlignment="1" applyProtection="1">
      <alignment horizontal="left" vertical="top"/>
    </xf>
    <xf numFmtId="0" fontId="16" fillId="0" borderId="8" xfId="1" applyNumberFormat="1" applyFont="1" applyFill="1" applyBorder="1" applyAlignment="1" applyProtection="1">
      <alignment horizontal="left" vertical="top"/>
    </xf>
    <xf numFmtId="0" fontId="16" fillId="0" borderId="24" xfId="1" applyNumberFormat="1" applyFont="1" applyFill="1" applyBorder="1" applyAlignment="1" applyProtection="1">
      <alignment horizontal="left" vertical="top"/>
    </xf>
    <xf numFmtId="0" fontId="1" fillId="0" borderId="0" xfId="0" applyFont="1" applyAlignment="1">
      <alignment vertical="center"/>
    </xf>
    <xf numFmtId="0" fontId="33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12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4" applyFont="1" applyAlignment="1">
      <alignment vertical="center"/>
    </xf>
    <xf numFmtId="166" fontId="5" fillId="5" borderId="32" xfId="1" applyNumberFormat="1" applyFont="1" applyFill="1" applyBorder="1" applyAlignment="1" applyProtection="1">
      <alignment horizontal="right" vertical="center"/>
    </xf>
    <xf numFmtId="166" fontId="5" fillId="5" borderId="52" xfId="1" applyNumberFormat="1" applyFont="1" applyFill="1" applyBorder="1" applyAlignment="1" applyProtection="1">
      <alignment horizontal="right" vertical="center"/>
    </xf>
    <xf numFmtId="164" fontId="5" fillId="5" borderId="0" xfId="1" applyFont="1" applyFill="1" applyAlignment="1" applyProtection="1">
      <alignment vertical="center"/>
    </xf>
    <xf numFmtId="166" fontId="19" fillId="5" borderId="0" xfId="1" applyNumberFormat="1" applyFont="1" applyFill="1" applyBorder="1" applyAlignment="1" applyProtection="1">
      <alignment horizontal="right" vertical="center"/>
    </xf>
    <xf numFmtId="166" fontId="14" fillId="5" borderId="0" xfId="1" applyNumberFormat="1" applyFont="1" applyFill="1" applyBorder="1" applyAlignment="1" applyProtection="1">
      <alignment horizontal="right" vertical="center"/>
    </xf>
    <xf numFmtId="0" fontId="6" fillId="4" borderId="0" xfId="0" applyFont="1" applyFill="1" applyAlignment="1" applyProtection="1">
      <alignment horizontal="left" vertical="top" wrapText="1"/>
      <protection locked="0"/>
    </xf>
    <xf numFmtId="167" fontId="16" fillId="0" borderId="33" xfId="1" applyNumberFormat="1" applyFont="1" applyFill="1" applyBorder="1" applyAlignment="1" applyProtection="1">
      <alignment horizontal="left" vertical="top"/>
    </xf>
    <xf numFmtId="167" fontId="16" fillId="0" borderId="20" xfId="1" applyNumberFormat="1" applyFont="1" applyFill="1" applyBorder="1" applyAlignment="1" applyProtection="1">
      <alignment horizontal="left" vertical="top"/>
    </xf>
    <xf numFmtId="167" fontId="16" fillId="0" borderId="35" xfId="1" applyNumberFormat="1" applyFont="1" applyFill="1" applyBorder="1" applyAlignment="1" applyProtection="1">
      <alignment horizontal="left" vertical="top"/>
    </xf>
    <xf numFmtId="0" fontId="5" fillId="0" borderId="59" xfId="0" applyFont="1" applyBorder="1"/>
    <xf numFmtId="0" fontId="5" fillId="0" borderId="66" xfId="0" applyFont="1" applyBorder="1"/>
    <xf numFmtId="0" fontId="5" fillId="0" borderId="40" xfId="0" applyFont="1" applyBorder="1"/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10" fillId="5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0" fillId="5" borderId="0" xfId="0" applyFill="1"/>
    <xf numFmtId="0" fontId="10" fillId="5" borderId="0" xfId="0" applyFont="1" applyFill="1"/>
    <xf numFmtId="0" fontId="5" fillId="5" borderId="0" xfId="0" applyFont="1" applyFill="1"/>
    <xf numFmtId="0" fontId="21" fillId="2" borderId="25" xfId="0" applyFont="1" applyFill="1" applyBorder="1" applyAlignment="1">
      <alignment vertical="center" wrapText="1"/>
    </xf>
    <xf numFmtId="0" fontId="21" fillId="2" borderId="26" xfId="0" applyFont="1" applyFill="1" applyBorder="1" applyAlignment="1">
      <alignment vertical="center" wrapText="1"/>
    </xf>
    <xf numFmtId="0" fontId="21" fillId="2" borderId="12" xfId="0" applyFont="1" applyFill="1" applyBorder="1" applyAlignment="1">
      <alignment vertical="center" wrapText="1"/>
    </xf>
    <xf numFmtId="0" fontId="21" fillId="2" borderId="18" xfId="0" applyFont="1" applyFill="1" applyBorder="1" applyAlignment="1">
      <alignment vertical="center" wrapText="1"/>
    </xf>
    <xf numFmtId="0" fontId="5" fillId="0" borderId="0" xfId="0" applyFont="1" applyAlignment="1">
      <alignment horizontal="left"/>
    </xf>
    <xf numFmtId="0" fontId="38" fillId="0" borderId="0" xfId="4" applyFont="1" applyAlignment="1">
      <alignment vertical="center"/>
    </xf>
    <xf numFmtId="0" fontId="6" fillId="0" borderId="0" xfId="0" applyFont="1" applyAlignment="1">
      <alignment horizontal="center"/>
    </xf>
    <xf numFmtId="0" fontId="9" fillId="5" borderId="0" xfId="0" applyFont="1" applyFill="1"/>
    <xf numFmtId="0" fontId="12" fillId="0" borderId="9" xfId="0" applyFont="1" applyBorder="1"/>
    <xf numFmtId="0" fontId="12" fillId="0" borderId="19" xfId="0" applyFont="1" applyBorder="1"/>
    <xf numFmtId="0" fontId="5" fillId="0" borderId="0" xfId="0" applyFont="1" applyAlignment="1">
      <alignment horizontal="center"/>
    </xf>
    <xf numFmtId="0" fontId="12" fillId="0" borderId="1" xfId="0" applyFont="1" applyBorder="1"/>
    <xf numFmtId="0" fontId="5" fillId="0" borderId="41" xfId="0" applyFont="1" applyBorder="1"/>
    <xf numFmtId="0" fontId="5" fillId="0" borderId="21" xfId="0" applyFont="1" applyBorder="1"/>
    <xf numFmtId="0" fontId="13" fillId="5" borderId="0" xfId="0" applyFont="1" applyFill="1" applyAlignment="1">
      <alignment vertical="top"/>
    </xf>
    <xf numFmtId="0" fontId="5" fillId="0" borderId="37" xfId="0" applyFont="1" applyBorder="1"/>
    <xf numFmtId="0" fontId="5" fillId="0" borderId="7" xfId="0" applyFont="1" applyBorder="1"/>
    <xf numFmtId="0" fontId="0" fillId="5" borderId="0" xfId="0" applyFill="1" applyAlignment="1">
      <alignment vertical="top"/>
    </xf>
    <xf numFmtId="14" fontId="0" fillId="5" borderId="0" xfId="0" applyNumberFormat="1" applyFill="1" applyAlignment="1">
      <alignment vertical="top"/>
    </xf>
    <xf numFmtId="0" fontId="5" fillId="0" borderId="23" xfId="0" applyFont="1" applyBorder="1"/>
    <xf numFmtId="14" fontId="5" fillId="0" borderId="0" xfId="0" applyNumberFormat="1" applyFont="1" applyAlignment="1">
      <alignment horizontal="left"/>
    </xf>
    <xf numFmtId="0" fontId="21" fillId="2" borderId="16" xfId="0" applyFont="1" applyFill="1" applyBorder="1" applyAlignment="1">
      <alignment vertical="center" wrapText="1"/>
    </xf>
    <xf numFmtId="0" fontId="16" fillId="0" borderId="21" xfId="0" applyFont="1" applyBorder="1" applyAlignment="1">
      <alignment horizontal="left" vertical="top"/>
    </xf>
    <xf numFmtId="0" fontId="16" fillId="0" borderId="22" xfId="0" applyFont="1" applyBorder="1" applyAlignment="1">
      <alignment horizontal="left" vertical="top"/>
    </xf>
    <xf numFmtId="1" fontId="16" fillId="0" borderId="29" xfId="0" applyNumberFormat="1" applyFont="1" applyBorder="1" applyAlignment="1">
      <alignment horizontal="center" vertical="top"/>
    </xf>
    <xf numFmtId="0" fontId="16" fillId="0" borderId="7" xfId="0" applyFont="1" applyBorder="1" applyAlignment="1">
      <alignment horizontal="left" vertical="top"/>
    </xf>
    <xf numFmtId="0" fontId="16" fillId="0" borderId="8" xfId="0" applyFont="1" applyBorder="1" applyAlignment="1">
      <alignment horizontal="left" vertical="top"/>
    </xf>
    <xf numFmtId="0" fontId="16" fillId="0" borderId="23" xfId="0" applyFont="1" applyBorder="1" applyAlignment="1">
      <alignment horizontal="left" vertical="top"/>
    </xf>
    <xf numFmtId="0" fontId="16" fillId="0" borderId="24" xfId="0" applyFont="1" applyBorder="1" applyAlignment="1">
      <alignment horizontal="left" vertical="top"/>
    </xf>
    <xf numFmtId="1" fontId="16" fillId="0" borderId="24" xfId="0" applyNumberFormat="1" applyFont="1" applyBorder="1" applyAlignment="1">
      <alignment horizontal="center" vertical="top"/>
    </xf>
    <xf numFmtId="166" fontId="31" fillId="5" borderId="35" xfId="1" applyNumberFormat="1" applyFont="1" applyFill="1" applyBorder="1" applyAlignment="1" applyProtection="1">
      <alignment horizontal="right" vertical="center"/>
      <protection locked="0"/>
    </xf>
    <xf numFmtId="166" fontId="31" fillId="5" borderId="13" xfId="1" applyNumberFormat="1" applyFont="1" applyFill="1" applyBorder="1" applyAlignment="1" applyProtection="1">
      <alignment horizontal="right" vertical="center"/>
    </xf>
    <xf numFmtId="166" fontId="12" fillId="5" borderId="32" xfId="1" applyNumberFormat="1" applyFont="1" applyFill="1" applyBorder="1" applyAlignment="1" applyProtection="1">
      <alignment horizontal="right" vertical="center"/>
    </xf>
    <xf numFmtId="166" fontId="12" fillId="5" borderId="52" xfId="1" applyNumberFormat="1" applyFont="1" applyFill="1" applyBorder="1" applyAlignment="1" applyProtection="1">
      <alignment horizontal="right" vertical="center"/>
    </xf>
    <xf numFmtId="166" fontId="42" fillId="5" borderId="55" xfId="1" applyNumberFormat="1" applyFont="1" applyFill="1" applyBorder="1" applyAlignment="1" applyProtection="1">
      <alignment horizontal="right" vertical="center"/>
    </xf>
    <xf numFmtId="165" fontId="5" fillId="0" borderId="33" xfId="1" applyNumberFormat="1" applyFont="1" applyBorder="1" applyProtection="1"/>
    <xf numFmtId="0" fontId="5" fillId="4" borderId="75" xfId="0" applyFont="1" applyFill="1" applyBorder="1" applyAlignment="1" applyProtection="1">
      <alignment vertical="center"/>
      <protection locked="0"/>
    </xf>
    <xf numFmtId="49" fontId="35" fillId="6" borderId="37" xfId="0" applyNumberFormat="1" applyFont="1" applyFill="1" applyBorder="1" applyAlignment="1" applyProtection="1">
      <alignment horizontal="left" vertical="top" wrapText="1"/>
      <protection locked="0"/>
    </xf>
    <xf numFmtId="49" fontId="35" fillId="6" borderId="17" xfId="0" applyNumberFormat="1" applyFont="1" applyFill="1" applyBorder="1" applyAlignment="1" applyProtection="1">
      <alignment horizontal="left" vertical="center"/>
      <protection locked="0"/>
    </xf>
    <xf numFmtId="49" fontId="35" fillId="6" borderId="50" xfId="0" applyNumberFormat="1" applyFont="1" applyFill="1" applyBorder="1" applyAlignment="1" applyProtection="1">
      <alignment horizontal="left" vertical="center"/>
      <protection locked="0"/>
    </xf>
    <xf numFmtId="49" fontId="35" fillId="6" borderId="27" xfId="0" applyNumberFormat="1" applyFont="1" applyFill="1" applyBorder="1" applyAlignment="1" applyProtection="1">
      <alignment horizontal="left" vertical="center" wrapText="1"/>
      <protection locked="0"/>
    </xf>
    <xf numFmtId="3" fontId="35" fillId="6" borderId="21" xfId="0" applyNumberFormat="1" applyFont="1" applyFill="1" applyBorder="1" applyAlignment="1" applyProtection="1">
      <alignment horizontal="center" vertical="center" wrapText="1"/>
      <protection locked="0"/>
    </xf>
    <xf numFmtId="3" fontId="35" fillId="6" borderId="22" xfId="0" applyNumberFormat="1" applyFont="1" applyFill="1" applyBorder="1" applyAlignment="1" applyProtection="1">
      <alignment horizontal="center" vertical="center" wrapText="1"/>
      <protection locked="0"/>
    </xf>
    <xf numFmtId="3" fontId="35" fillId="6" borderId="33" xfId="0" applyNumberFormat="1" applyFont="1" applyFill="1" applyBorder="1" applyAlignment="1" applyProtection="1">
      <alignment horizontal="center" vertical="center" wrapText="1"/>
      <protection locked="0"/>
    </xf>
    <xf numFmtId="49" fontId="35" fillId="6" borderId="29" xfId="0" applyNumberFormat="1" applyFont="1" applyFill="1" applyBorder="1" applyAlignment="1" applyProtection="1">
      <alignment horizontal="left" vertical="center" wrapText="1"/>
      <protection locked="0"/>
    </xf>
    <xf numFmtId="3" fontId="35" fillId="6" borderId="7" xfId="0" applyNumberFormat="1" applyFont="1" applyFill="1" applyBorder="1" applyAlignment="1" applyProtection="1">
      <alignment horizontal="center" vertical="center" wrapText="1"/>
      <protection locked="0"/>
    </xf>
    <xf numFmtId="3" fontId="35" fillId="6" borderId="8" xfId="0" applyNumberFormat="1" applyFont="1" applyFill="1" applyBorder="1" applyAlignment="1" applyProtection="1">
      <alignment horizontal="center" vertical="center" wrapText="1"/>
      <protection locked="0"/>
    </xf>
    <xf numFmtId="3" fontId="35" fillId="6" borderId="20" xfId="0" applyNumberFormat="1" applyFont="1" applyFill="1" applyBorder="1" applyAlignment="1" applyProtection="1">
      <alignment horizontal="center" vertical="center" wrapText="1"/>
      <protection locked="0"/>
    </xf>
    <xf numFmtId="49" fontId="35" fillId="6" borderId="20" xfId="0" applyNumberFormat="1" applyFont="1" applyFill="1" applyBorder="1" applyAlignment="1" applyProtection="1">
      <alignment horizontal="left" vertical="center" wrapText="1"/>
      <protection locked="0"/>
    </xf>
    <xf numFmtId="49" fontId="35" fillId="6" borderId="7" xfId="0" applyNumberFormat="1" applyFont="1" applyFill="1" applyBorder="1" applyAlignment="1" applyProtection="1">
      <alignment horizontal="left" vertical="top" wrapText="1"/>
      <protection locked="0"/>
    </xf>
    <xf numFmtId="49" fontId="35" fillId="6" borderId="30" xfId="0" applyNumberFormat="1" applyFont="1" applyFill="1" applyBorder="1" applyAlignment="1" applyProtection="1">
      <alignment horizontal="left" vertical="top" wrapText="1"/>
      <protection locked="0"/>
    </xf>
    <xf numFmtId="49" fontId="35" fillId="6" borderId="68" xfId="0" applyNumberFormat="1" applyFont="1" applyFill="1" applyBorder="1" applyAlignment="1" applyProtection="1">
      <alignment horizontal="left" vertical="center"/>
      <protection locked="0"/>
    </xf>
    <xf numFmtId="3" fontId="35" fillId="6" borderId="30" xfId="0" applyNumberFormat="1" applyFont="1" applyFill="1" applyBorder="1" applyAlignment="1" applyProtection="1">
      <alignment horizontal="center" vertical="center" wrapText="1"/>
      <protection locked="0"/>
    </xf>
    <xf numFmtId="3" fontId="35" fillId="6" borderId="31" xfId="0" applyNumberFormat="1" applyFont="1" applyFill="1" applyBorder="1" applyAlignment="1" applyProtection="1">
      <alignment horizontal="center" vertical="center" wrapText="1"/>
      <protection locked="0"/>
    </xf>
    <xf numFmtId="3" fontId="35" fillId="6" borderId="34" xfId="0" applyNumberFormat="1" applyFont="1" applyFill="1" applyBorder="1" applyAlignment="1" applyProtection="1">
      <alignment horizontal="center" vertical="center" wrapText="1"/>
      <protection locked="0"/>
    </xf>
    <xf numFmtId="49" fontId="35" fillId="6" borderId="23" xfId="0" applyNumberFormat="1" applyFont="1" applyFill="1" applyBorder="1" applyAlignment="1" applyProtection="1">
      <alignment horizontal="left" vertical="top" wrapText="1"/>
      <protection locked="0"/>
    </xf>
    <xf numFmtId="49" fontId="35" fillId="6" borderId="49" xfId="0" applyNumberFormat="1" applyFont="1" applyFill="1" applyBorder="1" applyAlignment="1" applyProtection="1">
      <alignment horizontal="left" vertical="center"/>
      <protection locked="0"/>
    </xf>
    <xf numFmtId="49" fontId="35" fillId="6" borderId="24" xfId="0" applyNumberFormat="1" applyFont="1" applyFill="1" applyBorder="1" applyAlignment="1" applyProtection="1">
      <alignment horizontal="left" vertical="center"/>
      <protection locked="0"/>
    </xf>
    <xf numFmtId="49" fontId="35" fillId="6" borderId="35" xfId="0" applyNumberFormat="1" applyFont="1" applyFill="1" applyBorder="1" applyAlignment="1" applyProtection="1">
      <alignment horizontal="left" vertical="center" wrapText="1"/>
      <protection locked="0"/>
    </xf>
    <xf numFmtId="3" fontId="35" fillId="6" borderId="23" xfId="0" applyNumberFormat="1" applyFont="1" applyFill="1" applyBorder="1" applyAlignment="1" applyProtection="1">
      <alignment horizontal="center" vertical="center" wrapText="1"/>
      <protection locked="0"/>
    </xf>
    <xf numFmtId="3" fontId="35" fillId="6" borderId="24" xfId="0" applyNumberFormat="1" applyFont="1" applyFill="1" applyBorder="1" applyAlignment="1" applyProtection="1">
      <alignment horizontal="center" vertical="center" wrapText="1"/>
      <protection locked="0"/>
    </xf>
    <xf numFmtId="3" fontId="35" fillId="6" borderId="35" xfId="0" applyNumberFormat="1" applyFont="1" applyFill="1" applyBorder="1" applyAlignment="1" applyProtection="1">
      <alignment horizontal="center" vertical="center" wrapText="1"/>
      <protection locked="0"/>
    </xf>
    <xf numFmtId="49" fontId="35" fillId="6" borderId="22" xfId="0" applyNumberFormat="1" applyFont="1" applyFill="1" applyBorder="1" applyAlignment="1" applyProtection="1">
      <alignment horizontal="left" vertical="center"/>
      <protection locked="0"/>
    </xf>
    <xf numFmtId="49" fontId="35" fillId="6" borderId="8" xfId="0" applyNumberFormat="1" applyFont="1" applyFill="1" applyBorder="1" applyAlignment="1" applyProtection="1">
      <alignment horizontal="left" vertical="center"/>
      <protection locked="0"/>
    </xf>
    <xf numFmtId="0" fontId="23" fillId="9" borderId="0" xfId="0" applyFont="1" applyFill="1" applyAlignment="1" applyProtection="1">
      <alignment vertical="center"/>
      <protection locked="0"/>
    </xf>
    <xf numFmtId="49" fontId="35" fillId="10" borderId="50" xfId="0" applyNumberFormat="1" applyFont="1" applyFill="1" applyBorder="1" applyAlignment="1" applyProtection="1">
      <alignment horizontal="left" vertical="center"/>
      <protection locked="0"/>
    </xf>
    <xf numFmtId="0" fontId="23" fillId="9" borderId="0" xfId="0" applyFont="1" applyFill="1" applyAlignment="1" applyProtection="1">
      <alignment horizontal="left" vertical="center"/>
      <protection locked="0"/>
    </xf>
    <xf numFmtId="164" fontId="10" fillId="0" borderId="2" xfId="1" applyFont="1" applyBorder="1" applyAlignment="1" applyProtection="1">
      <alignment vertical="center"/>
    </xf>
    <xf numFmtId="164" fontId="11" fillId="0" borderId="4" xfId="1" applyFont="1" applyBorder="1" applyAlignment="1" applyProtection="1">
      <alignment vertical="center"/>
    </xf>
    <xf numFmtId="3" fontId="3" fillId="5" borderId="25" xfId="1" applyNumberFormat="1" applyFont="1" applyFill="1" applyBorder="1" applyAlignment="1" applyProtection="1">
      <alignment horizontal="center" vertical="center"/>
    </xf>
    <xf numFmtId="3" fontId="12" fillId="5" borderId="18" xfId="2" applyNumberFormat="1" applyFont="1" applyFill="1" applyBorder="1" applyAlignment="1" applyProtection="1">
      <alignment horizontal="center" vertical="center"/>
    </xf>
    <xf numFmtId="168" fontId="3" fillId="5" borderId="25" xfId="1" applyNumberFormat="1" applyFont="1" applyFill="1" applyBorder="1" applyAlignment="1" applyProtection="1">
      <alignment horizontal="center" vertical="center"/>
    </xf>
    <xf numFmtId="168" fontId="12" fillId="5" borderId="18" xfId="2" applyNumberFormat="1" applyFont="1" applyFill="1" applyBorder="1" applyAlignment="1" applyProtection="1">
      <alignment horizontal="center" vertical="center"/>
    </xf>
    <xf numFmtId="168" fontId="5" fillId="5" borderId="21" xfId="1" applyNumberFormat="1" applyFont="1" applyFill="1" applyBorder="1" applyAlignment="1" applyProtection="1">
      <alignment horizontal="center" vertical="center"/>
    </xf>
    <xf numFmtId="168" fontId="5" fillId="5" borderId="7" xfId="1" applyNumberFormat="1" applyFont="1" applyFill="1" applyBorder="1" applyAlignment="1" applyProtection="1">
      <alignment horizontal="center" vertical="center"/>
    </xf>
    <xf numFmtId="14" fontId="5" fillId="4" borderId="74" xfId="0" applyNumberFormat="1" applyFont="1" applyFill="1" applyBorder="1" applyAlignment="1" applyProtection="1">
      <alignment horizontal="left" vertical="center"/>
      <protection locked="0"/>
    </xf>
    <xf numFmtId="167" fontId="16" fillId="0" borderId="0" xfId="1" applyNumberFormat="1" applyFont="1" applyFill="1" applyBorder="1" applyAlignment="1" applyProtection="1">
      <alignment horizontal="left" vertical="top"/>
    </xf>
    <xf numFmtId="0" fontId="8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164" fontId="5" fillId="5" borderId="0" xfId="1" applyFont="1" applyFill="1"/>
    <xf numFmtId="0" fontId="1" fillId="0" borderId="0" xfId="0" applyFont="1" applyAlignment="1">
      <alignment vertical="center" wrapText="1"/>
    </xf>
    <xf numFmtId="164" fontId="12" fillId="5" borderId="43" xfId="1" applyFont="1" applyFill="1" applyBorder="1" applyProtection="1"/>
    <xf numFmtId="166" fontId="19" fillId="0" borderId="0" xfId="1" applyNumberFormat="1" applyFont="1" applyFill="1" applyBorder="1" applyAlignment="1" applyProtection="1">
      <alignment horizontal="right" vertical="center"/>
    </xf>
    <xf numFmtId="166" fontId="14" fillId="0" borderId="0" xfId="1" applyNumberFormat="1" applyFont="1" applyFill="1" applyBorder="1" applyAlignment="1" applyProtection="1">
      <alignment horizontal="right" vertical="center"/>
    </xf>
    <xf numFmtId="168" fontId="5" fillId="0" borderId="0" xfId="1" applyNumberFormat="1" applyFont="1" applyFill="1" applyBorder="1" applyAlignment="1" applyProtection="1">
      <alignment horizontal="center" vertical="center"/>
    </xf>
    <xf numFmtId="49" fontId="35" fillId="6" borderId="34" xfId="0" applyNumberFormat="1" applyFont="1" applyFill="1" applyBorder="1" applyAlignment="1" applyProtection="1">
      <alignment horizontal="left" vertical="center" wrapText="1"/>
      <protection locked="0"/>
    </xf>
    <xf numFmtId="0" fontId="48" fillId="0" borderId="0" xfId="6" applyFont="1" applyAlignment="1">
      <alignment vertical="center"/>
    </xf>
    <xf numFmtId="0" fontId="44" fillId="0" borderId="0" xfId="4" applyFont="1" applyAlignment="1">
      <alignment vertical="center"/>
    </xf>
    <xf numFmtId="1" fontId="25" fillId="4" borderId="0" xfId="5" applyNumberFormat="1" applyFont="1" applyFill="1" applyBorder="1" applyAlignment="1" applyProtection="1">
      <alignment horizontal="center" vertical="center"/>
      <protection locked="0"/>
    </xf>
    <xf numFmtId="49" fontId="25" fillId="4" borderId="0" xfId="5" applyNumberFormat="1" applyFont="1" applyFill="1" applyBorder="1" applyAlignment="1" applyProtection="1">
      <alignment horizontal="center" vertical="center"/>
      <protection locked="0"/>
    </xf>
    <xf numFmtId="168" fontId="5" fillId="2" borderId="61" xfId="1" applyNumberFormat="1" applyFont="1" applyFill="1" applyBorder="1" applyAlignment="1" applyProtection="1">
      <alignment horizontal="center" vertical="center"/>
    </xf>
    <xf numFmtId="0" fontId="6" fillId="5" borderId="0" xfId="0" applyFont="1" applyFill="1" applyAlignment="1">
      <alignment horizontal="center"/>
    </xf>
    <xf numFmtId="0" fontId="19" fillId="5" borderId="0" xfId="0" applyFont="1" applyFill="1"/>
    <xf numFmtId="0" fontId="19" fillId="0" borderId="0" xfId="0" applyFont="1"/>
    <xf numFmtId="0" fontId="25" fillId="5" borderId="0" xfId="0" applyFont="1" applyFill="1" applyAlignment="1">
      <alignment horizontal="center" vertical="center"/>
    </xf>
    <xf numFmtId="0" fontId="16" fillId="5" borderId="0" xfId="0" applyFont="1" applyFill="1"/>
    <xf numFmtId="0" fontId="16" fillId="5" borderId="0" xfId="0" applyFont="1" applyFill="1" applyAlignment="1">
      <alignment horizontal="left"/>
    </xf>
    <xf numFmtId="0" fontId="25" fillId="5" borderId="0" xfId="0" applyFont="1" applyFill="1" applyAlignment="1">
      <alignment vertical="center"/>
    </xf>
    <xf numFmtId="0" fontId="10" fillId="5" borderId="38" xfId="0" applyFont="1" applyFill="1" applyBorder="1" applyAlignment="1">
      <alignment horizontal="center" vertical="center"/>
    </xf>
    <xf numFmtId="0" fontId="25" fillId="5" borderId="47" xfId="0" applyFont="1" applyFill="1" applyBorder="1" applyAlignment="1">
      <alignment horizontal="center" vertical="center"/>
    </xf>
    <xf numFmtId="0" fontId="16" fillId="0" borderId="0" xfId="0" applyFont="1"/>
    <xf numFmtId="0" fontId="25" fillId="5" borderId="0" xfId="0" applyFont="1" applyFill="1"/>
    <xf numFmtId="0" fontId="10" fillId="5" borderId="44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left" vertical="center"/>
    </xf>
    <xf numFmtId="0" fontId="10" fillId="5" borderId="70" xfId="0" applyFont="1" applyFill="1" applyBorder="1" applyAlignment="1">
      <alignment vertical="center"/>
    </xf>
    <xf numFmtId="0" fontId="27" fillId="5" borderId="0" xfId="0" applyFont="1" applyFill="1" applyAlignment="1">
      <alignment horizontal="center" vertical="center"/>
    </xf>
    <xf numFmtId="0" fontId="26" fillId="5" borderId="0" xfId="0" applyFont="1" applyFill="1" applyAlignment="1">
      <alignment horizontal="left"/>
    </xf>
    <xf numFmtId="0" fontId="22" fillId="5" borderId="0" xfId="0" applyFont="1" applyFill="1"/>
    <xf numFmtId="0" fontId="26" fillId="5" borderId="0" xfId="0" applyFont="1" applyFill="1" applyAlignment="1">
      <alignment horizontal="center"/>
    </xf>
    <xf numFmtId="1" fontId="15" fillId="5" borderId="0" xfId="0" applyNumberFormat="1" applyFont="1" applyFill="1" applyAlignment="1">
      <alignment horizontal="center" vertical="center"/>
    </xf>
    <xf numFmtId="0" fontId="21" fillId="2" borderId="6" xfId="0" applyFont="1" applyFill="1" applyBorder="1" applyAlignment="1">
      <alignment vertical="center" wrapText="1"/>
    </xf>
    <xf numFmtId="0" fontId="21" fillId="2" borderId="36" xfId="0" applyFont="1" applyFill="1" applyBorder="1" applyAlignment="1">
      <alignment vertical="center" wrapText="1"/>
    </xf>
    <xf numFmtId="0" fontId="21" fillId="2" borderId="77" xfId="0" applyFont="1" applyFill="1" applyBorder="1" applyAlignment="1">
      <alignment vertical="center" wrapText="1"/>
    </xf>
    <xf numFmtId="0" fontId="21" fillId="2" borderId="39" xfId="0" applyFont="1" applyFill="1" applyBorder="1" applyAlignment="1" applyProtection="1">
      <alignment vertical="center" wrapText="1"/>
      <protection locked="0"/>
    </xf>
    <xf numFmtId="0" fontId="21" fillId="2" borderId="19" xfId="0" applyFont="1" applyFill="1" applyBorder="1" applyAlignment="1">
      <alignment vertical="center" wrapText="1"/>
    </xf>
    <xf numFmtId="1" fontId="16" fillId="0" borderId="8" xfId="0" applyNumberFormat="1" applyFont="1" applyBorder="1" applyAlignment="1">
      <alignment horizontal="center" vertical="top"/>
    </xf>
    <xf numFmtId="1" fontId="16" fillId="0" borderId="22" xfId="0" applyNumberFormat="1" applyFont="1" applyBorder="1" applyAlignment="1">
      <alignment horizontal="center" vertical="top"/>
    </xf>
    <xf numFmtId="3" fontId="35" fillId="6" borderId="28" xfId="0" applyNumberFormat="1" applyFont="1" applyFill="1" applyBorder="1" applyAlignment="1" applyProtection="1">
      <alignment horizontal="center" vertical="center" wrapText="1"/>
      <protection locked="0"/>
    </xf>
    <xf numFmtId="3" fontId="35" fillId="6" borderId="17" xfId="0" applyNumberFormat="1" applyFont="1" applyFill="1" applyBorder="1" applyAlignment="1" applyProtection="1">
      <alignment horizontal="center" vertical="center" wrapText="1"/>
      <protection locked="0"/>
    </xf>
    <xf numFmtId="3" fontId="35" fillId="6" borderId="68" xfId="0" applyNumberFormat="1" applyFont="1" applyFill="1" applyBorder="1" applyAlignment="1" applyProtection="1">
      <alignment horizontal="center" vertical="center" wrapText="1"/>
      <protection locked="0"/>
    </xf>
    <xf numFmtId="3" fontId="35" fillId="6" borderId="49" xfId="0" applyNumberFormat="1" applyFont="1" applyFill="1" applyBorder="1" applyAlignment="1" applyProtection="1">
      <alignment horizontal="center" vertical="center" wrapText="1"/>
      <protection locked="0"/>
    </xf>
    <xf numFmtId="49" fontId="35" fillId="6" borderId="41" xfId="0" applyNumberFormat="1" applyFont="1" applyFill="1" applyBorder="1" applyAlignment="1" applyProtection="1">
      <alignment horizontal="left" vertical="top" wrapText="1"/>
      <protection locked="0"/>
    </xf>
    <xf numFmtId="49" fontId="35" fillId="6" borderId="14" xfId="0" applyNumberFormat="1" applyFont="1" applyFill="1" applyBorder="1" applyAlignment="1" applyProtection="1">
      <alignment horizontal="left" vertical="top" wrapText="1"/>
      <protection locked="0"/>
    </xf>
    <xf numFmtId="49" fontId="35" fillId="6" borderId="58" xfId="0" applyNumberFormat="1" applyFont="1" applyFill="1" applyBorder="1" applyAlignment="1" applyProtection="1">
      <alignment horizontal="left" vertical="top" wrapText="1"/>
      <protection locked="0"/>
    </xf>
    <xf numFmtId="49" fontId="35" fillId="6" borderId="42" xfId="0" applyNumberFormat="1" applyFont="1" applyFill="1" applyBorder="1" applyAlignment="1" applyProtection="1">
      <alignment horizontal="left" vertical="top" wrapText="1"/>
      <protection locked="0"/>
    </xf>
    <xf numFmtId="49" fontId="35" fillId="6" borderId="33" xfId="0" applyNumberFormat="1" applyFont="1" applyFill="1" applyBorder="1" applyAlignment="1" applyProtection="1">
      <alignment horizontal="left" vertical="center" wrapText="1"/>
      <protection locked="0"/>
    </xf>
    <xf numFmtId="165" fontId="11" fillId="0" borderId="0" xfId="1" applyNumberFormat="1" applyFont="1" applyFill="1" applyBorder="1" applyAlignment="1" applyProtection="1">
      <alignment horizontal="center" vertical="center"/>
    </xf>
    <xf numFmtId="166" fontId="42" fillId="0" borderId="0" xfId="1" applyNumberFormat="1" applyFont="1" applyFill="1" applyBorder="1" applyAlignment="1" applyProtection="1">
      <alignment horizontal="right" vertical="center"/>
    </xf>
    <xf numFmtId="9" fontId="31" fillId="0" borderId="0" xfId="2" applyFont="1" applyFill="1" applyBorder="1" applyAlignment="1" applyProtection="1">
      <alignment horizontal="center" vertical="center"/>
    </xf>
    <xf numFmtId="14" fontId="5" fillId="4" borderId="0" xfId="0" applyNumberFormat="1" applyFont="1" applyFill="1" applyAlignment="1">
      <alignment horizontal="left"/>
    </xf>
    <xf numFmtId="0" fontId="5" fillId="0" borderId="45" xfId="0" applyFont="1" applyBorder="1"/>
    <xf numFmtId="0" fontId="5" fillId="0" borderId="51" xfId="0" applyFont="1" applyBorder="1" applyAlignment="1">
      <alignment horizontal="left"/>
    </xf>
    <xf numFmtId="0" fontId="5" fillId="0" borderId="66" xfId="0" applyFont="1" applyBorder="1" applyAlignment="1">
      <alignment horizontal="left"/>
    </xf>
    <xf numFmtId="0" fontId="5" fillId="0" borderId="51" xfId="0" applyFont="1" applyBorder="1"/>
    <xf numFmtId="0" fontId="5" fillId="0" borderId="46" xfId="0" applyFont="1" applyBorder="1"/>
    <xf numFmtId="0" fontId="5" fillId="0" borderId="14" xfId="0" applyFont="1" applyBorder="1"/>
    <xf numFmtId="0" fontId="5" fillId="0" borderId="42" xfId="0" applyFont="1" applyBorder="1"/>
    <xf numFmtId="0" fontId="5" fillId="0" borderId="10" xfId="0" applyFont="1" applyBorder="1"/>
    <xf numFmtId="0" fontId="5" fillId="0" borderId="11" xfId="0" applyFont="1" applyBorder="1"/>
    <xf numFmtId="0" fontId="5" fillId="9" borderId="0" xfId="0" applyFont="1" applyFill="1" applyAlignment="1" applyProtection="1">
      <alignment vertical="center"/>
      <protection locked="0"/>
    </xf>
    <xf numFmtId="0" fontId="5" fillId="9" borderId="0" xfId="0" applyFont="1" applyFill="1" applyAlignment="1" applyProtection="1">
      <alignment horizontal="left" vertical="center"/>
      <protection locked="0"/>
    </xf>
    <xf numFmtId="0" fontId="45" fillId="5" borderId="0" xfId="0" applyFont="1" applyFill="1" applyAlignment="1">
      <alignment horizontal="right"/>
    </xf>
    <xf numFmtId="0" fontId="0" fillId="5" borderId="0" xfId="0" applyFill="1" applyAlignment="1">
      <alignment horizontal="center"/>
    </xf>
    <xf numFmtId="0" fontId="46" fillId="5" borderId="0" xfId="0" applyFont="1" applyFill="1" applyAlignment="1">
      <alignment horizontal="right"/>
    </xf>
    <xf numFmtId="0" fontId="23" fillId="5" borderId="0" xfId="0" applyFont="1" applyFill="1"/>
    <xf numFmtId="0" fontId="13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5" borderId="0" xfId="0" applyFont="1" applyFill="1" applyAlignment="1">
      <alignment horizontal="left"/>
    </xf>
    <xf numFmtId="0" fontId="3" fillId="5" borderId="0" xfId="0" applyFont="1" applyFill="1"/>
    <xf numFmtId="0" fontId="3" fillId="5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49" fillId="0" borderId="0" xfId="0" applyFont="1"/>
    <xf numFmtId="0" fontId="46" fillId="0" borderId="0" xfId="0" applyFont="1" applyAlignment="1">
      <alignment horizontal="right"/>
    </xf>
    <xf numFmtId="0" fontId="21" fillId="3" borderId="10" xfId="0" applyFont="1" applyFill="1" applyBorder="1" applyAlignment="1">
      <alignment horizontal="right" vertical="center" indent="1"/>
    </xf>
    <xf numFmtId="14" fontId="21" fillId="3" borderId="25" xfId="0" applyNumberFormat="1" applyFont="1" applyFill="1" applyBorder="1" applyAlignment="1">
      <alignment horizontal="center" vertical="center"/>
    </xf>
    <xf numFmtId="14" fontId="21" fillId="3" borderId="16" xfId="0" applyNumberFormat="1" applyFont="1" applyFill="1" applyBorder="1" applyAlignment="1">
      <alignment horizontal="center" vertical="center"/>
    </xf>
    <xf numFmtId="14" fontId="21" fillId="3" borderId="12" xfId="0" applyNumberFormat="1" applyFont="1" applyFill="1" applyBorder="1" applyAlignment="1">
      <alignment horizontal="center" vertical="center"/>
    </xf>
    <xf numFmtId="14" fontId="21" fillId="3" borderId="18" xfId="0" applyNumberFormat="1" applyFont="1" applyFill="1" applyBorder="1" applyAlignment="1">
      <alignment horizontal="center" vertical="center"/>
    </xf>
    <xf numFmtId="0" fontId="22" fillId="0" borderId="0" xfId="0" applyFont="1"/>
    <xf numFmtId="0" fontId="21" fillId="2" borderId="13" xfId="0" applyFont="1" applyFill="1" applyBorder="1" applyAlignment="1">
      <alignment vertical="center" wrapText="1"/>
    </xf>
    <xf numFmtId="0" fontId="21" fillId="2" borderId="56" xfId="0" applyFont="1" applyFill="1" applyBorder="1" applyAlignment="1">
      <alignment vertical="center" wrapText="1"/>
    </xf>
    <xf numFmtId="0" fontId="21" fillId="2" borderId="57" xfId="0" applyFont="1" applyFill="1" applyBorder="1" applyAlignment="1">
      <alignment vertical="center" wrapText="1"/>
    </xf>
    <xf numFmtId="0" fontId="21" fillId="2" borderId="60" xfId="0" applyFont="1" applyFill="1" applyBorder="1" applyAlignment="1">
      <alignment vertical="center" wrapText="1"/>
    </xf>
    <xf numFmtId="0" fontId="15" fillId="5" borderId="0" xfId="0" applyFont="1" applyFill="1"/>
    <xf numFmtId="0" fontId="15" fillId="0" borderId="0" xfId="0" applyFont="1" applyAlignment="1">
      <alignment horizontal="left"/>
    </xf>
    <xf numFmtId="49" fontId="15" fillId="0" borderId="0" xfId="0" applyNumberFormat="1" applyFont="1"/>
    <xf numFmtId="0" fontId="46" fillId="0" borderId="0" xfId="0" applyFont="1" applyAlignment="1">
      <alignment horizontal="right" vertical="center"/>
    </xf>
    <xf numFmtId="49" fontId="22" fillId="0" borderId="0" xfId="0" applyNumberFormat="1" applyFont="1"/>
    <xf numFmtId="0" fontId="17" fillId="0" borderId="0" xfId="0" applyFont="1" applyAlignment="1">
      <alignment wrapText="1"/>
    </xf>
    <xf numFmtId="0" fontId="17" fillId="0" borderId="0" xfId="0" applyFont="1"/>
    <xf numFmtId="0" fontId="3" fillId="5" borderId="0" xfId="0" applyFont="1" applyFill="1" applyAlignment="1">
      <alignment horizontal="center"/>
    </xf>
    <xf numFmtId="0" fontId="36" fillId="3" borderId="10" xfId="0" applyFont="1" applyFill="1" applyBorder="1" applyAlignment="1">
      <alignment vertical="center" wrapText="1"/>
    </xf>
    <xf numFmtId="0" fontId="37" fillId="3" borderId="10" xfId="0" applyFont="1" applyFill="1" applyBorder="1" applyAlignment="1">
      <alignment vertical="center" wrapText="1"/>
    </xf>
    <xf numFmtId="0" fontId="21" fillId="2" borderId="65" xfId="0" applyFont="1" applyFill="1" applyBorder="1" applyAlignment="1">
      <alignment vertical="center" wrapText="1"/>
    </xf>
    <xf numFmtId="0" fontId="22" fillId="0" borderId="0" xfId="0" applyFont="1" applyAlignment="1">
      <alignment horizontal="left"/>
    </xf>
    <xf numFmtId="0" fontId="4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5" borderId="0" xfId="0" applyFont="1" applyFill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5" borderId="0" xfId="0" applyFont="1" applyFill="1" applyAlignment="1">
      <alignment horizontal="left" vertical="center"/>
    </xf>
    <xf numFmtId="0" fontId="3" fillId="5" borderId="0" xfId="0" applyFont="1" applyFill="1" applyAlignment="1">
      <alignment vertical="center"/>
    </xf>
    <xf numFmtId="14" fontId="5" fillId="5" borderId="0" xfId="0" applyNumberFormat="1" applyFont="1" applyFill="1" applyAlignment="1">
      <alignment horizontal="left" vertical="center"/>
    </xf>
    <xf numFmtId="0" fontId="5" fillId="5" borderId="0" xfId="0" applyFont="1" applyFill="1" applyAlignment="1">
      <alignment vertical="center" wrapText="1"/>
    </xf>
    <xf numFmtId="0" fontId="28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15" fillId="5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0" fillId="5" borderId="0" xfId="0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8" fillId="3" borderId="10" xfId="0" applyFont="1" applyFill="1" applyBorder="1" applyAlignment="1">
      <alignment horizontal="right" vertical="center"/>
    </xf>
    <xf numFmtId="14" fontId="24" fillId="3" borderId="10" xfId="0" applyNumberFormat="1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36" xfId="0" applyFont="1" applyFill="1" applyBorder="1" applyAlignment="1">
      <alignment vertical="center" wrapText="1"/>
    </xf>
    <xf numFmtId="0" fontId="2" fillId="2" borderId="4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69" xfId="0" applyFont="1" applyFill="1" applyBorder="1" applyAlignment="1">
      <alignment vertical="center" wrapText="1"/>
    </xf>
    <xf numFmtId="0" fontId="2" fillId="2" borderId="52" xfId="0" applyFont="1" applyFill="1" applyBorder="1" applyAlignment="1">
      <alignment vertical="center" wrapText="1"/>
    </xf>
    <xf numFmtId="0" fontId="2" fillId="2" borderId="4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32" fillId="2" borderId="43" xfId="0" applyNumberFormat="1" applyFont="1" applyFill="1" applyBorder="1" applyAlignment="1">
      <alignment horizontal="left" vertical="center"/>
    </xf>
    <xf numFmtId="14" fontId="32" fillId="2" borderId="12" xfId="0" applyNumberFormat="1" applyFont="1" applyFill="1" applyBorder="1" applyAlignment="1">
      <alignment horizontal="center" vertical="center"/>
    </xf>
    <xf numFmtId="14" fontId="32" fillId="2" borderId="1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5" borderId="41" xfId="0" applyFont="1" applyFill="1" applyBorder="1" applyAlignment="1">
      <alignment vertical="center" wrapText="1"/>
    </xf>
    <xf numFmtId="0" fontId="5" fillId="5" borderId="22" xfId="0" applyFont="1" applyFill="1" applyBorder="1" applyAlignment="1">
      <alignment vertical="center" wrapText="1"/>
    </xf>
    <xf numFmtId="3" fontId="5" fillId="5" borderId="27" xfId="0" applyNumberFormat="1" applyFont="1" applyFill="1" applyBorder="1" applyAlignment="1">
      <alignment horizontal="center" vertical="center"/>
    </xf>
    <xf numFmtId="3" fontId="5" fillId="5" borderId="21" xfId="0" applyNumberFormat="1" applyFont="1" applyFill="1" applyBorder="1" applyAlignment="1">
      <alignment horizontal="center" vertical="center" wrapText="1"/>
    </xf>
    <xf numFmtId="3" fontId="5" fillId="5" borderId="32" xfId="0" applyNumberFormat="1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vertical="center"/>
    </xf>
    <xf numFmtId="0" fontId="29" fillId="2" borderId="76" xfId="0" applyFont="1" applyFill="1" applyBorder="1" applyAlignment="1">
      <alignment horizontal="left" vertical="center"/>
    </xf>
    <xf numFmtId="0" fontId="5" fillId="7" borderId="44" xfId="0" applyFont="1" applyFill="1" applyBorder="1" applyAlignment="1">
      <alignment vertical="center"/>
    </xf>
    <xf numFmtId="0" fontId="5" fillId="5" borderId="14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3" fontId="5" fillId="5" borderId="29" xfId="0" applyNumberFormat="1" applyFont="1" applyFill="1" applyBorder="1" applyAlignment="1">
      <alignment horizontal="center" vertical="center"/>
    </xf>
    <xf numFmtId="3" fontId="5" fillId="5" borderId="7" xfId="0" applyNumberFormat="1" applyFont="1" applyFill="1" applyBorder="1" applyAlignment="1">
      <alignment horizontal="center" vertical="center" wrapText="1"/>
    </xf>
    <xf numFmtId="0" fontId="29" fillId="2" borderId="62" xfId="0" applyFont="1" applyFill="1" applyBorder="1" applyAlignment="1">
      <alignment horizontal="left" vertical="center"/>
    </xf>
    <xf numFmtId="0" fontId="5" fillId="7" borderId="0" xfId="0" applyFont="1" applyFill="1" applyAlignment="1">
      <alignment vertical="center"/>
    </xf>
    <xf numFmtId="0" fontId="5" fillId="7" borderId="5" xfId="0" applyFont="1" applyFill="1" applyBorder="1" applyAlignment="1">
      <alignment vertical="center"/>
    </xf>
    <xf numFmtId="0" fontId="12" fillId="5" borderId="0" xfId="0" applyFont="1" applyFill="1" applyAlignment="1">
      <alignment vertical="center"/>
    </xf>
    <xf numFmtId="0" fontId="12" fillId="5" borderId="9" xfId="0" applyFont="1" applyFill="1" applyBorder="1" applyAlignment="1">
      <alignment vertical="center"/>
    </xf>
    <xf numFmtId="0" fontId="12" fillId="5" borderId="10" xfId="0" applyFont="1" applyFill="1" applyBorder="1" applyAlignment="1">
      <alignment vertical="center"/>
    </xf>
    <xf numFmtId="0" fontId="12" fillId="5" borderId="10" xfId="0" applyFont="1" applyFill="1" applyBorder="1" applyAlignment="1">
      <alignment horizontal="right" vertical="center"/>
    </xf>
    <xf numFmtId="0" fontId="5" fillId="5" borderId="48" xfId="0" applyFont="1" applyFill="1" applyBorder="1" applyAlignment="1">
      <alignment vertical="center"/>
    </xf>
    <xf numFmtId="0" fontId="30" fillId="11" borderId="3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5" borderId="15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12" fillId="5" borderId="5" xfId="0" applyFont="1" applyFill="1" applyBorder="1" applyAlignment="1">
      <alignment horizontal="right" vertical="center"/>
    </xf>
    <xf numFmtId="0" fontId="12" fillId="5" borderId="52" xfId="0" applyFont="1" applyFill="1" applyBorder="1" applyAlignment="1">
      <alignment vertical="center"/>
    </xf>
    <xf numFmtId="166" fontId="12" fillId="5" borderId="54" xfId="0" applyNumberFormat="1" applyFont="1" applyFill="1" applyBorder="1" applyAlignment="1">
      <alignment horizontal="right" vertical="center"/>
    </xf>
    <xf numFmtId="0" fontId="12" fillId="5" borderId="42" xfId="0" applyFont="1" applyFill="1" applyBorder="1" applyAlignment="1">
      <alignment vertical="center"/>
    </xf>
    <xf numFmtId="0" fontId="40" fillId="5" borderId="46" xfId="0" applyFont="1" applyFill="1" applyBorder="1" applyAlignment="1">
      <alignment vertical="center"/>
    </xf>
    <xf numFmtId="0" fontId="3" fillId="5" borderId="46" xfId="0" applyFont="1" applyFill="1" applyBorder="1" applyAlignment="1">
      <alignment horizontal="right" vertical="center"/>
    </xf>
    <xf numFmtId="0" fontId="12" fillId="5" borderId="13" xfId="0" applyFont="1" applyFill="1" applyBorder="1" applyAlignment="1">
      <alignment horizontal="right" vertical="center"/>
    </xf>
    <xf numFmtId="0" fontId="29" fillId="2" borderId="55" xfId="0" applyFont="1" applyFill="1" applyBorder="1" applyAlignment="1">
      <alignment horizontal="left" vertical="center"/>
    </xf>
    <xf numFmtId="165" fontId="5" fillId="5" borderId="0" xfId="0" applyNumberFormat="1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0" fontId="43" fillId="2" borderId="1" xfId="0" applyFont="1" applyFill="1" applyBorder="1"/>
    <xf numFmtId="0" fontId="43" fillId="2" borderId="44" xfId="0" applyFont="1" applyFill="1" applyBorder="1" applyAlignment="1">
      <alignment vertical="center"/>
    </xf>
    <xf numFmtId="0" fontId="2" fillId="2" borderId="4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3" fillId="2" borderId="3" xfId="0" applyFont="1" applyFill="1" applyBorder="1" applyAlignment="1">
      <alignment vertical="center"/>
    </xf>
    <xf numFmtId="0" fontId="43" fillId="2" borderId="61" xfId="0" applyFont="1" applyFill="1" applyBorder="1" applyAlignment="1">
      <alignment vertical="center"/>
    </xf>
    <xf numFmtId="168" fontId="5" fillId="2" borderId="61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168" fontId="5" fillId="0" borderId="0" xfId="0" applyNumberFormat="1" applyFont="1" applyAlignment="1">
      <alignment horizontal="center" vertical="center"/>
    </xf>
    <xf numFmtId="168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/>
    </xf>
    <xf numFmtId="0" fontId="31" fillId="0" borderId="0" xfId="0" applyFont="1" applyAlignment="1">
      <alignment vertical="center"/>
    </xf>
    <xf numFmtId="0" fontId="2" fillId="2" borderId="18" xfId="0" applyFont="1" applyFill="1" applyBorder="1" applyAlignment="1">
      <alignment vertical="center" wrapText="1"/>
    </xf>
    <xf numFmtId="49" fontId="32" fillId="2" borderId="38" xfId="0" applyNumberFormat="1" applyFont="1" applyFill="1" applyBorder="1" applyAlignment="1">
      <alignment horizontal="left" vertical="center"/>
    </xf>
    <xf numFmtId="168" fontId="5" fillId="5" borderId="27" xfId="0" applyNumberFormat="1" applyFont="1" applyFill="1" applyBorder="1" applyAlignment="1">
      <alignment horizontal="center" vertical="center"/>
    </xf>
    <xf numFmtId="168" fontId="5" fillId="5" borderId="33" xfId="0" applyNumberFormat="1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vertical="center"/>
    </xf>
    <xf numFmtId="168" fontId="5" fillId="5" borderId="29" xfId="0" applyNumberFormat="1" applyFont="1" applyFill="1" applyBorder="1" applyAlignment="1">
      <alignment horizontal="center" vertical="center"/>
    </xf>
    <xf numFmtId="168" fontId="5" fillId="5" borderId="20" xfId="0" applyNumberFormat="1" applyFont="1" applyFill="1" applyBorder="1" applyAlignment="1">
      <alignment horizontal="center" vertical="center" wrapText="1"/>
    </xf>
    <xf numFmtId="168" fontId="5" fillId="5" borderId="51" xfId="0" applyNumberFormat="1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47" xfId="0" applyFont="1" applyFill="1" applyBorder="1" applyAlignment="1">
      <alignment horizontal="left" vertical="center"/>
    </xf>
    <xf numFmtId="0" fontId="5" fillId="5" borderId="31" xfId="0" applyFont="1" applyFill="1" applyBorder="1" applyAlignment="1">
      <alignment vertical="center" wrapText="1"/>
    </xf>
    <xf numFmtId="0" fontId="5" fillId="5" borderId="24" xfId="0" applyFont="1" applyFill="1" applyBorder="1" applyAlignment="1">
      <alignment vertical="center" wrapText="1"/>
    </xf>
    <xf numFmtId="0" fontId="41" fillId="5" borderId="5" xfId="0" applyFont="1" applyFill="1" applyBorder="1" applyAlignment="1">
      <alignment vertical="center"/>
    </xf>
    <xf numFmtId="0" fontId="23" fillId="5" borderId="46" xfId="0" applyFont="1" applyFill="1" applyBorder="1" applyAlignment="1">
      <alignment vertical="center"/>
    </xf>
    <xf numFmtId="0" fontId="12" fillId="5" borderId="46" xfId="0" applyFont="1" applyFill="1" applyBorder="1" applyAlignment="1">
      <alignment horizontal="right" vertical="center"/>
    </xf>
    <xf numFmtId="0" fontId="31" fillId="5" borderId="13" xfId="0" applyFont="1" applyFill="1" applyBorder="1" applyAlignment="1">
      <alignment vertical="center"/>
    </xf>
    <xf numFmtId="0" fontId="19" fillId="5" borderId="0" xfId="0" applyFont="1" applyFill="1" applyAlignment="1">
      <alignment vertical="center"/>
    </xf>
    <xf numFmtId="0" fontId="19" fillId="5" borderId="0" xfId="0" applyFont="1" applyFill="1" applyAlignment="1">
      <alignment horizontal="right" vertical="center"/>
    </xf>
    <xf numFmtId="0" fontId="31" fillId="5" borderId="0" xfId="0" applyFont="1" applyFill="1" applyAlignment="1">
      <alignment vertical="center"/>
    </xf>
    <xf numFmtId="0" fontId="24" fillId="3" borderId="10" xfId="0" applyFont="1" applyFill="1" applyBorder="1" applyAlignment="1">
      <alignment horizontal="left" vertical="center"/>
    </xf>
    <xf numFmtId="0" fontId="5" fillId="2" borderId="61" xfId="0" applyFont="1" applyFill="1" applyBorder="1" applyAlignment="1">
      <alignment vertical="center"/>
    </xf>
    <xf numFmtId="0" fontId="29" fillId="2" borderId="62" xfId="0" applyFont="1" applyFill="1" applyBorder="1" applyAlignment="1">
      <alignment vertical="center" wrapText="1"/>
    </xf>
    <xf numFmtId="0" fontId="29" fillId="2" borderId="55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1" fillId="2" borderId="9" xfId="0" applyFont="1" applyFill="1" applyBorder="1" applyAlignment="1">
      <alignment vertical="center" wrapText="1"/>
    </xf>
    <xf numFmtId="0" fontId="16" fillId="5" borderId="22" xfId="1" applyNumberFormat="1" applyFont="1" applyFill="1" applyBorder="1" applyAlignment="1" applyProtection="1">
      <alignment horizontal="left" vertical="top"/>
    </xf>
    <xf numFmtId="167" fontId="16" fillId="5" borderId="33" xfId="1" applyNumberFormat="1" applyFont="1" applyFill="1" applyBorder="1" applyAlignment="1" applyProtection="1">
      <alignment horizontal="left" vertical="top"/>
    </xf>
    <xf numFmtId="0" fontId="16" fillId="5" borderId="8" xfId="1" applyNumberFormat="1" applyFont="1" applyFill="1" applyBorder="1" applyAlignment="1" applyProtection="1">
      <alignment horizontal="left" vertical="top"/>
    </xf>
    <xf numFmtId="167" fontId="16" fillId="5" borderId="20" xfId="1" applyNumberFormat="1" applyFont="1" applyFill="1" applyBorder="1" applyAlignment="1" applyProtection="1">
      <alignment horizontal="left" vertical="top"/>
    </xf>
    <xf numFmtId="0" fontId="16" fillId="5" borderId="24" xfId="1" applyNumberFormat="1" applyFont="1" applyFill="1" applyBorder="1" applyAlignment="1" applyProtection="1">
      <alignment horizontal="left" vertical="top"/>
    </xf>
    <xf numFmtId="167" fontId="16" fillId="5" borderId="35" xfId="1" applyNumberFormat="1" applyFont="1" applyFill="1" applyBorder="1" applyAlignment="1" applyProtection="1">
      <alignment horizontal="left" vertical="top"/>
    </xf>
    <xf numFmtId="0" fontId="0" fillId="0" borderId="61" xfId="0" applyBorder="1"/>
    <xf numFmtId="0" fontId="16" fillId="5" borderId="45" xfId="1" applyNumberFormat="1" applyFont="1" applyFill="1" applyBorder="1" applyAlignment="1" applyProtection="1">
      <alignment horizontal="left" vertical="top"/>
    </xf>
    <xf numFmtId="0" fontId="21" fillId="2" borderId="12" xfId="0" applyFont="1" applyFill="1" applyBorder="1" applyAlignment="1">
      <alignment horizontal="left" vertical="center" wrapText="1"/>
    </xf>
    <xf numFmtId="0" fontId="16" fillId="4" borderId="41" xfId="0" applyFont="1" applyFill="1" applyBorder="1" applyAlignment="1">
      <alignment vertical="top"/>
    </xf>
    <xf numFmtId="0" fontId="16" fillId="4" borderId="27" xfId="0" applyFont="1" applyFill="1" applyBorder="1" applyAlignment="1">
      <alignment horizontal="center" vertical="top"/>
    </xf>
    <xf numFmtId="0" fontId="16" fillId="4" borderId="22" xfId="0" applyFont="1" applyFill="1" applyBorder="1" applyAlignment="1">
      <alignment horizontal="center" vertical="top"/>
    </xf>
    <xf numFmtId="0" fontId="16" fillId="4" borderId="14" xfId="0" applyFont="1" applyFill="1" applyBorder="1" applyAlignment="1">
      <alignment vertical="top"/>
    </xf>
    <xf numFmtId="0" fontId="16" fillId="4" borderId="29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0" fontId="16" fillId="4" borderId="42" xfId="0" applyFont="1" applyFill="1" applyBorder="1" applyAlignment="1">
      <alignment vertical="top"/>
    </xf>
    <xf numFmtId="0" fontId="16" fillId="4" borderId="78" xfId="0" applyFont="1" applyFill="1" applyBorder="1" applyAlignment="1">
      <alignment horizontal="center" vertical="top"/>
    </xf>
    <xf numFmtId="0" fontId="16" fillId="4" borderId="24" xfId="0" applyFont="1" applyFill="1" applyBorder="1" applyAlignment="1">
      <alignment horizontal="center" vertical="top"/>
    </xf>
    <xf numFmtId="0" fontId="51" fillId="5" borderId="0" xfId="0" applyFont="1" applyFill="1" applyAlignment="1">
      <alignment horizontal="left"/>
    </xf>
    <xf numFmtId="0" fontId="5" fillId="0" borderId="4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0" fillId="7" borderId="34" xfId="0" applyFont="1" applyFill="1" applyBorder="1" applyAlignment="1">
      <alignment horizontal="center" vertical="center"/>
    </xf>
    <xf numFmtId="0" fontId="30" fillId="7" borderId="73" xfId="0" applyFont="1" applyFill="1" applyBorder="1" applyAlignment="1">
      <alignment horizontal="center" vertical="center"/>
    </xf>
    <xf numFmtId="0" fontId="30" fillId="7" borderId="69" xfId="0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center" vertical="center" wrapText="1"/>
    </xf>
    <xf numFmtId="0" fontId="30" fillId="8" borderId="44" xfId="0" applyFont="1" applyFill="1" applyBorder="1" applyAlignment="1">
      <alignment horizontal="center" vertical="center" wrapText="1"/>
    </xf>
    <xf numFmtId="0" fontId="30" fillId="8" borderId="2" xfId="0" applyFont="1" applyFill="1" applyBorder="1" applyAlignment="1">
      <alignment horizontal="center" vertical="center" wrapText="1"/>
    </xf>
    <xf numFmtId="0" fontId="30" fillId="8" borderId="63" xfId="0" applyFont="1" applyFill="1" applyBorder="1" applyAlignment="1">
      <alignment horizontal="center" vertical="center" wrapText="1"/>
    </xf>
    <xf numFmtId="0" fontId="30" fillId="8" borderId="0" xfId="0" applyFont="1" applyFill="1" applyAlignment="1">
      <alignment horizontal="center" vertical="center" wrapText="1"/>
    </xf>
    <xf numFmtId="0" fontId="30" fillId="8" borderId="64" xfId="0" applyFont="1" applyFill="1" applyBorder="1" applyAlignment="1">
      <alignment horizontal="center" vertical="center" wrapText="1"/>
    </xf>
    <xf numFmtId="0" fontId="30" fillId="11" borderId="63" xfId="0" applyFont="1" applyFill="1" applyBorder="1" applyAlignment="1">
      <alignment horizontal="center" vertical="center"/>
    </xf>
    <xf numFmtId="0" fontId="30" fillId="11" borderId="0" xfId="0" applyFont="1" applyFill="1" applyAlignment="1">
      <alignment horizontal="center" vertical="center"/>
    </xf>
    <xf numFmtId="0" fontId="30" fillId="11" borderId="64" xfId="0" applyFont="1" applyFill="1" applyBorder="1" applyAlignment="1">
      <alignment horizontal="center" vertical="center"/>
    </xf>
    <xf numFmtId="0" fontId="30" fillId="11" borderId="3" xfId="0" applyFont="1" applyFill="1" applyBorder="1" applyAlignment="1">
      <alignment horizontal="center" vertical="center"/>
    </xf>
    <xf numFmtId="0" fontId="30" fillId="11" borderId="61" xfId="0" applyFont="1" applyFill="1" applyBorder="1" applyAlignment="1">
      <alignment horizontal="center" vertical="center"/>
    </xf>
    <xf numFmtId="0" fontId="30" fillId="11" borderId="4" xfId="0" applyFont="1" applyFill="1" applyBorder="1" applyAlignment="1">
      <alignment horizontal="center" vertical="center"/>
    </xf>
    <xf numFmtId="0" fontId="30" fillId="7" borderId="44" xfId="0" applyFont="1" applyFill="1" applyBorder="1" applyAlignment="1">
      <alignment horizontal="center" vertical="center"/>
    </xf>
    <xf numFmtId="0" fontId="30" fillId="7" borderId="2" xfId="0" applyFont="1" applyFill="1" applyBorder="1" applyAlignment="1">
      <alignment horizontal="center" vertical="center"/>
    </xf>
    <xf numFmtId="0" fontId="30" fillId="7" borderId="0" xfId="0" applyFont="1" applyFill="1" applyAlignment="1">
      <alignment horizontal="center" vertical="center"/>
    </xf>
    <xf numFmtId="0" fontId="30" fillId="7" borderId="64" xfId="0" applyFont="1" applyFill="1" applyBorder="1" applyAlignment="1">
      <alignment horizontal="center" vertical="center"/>
    </xf>
    <xf numFmtId="0" fontId="30" fillId="7" borderId="5" xfId="0" applyFont="1" applyFill="1" applyBorder="1" applyAlignment="1">
      <alignment horizontal="center" vertical="center"/>
    </xf>
    <xf numFmtId="0" fontId="30" fillId="7" borderId="53" xfId="0" applyFont="1" applyFill="1" applyBorder="1" applyAlignment="1">
      <alignment horizontal="center" vertical="center"/>
    </xf>
    <xf numFmtId="0" fontId="30" fillId="7" borderId="77" xfId="0" applyFont="1" applyFill="1" applyBorder="1" applyAlignment="1">
      <alignment horizontal="center" vertical="center"/>
    </xf>
    <xf numFmtId="0" fontId="30" fillId="7" borderId="60" xfId="0" applyFont="1" applyFill="1" applyBorder="1" applyAlignment="1">
      <alignment horizontal="center" vertical="center"/>
    </xf>
    <xf numFmtId="0" fontId="30" fillId="7" borderId="57" xfId="0" applyFont="1" applyFill="1" applyBorder="1" applyAlignment="1">
      <alignment horizontal="center" vertical="center"/>
    </xf>
    <xf numFmtId="0" fontId="30" fillId="7" borderId="61" xfId="0" applyFont="1" applyFill="1" applyBorder="1" applyAlignment="1">
      <alignment horizontal="center" vertical="center"/>
    </xf>
    <xf numFmtId="0" fontId="30" fillId="7" borderId="4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44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63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5" fillId="7" borderId="6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6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29" fillId="2" borderId="76" xfId="0" applyFont="1" applyFill="1" applyBorder="1" applyAlignment="1">
      <alignment horizontal="left" vertical="center" wrapText="1"/>
    </xf>
    <xf numFmtId="0" fontId="29" fillId="2" borderId="62" xfId="0" applyFont="1" applyFill="1" applyBorder="1" applyAlignment="1">
      <alignment horizontal="left" vertical="center" wrapText="1"/>
    </xf>
    <xf numFmtId="0" fontId="30" fillId="8" borderId="67" xfId="0" applyFont="1" applyFill="1" applyBorder="1" applyAlignment="1">
      <alignment horizontal="left" vertical="center" wrapText="1"/>
    </xf>
    <xf numFmtId="0" fontId="30" fillId="8" borderId="71" xfId="0" applyFont="1" applyFill="1" applyBorder="1" applyAlignment="1">
      <alignment horizontal="left" vertical="center" wrapText="1"/>
    </xf>
    <xf numFmtId="0" fontId="30" fillId="8" borderId="60" xfId="0" applyFont="1" applyFill="1" applyBorder="1" applyAlignment="1">
      <alignment horizontal="left" vertical="center" wrapText="1"/>
    </xf>
    <xf numFmtId="0" fontId="30" fillId="8" borderId="0" xfId="0" applyFont="1" applyFill="1" applyAlignment="1">
      <alignment horizontal="left" vertical="center" wrapText="1"/>
    </xf>
    <xf numFmtId="0" fontId="30" fillId="8" borderId="57" xfId="0" applyFont="1" applyFill="1" applyBorder="1" applyAlignment="1">
      <alignment horizontal="left" vertical="center" wrapText="1"/>
    </xf>
    <xf numFmtId="0" fontId="30" fillId="8" borderId="61" xfId="0" applyFont="1" applyFill="1" applyBorder="1" applyAlignment="1">
      <alignment horizontal="left" vertical="center" wrapText="1"/>
    </xf>
    <xf numFmtId="0" fontId="29" fillId="2" borderId="72" xfId="0" applyFont="1" applyFill="1" applyBorder="1" applyAlignment="1">
      <alignment horizontal="left" vertical="center" wrapText="1"/>
    </xf>
    <xf numFmtId="0" fontId="29" fillId="2" borderId="47" xfId="0" applyFont="1" applyFill="1" applyBorder="1" applyAlignment="1">
      <alignment horizontal="left" vertical="center" wrapText="1"/>
    </xf>
    <xf numFmtId="0" fontId="29" fillId="2" borderId="48" xfId="0" applyFont="1" applyFill="1" applyBorder="1" applyAlignment="1">
      <alignment horizontal="left" vertical="center" wrapText="1"/>
    </xf>
    <xf numFmtId="0" fontId="29" fillId="2" borderId="55" xfId="0" applyFont="1" applyFill="1" applyBorder="1" applyAlignment="1">
      <alignment horizontal="left" vertical="center" wrapText="1"/>
    </xf>
    <xf numFmtId="0" fontId="5" fillId="8" borderId="30" xfId="0" applyFont="1" applyFill="1" applyBorder="1" applyAlignment="1">
      <alignment horizontal="left" vertical="center" wrapText="1"/>
    </xf>
    <xf numFmtId="0" fontId="5" fillId="8" borderId="52" xfId="0" applyFont="1" applyFill="1" applyBorder="1" applyAlignment="1">
      <alignment horizontal="left" vertical="center" wrapText="1"/>
    </xf>
    <xf numFmtId="0" fontId="5" fillId="8" borderId="13" xfId="0" applyFont="1" applyFill="1" applyBorder="1" applyAlignment="1">
      <alignment horizontal="left" vertical="center" wrapText="1"/>
    </xf>
    <xf numFmtId="0" fontId="30" fillId="7" borderId="30" xfId="0" applyFont="1" applyFill="1" applyBorder="1" applyAlignment="1">
      <alignment horizontal="left" vertical="top" wrapText="1"/>
    </xf>
    <xf numFmtId="0" fontId="30" fillId="7" borderId="52" xfId="0" applyFont="1" applyFill="1" applyBorder="1" applyAlignment="1">
      <alignment horizontal="left" vertical="top" wrapText="1"/>
    </xf>
    <xf numFmtId="0" fontId="30" fillId="7" borderId="13" xfId="0" applyFont="1" applyFill="1" applyBorder="1" applyAlignment="1">
      <alignment horizontal="left" vertical="top" wrapText="1"/>
    </xf>
    <xf numFmtId="0" fontId="30" fillId="8" borderId="39" xfId="0" applyFont="1" applyFill="1" applyBorder="1" applyAlignment="1">
      <alignment horizontal="center" vertical="center" wrapText="1"/>
    </xf>
    <xf numFmtId="0" fontId="30" fillId="8" borderId="70" xfId="0" applyFont="1" applyFill="1" applyBorder="1" applyAlignment="1">
      <alignment horizontal="center" vertical="center" wrapText="1"/>
    </xf>
    <xf numFmtId="0" fontId="36" fillId="3" borderId="10" xfId="0" applyFont="1" applyFill="1" applyBorder="1" applyAlignment="1">
      <alignment horizontal="left" vertical="center" wrapText="1"/>
    </xf>
    <xf numFmtId="0" fontId="37" fillId="3" borderId="10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center"/>
    </xf>
    <xf numFmtId="0" fontId="50" fillId="5" borderId="0" xfId="0" applyFont="1" applyFill="1" applyAlignment="1">
      <alignment horizontal="left" vertical="top" wrapText="1"/>
    </xf>
  </cellXfs>
  <cellStyles count="7">
    <cellStyle name="Hyperlink" xfId="6" builtinId="8"/>
    <cellStyle name="Procent" xfId="2" builtinId="5"/>
    <cellStyle name="Standaard" xfId="0" builtinId="0"/>
    <cellStyle name="Standaard 2" xfId="4" xr:uid="{6CD45C73-E75A-4B62-8531-67D7A7252129}"/>
    <cellStyle name="Valuta" xfId="1" builtinId="4"/>
    <cellStyle name="Valuta 2" xfId="3" xr:uid="{18CA0A06-0E54-415F-9E1D-DE2C5F4CDE12}"/>
    <cellStyle name="Valuta 3" xfId="5" xr:uid="{AFD14DE9-3071-40B3-9FB7-462CA9DA8360}"/>
  </cellStyles>
  <dxfs count="10">
    <dxf>
      <font>
        <b/>
        <i val="0"/>
        <strike val="0"/>
        <color rgb="FFFF0000"/>
      </font>
    </dxf>
    <dxf>
      <font>
        <strike val="0"/>
        <color rgb="FFFF0000"/>
      </font>
      <fill>
        <patternFill patternType="gray125">
          <fgColor rgb="FFFF0000"/>
          <bgColor theme="0"/>
        </patternFill>
      </fill>
    </dxf>
    <dxf>
      <font>
        <b/>
        <i val="0"/>
        <strike val="0"/>
        <color rgb="FFFF0000"/>
      </font>
      <fill>
        <patternFill patternType="solid">
          <fgColor auto="1"/>
          <bgColor theme="4" tint="0.79998168889431442"/>
        </patternFill>
      </fill>
    </dxf>
    <dxf>
      <font>
        <b/>
        <i val="0"/>
        <strike val="0"/>
        <color rgb="FFFF0000"/>
      </font>
      <fill>
        <patternFill patternType="solid">
          <fgColor auto="1"/>
          <bgColor theme="4" tint="0.79998168889431442"/>
        </patternFill>
      </fill>
    </dxf>
    <dxf>
      <font>
        <strike val="0"/>
        <color rgb="FFFF0000"/>
      </font>
      <fill>
        <patternFill patternType="gray125">
          <fgColor rgb="FFFF0000"/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ont>
        <color theme="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mehv.sharepoint.com/sites/prj_MVOIInkoopContractmanagement/Gedeelde%20documenten/Sjablonen/Formulier%20Schoon-%20en%20Emissieloos%20Bouwen%203.2.xlsx" TargetMode="External"/><Relationship Id="rId1" Type="http://schemas.openxmlformats.org/officeDocument/2006/relationships/externalLinkPath" Target="https://gemehv.sharepoint.com/sites/prj_MVOIInkoopContractmanagement/Gedeelde%20documenten/Sjablonen/Formulier%20Schoon-%20en%20Emissieloos%20Bouwen%203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roleblad"/>
      <sheetName val="fictieve meerwaarde &amp; eisen"/>
      <sheetName val="materieelinzetplan"/>
      <sheetName val="logboek werktuigen"/>
      <sheetName val="logboek transport"/>
      <sheetName val="machinelijst"/>
      <sheetName val="subsidie"/>
      <sheetName val="beoordeling"/>
    </sheetNames>
    <sheetDataSet>
      <sheetData sheetId="0"/>
      <sheetData sheetId="1"/>
      <sheetData sheetId="2">
        <row r="62">
          <cell r="B62" t="str">
            <v>omschrijving materieelstuk</v>
          </cell>
          <cell r="C62" t="str">
            <v>vermogensklasse (kW)</v>
          </cell>
          <cell r="D62" t="str">
            <v>belofte uren inzet</v>
          </cell>
        </row>
        <row r="70">
          <cell r="B70" t="str">
            <v>omschrijving materieelstuk</v>
          </cell>
          <cell r="C70" t="str">
            <v>batterijcapaciteit (kWh)</v>
          </cell>
          <cell r="D70" t="str">
            <v>belofte uren inzet</v>
          </cell>
        </row>
        <row r="78">
          <cell r="B78" t="str">
            <v>omschrijving materieelstuk</v>
          </cell>
          <cell r="C78" t="str">
            <v>vermogensklasse (kW)</v>
          </cell>
          <cell r="D78" t="str">
            <v>belofte uren inzet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opwegnaarzes.nl/media/pages/gemeente/kennisbank/literatuur-en-onderzoek/565ac81af6-1728976470/rapportage_bijzondere_voertuigen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752D-C760-4A8C-A509-54E81BF5865F}">
  <sheetPr codeName="Blad2">
    <tabColor theme="4" tint="0.79998168889431442"/>
    <pageSetUpPr fitToPage="1"/>
  </sheetPr>
  <dimension ref="A1:U82"/>
  <sheetViews>
    <sheetView showGridLines="0" tabSelected="1" zoomScale="80" zoomScaleNormal="80" workbookViewId="0">
      <selection activeCell="K10" sqref="K10"/>
    </sheetView>
  </sheetViews>
  <sheetFormatPr defaultColWidth="9.08984375" defaultRowHeight="14.5"/>
  <cols>
    <col min="1" max="1" width="2.6328125" style="7" customWidth="1"/>
    <col min="2" max="2" width="21.54296875" style="7" customWidth="1"/>
    <col min="3" max="3" width="20.90625" style="233" customWidth="1"/>
    <col min="4" max="4" width="11.6328125" style="7" customWidth="1"/>
    <col min="5" max="12" width="15.6328125" style="7" customWidth="1"/>
    <col min="13" max="13" width="14.6328125" style="7" customWidth="1"/>
    <col min="14" max="14" width="5.453125" style="7" customWidth="1"/>
    <col min="15" max="15" width="4.54296875" style="234" customWidth="1"/>
    <col min="16" max="16" width="32.54296875" style="234" customWidth="1"/>
    <col min="17" max="20" width="25" style="7" customWidth="1"/>
    <col min="21" max="38" width="11.54296875" style="7" customWidth="1"/>
    <col min="39" max="39" width="9.08984375" style="7" customWidth="1"/>
    <col min="40" max="40" width="10.90625" style="7" customWidth="1"/>
    <col min="41" max="41" width="14.453125" style="7" customWidth="1"/>
    <col min="42" max="42" width="9.08984375" style="7" customWidth="1"/>
    <col min="43" max="43" width="13.36328125" style="7" customWidth="1"/>
    <col min="44" max="16384" width="9.08984375" style="7"/>
  </cols>
  <sheetData>
    <row r="1" spans="1:21">
      <c r="L1" s="234"/>
      <c r="M1" s="234"/>
      <c r="N1" s="234"/>
      <c r="P1" s="7"/>
    </row>
    <row r="2" spans="1:21" s="237" customFormat="1" ht="23.5" customHeight="1">
      <c r="A2" s="235"/>
      <c r="B2" s="121">
        <v>618182601</v>
      </c>
      <c r="C2" s="119" t="s">
        <v>247</v>
      </c>
      <c r="D2" s="235"/>
      <c r="E2" s="398" t="e" vm="1">
        <v>#VALUE!</v>
      </c>
      <c r="F2" s="398"/>
      <c r="H2" s="235"/>
      <c r="I2" s="235"/>
      <c r="J2" s="235"/>
      <c r="K2" s="235"/>
      <c r="L2" s="235"/>
      <c r="M2" s="235"/>
      <c r="O2" s="235"/>
      <c r="P2" s="235"/>
      <c r="Q2" s="235"/>
      <c r="R2" s="235"/>
      <c r="S2" s="235"/>
    </row>
    <row r="3" spans="1:21" s="49" customFormat="1" ht="15" customHeight="1">
      <c r="A3" s="47"/>
      <c r="B3" s="48" t="s">
        <v>2</v>
      </c>
      <c r="C3" s="48"/>
      <c r="D3" s="47"/>
      <c r="E3" s="398"/>
      <c r="F3" s="398"/>
      <c r="H3" s="47"/>
      <c r="I3" s="47"/>
      <c r="J3" s="47"/>
      <c r="K3" s="47"/>
      <c r="L3" s="47"/>
      <c r="M3" s="236"/>
      <c r="N3" s="238"/>
      <c r="O3" s="236"/>
      <c r="P3" s="47"/>
      <c r="Q3" s="236"/>
      <c r="R3" s="236"/>
      <c r="S3" s="47"/>
      <c r="T3" s="238"/>
      <c r="U3" s="238"/>
    </row>
    <row r="4" spans="1:21" s="49" customFormat="1" ht="15" customHeight="1">
      <c r="A4" s="47"/>
      <c r="B4" s="48"/>
      <c r="C4" s="47"/>
      <c r="D4" s="47"/>
      <c r="E4" s="236"/>
      <c r="F4" s="236"/>
      <c r="G4" s="47"/>
      <c r="H4" s="47"/>
      <c r="I4" s="47"/>
      <c r="J4" s="47"/>
      <c r="K4" s="47"/>
      <c r="L4" s="47"/>
      <c r="M4" s="236"/>
      <c r="N4" s="238"/>
      <c r="O4" s="236"/>
      <c r="P4" s="47"/>
      <c r="Q4" s="236"/>
      <c r="R4" s="236"/>
      <c r="S4" s="47"/>
      <c r="T4" s="238"/>
      <c r="U4" s="238"/>
    </row>
    <row r="5" spans="1:21" s="49" customFormat="1" ht="15" customHeight="1">
      <c r="A5" s="47"/>
      <c r="B5" s="239" t="s">
        <v>3</v>
      </c>
      <c r="D5" s="47"/>
      <c r="E5" s="47"/>
      <c r="F5" s="47"/>
      <c r="G5" s="47"/>
      <c r="H5" s="47"/>
      <c r="I5" s="47"/>
      <c r="J5" s="47"/>
      <c r="K5" s="47"/>
      <c r="L5" s="47"/>
      <c r="M5" s="236"/>
      <c r="N5" s="238"/>
      <c r="O5" s="236"/>
      <c r="P5" s="47"/>
      <c r="Q5" s="236"/>
      <c r="R5" s="236"/>
      <c r="S5" s="47"/>
      <c r="T5" s="238"/>
      <c r="U5" s="238"/>
    </row>
    <row r="6" spans="1:21" s="49" customFormat="1" ht="15" customHeight="1">
      <c r="A6" s="47"/>
      <c r="B6" s="239" t="s">
        <v>4</v>
      </c>
      <c r="D6" s="47"/>
      <c r="E6" s="47"/>
      <c r="F6" s="47"/>
      <c r="G6" s="47"/>
      <c r="H6" s="47"/>
      <c r="I6" s="47"/>
      <c r="J6" s="47"/>
      <c r="K6" s="47"/>
      <c r="L6" s="47"/>
      <c r="M6" s="236"/>
      <c r="N6" s="238"/>
      <c r="O6" s="236"/>
      <c r="P6" s="47"/>
      <c r="Q6" s="236"/>
      <c r="R6" s="236"/>
      <c r="S6" s="47"/>
      <c r="T6" s="238"/>
      <c r="U6" s="238"/>
    </row>
    <row r="7" spans="1:21" s="49" customFormat="1" ht="15" customHeight="1">
      <c r="A7" s="47"/>
      <c r="B7" s="239" t="s">
        <v>5</v>
      </c>
      <c r="D7" s="47"/>
      <c r="E7" s="47"/>
      <c r="F7" s="47"/>
      <c r="G7" s="47"/>
      <c r="H7" s="47"/>
      <c r="I7" s="47"/>
      <c r="J7" s="47"/>
      <c r="K7" s="47"/>
      <c r="L7" s="47"/>
      <c r="M7" s="236"/>
      <c r="N7" s="238"/>
      <c r="O7" s="236"/>
      <c r="P7" s="47"/>
      <c r="Q7" s="236"/>
      <c r="R7" s="236"/>
      <c r="S7" s="47"/>
      <c r="T7" s="238"/>
      <c r="U7" s="238"/>
    </row>
    <row r="8" spans="1:21" s="49" customFormat="1" ht="15" customHeight="1">
      <c r="A8" s="47"/>
      <c r="B8" s="239" t="s">
        <v>6</v>
      </c>
      <c r="D8" s="47"/>
      <c r="E8" s="47"/>
      <c r="F8" s="47"/>
      <c r="G8" s="47"/>
      <c r="H8" s="47"/>
      <c r="I8" s="47"/>
      <c r="J8" s="47"/>
      <c r="K8" s="47"/>
      <c r="L8" s="47"/>
      <c r="M8" s="236"/>
      <c r="N8" s="238"/>
      <c r="O8" s="236"/>
      <c r="P8" s="47"/>
      <c r="Q8" s="236"/>
      <c r="R8" s="236"/>
      <c r="S8" s="47"/>
      <c r="T8" s="238"/>
      <c r="U8" s="238"/>
    </row>
    <row r="9" spans="1:21" s="49" customFormat="1" ht="15" customHeight="1">
      <c r="A9" s="47"/>
      <c r="B9" s="240"/>
      <c r="C9" s="241"/>
      <c r="D9" s="47"/>
      <c r="E9" s="47"/>
      <c r="F9" s="47"/>
      <c r="G9" s="47"/>
      <c r="H9" s="47"/>
      <c r="I9" s="47"/>
      <c r="J9" s="47"/>
      <c r="K9" s="47"/>
      <c r="L9" s="47"/>
      <c r="M9" s="21"/>
      <c r="N9" s="183"/>
      <c r="O9" s="47"/>
      <c r="P9" s="47"/>
      <c r="Q9" s="242"/>
      <c r="R9" s="242"/>
      <c r="S9" s="47"/>
      <c r="T9" s="238"/>
      <c r="U9" s="238"/>
    </row>
    <row r="10" spans="1:21" s="49" customFormat="1" ht="15" customHeight="1" thickBot="1">
      <c r="A10" s="47"/>
      <c r="B10" s="243" t="s">
        <v>7</v>
      </c>
      <c r="C10" s="244"/>
      <c r="D10" s="244"/>
      <c r="E10" s="47"/>
      <c r="F10" s="245"/>
      <c r="G10" s="245"/>
      <c r="H10" s="245"/>
      <c r="I10" s="245"/>
      <c r="J10" s="245"/>
      <c r="K10" s="245"/>
      <c r="L10" s="245"/>
      <c r="M10" s="245"/>
      <c r="N10" s="246"/>
      <c r="O10" s="47"/>
      <c r="P10" s="47"/>
      <c r="Q10" s="242"/>
      <c r="R10" s="242"/>
      <c r="S10" s="47"/>
      <c r="T10" s="238"/>
      <c r="U10" s="238"/>
    </row>
    <row r="11" spans="1:21" s="49" customFormat="1" ht="24.9" customHeight="1">
      <c r="A11" s="47"/>
      <c r="B11" s="247" t="s">
        <v>8</v>
      </c>
      <c r="C11" s="122">
        <f>$M$20+$M$47</f>
        <v>0</v>
      </c>
      <c r="D11" s="248"/>
      <c r="E11" s="47" t="s">
        <v>212</v>
      </c>
      <c r="F11" s="197"/>
      <c r="H11" s="245"/>
      <c r="I11" s="245"/>
      <c r="J11" s="245"/>
      <c r="K11" s="245"/>
      <c r="L11" s="245"/>
      <c r="M11" s="245"/>
      <c r="N11" s="246"/>
      <c r="O11" s="47"/>
      <c r="P11" s="47"/>
      <c r="Q11" s="242"/>
      <c r="R11" s="242"/>
      <c r="S11" s="47"/>
      <c r="T11" s="238"/>
      <c r="U11" s="238"/>
    </row>
    <row r="12" spans="1:21" s="49" customFormat="1" ht="24.9" customHeight="1" thickBot="1">
      <c r="A12" s="47"/>
      <c r="B12" s="249" t="s">
        <v>9</v>
      </c>
      <c r="C12" s="123">
        <f>$M$21+$M$48</f>
        <v>15000</v>
      </c>
      <c r="D12" s="248"/>
      <c r="E12" s="47" t="s">
        <v>213</v>
      </c>
      <c r="F12" s="196"/>
      <c r="H12" s="245"/>
      <c r="I12" s="245"/>
      <c r="J12" s="245"/>
      <c r="K12" s="245"/>
      <c r="L12" s="245"/>
      <c r="M12" s="245"/>
      <c r="N12" s="246"/>
      <c r="O12" s="47"/>
      <c r="P12" s="47"/>
      <c r="Q12" s="242"/>
      <c r="R12" s="242"/>
      <c r="S12" s="47"/>
      <c r="T12" s="238"/>
      <c r="U12" s="238"/>
    </row>
    <row r="13" spans="1:21" s="49" customFormat="1" ht="15" customHeight="1" thickBot="1">
      <c r="A13" s="47"/>
      <c r="B13" s="7"/>
      <c r="C13" s="4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183"/>
      <c r="O13" s="21"/>
      <c r="P13" s="21"/>
      <c r="Q13" s="242"/>
      <c r="R13" s="242"/>
      <c r="S13" s="47"/>
      <c r="T13" s="238"/>
      <c r="U13" s="238"/>
    </row>
    <row r="14" spans="1:21" s="49" customFormat="1" ht="39.9" customHeight="1" thickBot="1">
      <c r="A14" s="47"/>
      <c r="B14" s="50" t="s">
        <v>11</v>
      </c>
      <c r="C14" s="51"/>
      <c r="D14" s="51"/>
      <c r="E14" s="250" t="s">
        <v>12</v>
      </c>
      <c r="F14" s="251">
        <v>46388</v>
      </c>
      <c r="G14" s="250" t="s">
        <v>12</v>
      </c>
      <c r="H14" s="251">
        <v>46753</v>
      </c>
      <c r="I14" s="250" t="s">
        <v>12</v>
      </c>
      <c r="J14" s="251">
        <v>47119</v>
      </c>
      <c r="K14" s="250" t="s">
        <v>12</v>
      </c>
      <c r="L14" s="251">
        <v>47484</v>
      </c>
      <c r="M14" s="252"/>
      <c r="N14" s="253"/>
      <c r="O14" s="47"/>
      <c r="P14" s="254" t="s">
        <v>13</v>
      </c>
      <c r="Q14" s="51" t="str">
        <f>B14</f>
        <v>WERKTUIGEN</v>
      </c>
      <c r="R14" s="51"/>
      <c r="S14" s="51"/>
      <c r="T14" s="252"/>
    </row>
    <row r="15" spans="1:21" s="266" customFormat="1" ht="24.9" customHeight="1" thickBot="1">
      <c r="A15" s="239"/>
      <c r="B15" s="255" t="s">
        <v>14</v>
      </c>
      <c r="C15" s="256" t="s">
        <v>15</v>
      </c>
      <c r="D15" s="257" t="s">
        <v>16</v>
      </c>
      <c r="E15" s="258" t="s">
        <v>17</v>
      </c>
      <c r="F15" s="259" t="s">
        <v>18</v>
      </c>
      <c r="G15" s="260" t="s">
        <v>17</v>
      </c>
      <c r="H15" s="259" t="s">
        <v>18</v>
      </c>
      <c r="I15" s="260" t="s">
        <v>17</v>
      </c>
      <c r="J15" s="259" t="s">
        <v>18</v>
      </c>
      <c r="K15" s="260" t="s">
        <v>17</v>
      </c>
      <c r="L15" s="259" t="s">
        <v>18</v>
      </c>
      <c r="M15" s="261" t="s">
        <v>19</v>
      </c>
      <c r="N15" s="262"/>
      <c r="O15" s="239"/>
      <c r="P15" s="263" t="s">
        <v>20</v>
      </c>
      <c r="Q15" s="264">
        <v>46388</v>
      </c>
      <c r="R15" s="264">
        <v>46753</v>
      </c>
      <c r="S15" s="264">
        <v>47119</v>
      </c>
      <c r="T15" s="265">
        <v>47484</v>
      </c>
    </row>
    <row r="16" spans="1:21" s="49" customFormat="1" ht="15" customHeight="1">
      <c r="A16" s="47"/>
      <c r="B16" s="267" t="s">
        <v>21</v>
      </c>
      <c r="C16" s="268" t="s">
        <v>22</v>
      </c>
      <c r="D16" s="269">
        <v>10</v>
      </c>
      <c r="E16" s="270">
        <f>IFERROR(($D16*F16),0)</f>
        <v>0</v>
      </c>
      <c r="F16" s="271" cm="1">
        <f t="array" ref="F16">SUM(_xlfn._xlws.FILTER(materieelinzetplan!$F$17:$F$36,(materieelinzetplan!$C$17:$C$36='fictieve meerwaarde &amp; eisen'!B16)*(materieelinzetplan!$D$17:$D$36='fictieve meerwaarde &amp; eisen'!C16)*ISNUMBER(MATCH(materieelinzetplan!$E$17:$E$36,'fictieve meerwaarde &amp; eisen'!$P$19:$P$21,0)),0))</f>
        <v>0</v>
      </c>
      <c r="G16" s="270">
        <f>IFERROR(($D16*H16),0)</f>
        <v>0</v>
      </c>
      <c r="H16" s="271" cm="1">
        <f t="array" ref="H16">SUM(_xlfn._xlws.FILTER(materieelinzetplan!$G$17:$G$36,(materieelinzetplan!$C$17:$C$36='fictieve meerwaarde &amp; eisen'!B16)*(materieelinzetplan!$D$17:$D$36='fictieve meerwaarde &amp; eisen'!C16)*ISNUMBER(MATCH(materieelinzetplan!$E$17:$E$36,$P$20:$P$21,0)),0))</f>
        <v>0</v>
      </c>
      <c r="I16" s="270">
        <f>IFERROR(($D16*J16),0)</f>
        <v>0</v>
      </c>
      <c r="J16" s="271" cm="1">
        <f t="array" ref="J16">SUM(_xlfn._xlws.FILTER(materieelinzetplan!$H$17:$H$36,(materieelinzetplan!$C$17:$C$36=B16)*(materieelinzetplan!$D$17:$D$36=C16)*ISNUMBER(MATCH(materieelinzetplan!$E$17:$E$36,$P$20:$P$21,0)),0))</f>
        <v>0</v>
      </c>
      <c r="K16" s="270">
        <f>IFERROR(($D16*L16),0)</f>
        <v>0</v>
      </c>
      <c r="L16" s="271" cm="1">
        <f t="array" ref="L16">SUM(_xlfn._xlws.FILTER(materieelinzetplan!$I$17:$I$36,(materieelinzetplan!$C$17:$C$36=B16)*(materieelinzetplan!$D$17:$D$36=C16)*ISNUMBER(MATCH(materieelinzetplan!$E$17:$E$36,$P$20:$P$21,0)),0))</f>
        <v>0</v>
      </c>
      <c r="M16" s="272"/>
      <c r="O16" s="47"/>
      <c r="P16" s="273" t="str">
        <f>subsidie!K2</f>
        <v>tot 8 kW</v>
      </c>
      <c r="Q16" s="274"/>
      <c r="R16" s="378" t="s">
        <v>23</v>
      </c>
      <c r="S16" s="378"/>
      <c r="T16" s="379"/>
    </row>
    <row r="17" spans="1:20" s="49" customFormat="1" ht="15" customHeight="1">
      <c r="A17" s="47"/>
      <c r="B17" s="275" t="s">
        <v>21</v>
      </c>
      <c r="C17" s="276" t="s">
        <v>24</v>
      </c>
      <c r="D17" s="277">
        <v>10</v>
      </c>
      <c r="E17" s="278">
        <f>IFERROR(($D17*F17),0)</f>
        <v>0</v>
      </c>
      <c r="F17" s="271" cm="1">
        <f t="array" ref="F17">SUM(_xlfn._xlws.FILTER(materieelinzetplan!$F$17:$F$36,(materieelinzetplan!$C$17:$C$36='fictieve meerwaarde &amp; eisen'!B17)*(materieelinzetplan!$D$17:$D$36='fictieve meerwaarde &amp; eisen'!C17)*ISNUMBER(MATCH(materieelinzetplan!$E$17:$E$36,'fictieve meerwaarde &amp; eisen'!$P$19:$P$21,0)),0))</f>
        <v>0</v>
      </c>
      <c r="G17" s="278">
        <f>IFERROR(($D17*H17),0)</f>
        <v>0</v>
      </c>
      <c r="H17" s="271" cm="1">
        <f t="array" ref="H17">SUM(_xlfn._xlws.FILTER(materieelinzetplan!$G$17:$G$36,(materieelinzetplan!$C$17:$C$36='fictieve meerwaarde &amp; eisen'!B17)*(materieelinzetplan!$D$17:$D$36='fictieve meerwaarde &amp; eisen'!C17)*ISNUMBER(MATCH(materieelinzetplan!$E$17:$E$36,$P$20:$P$21,0)),0))</f>
        <v>0</v>
      </c>
      <c r="I17" s="278">
        <f>IFERROR(($D17*J17),0)</f>
        <v>0</v>
      </c>
      <c r="J17" s="271" cm="1">
        <f t="array" ref="J17">SUM(_xlfn._xlws.FILTER(materieelinzetplan!$H$17:$H$36,(materieelinzetplan!$C$17:$C$36=B17)*(materieelinzetplan!$D$17:$D$36=C17)*ISNUMBER(MATCH(materieelinzetplan!$E$17:$E$36,$P$20:$P$21,0)),0))</f>
        <v>0</v>
      </c>
      <c r="K17" s="278">
        <f>IFERROR(($D17*L17),0)</f>
        <v>0</v>
      </c>
      <c r="L17" s="271" cm="1">
        <f t="array" ref="L17">SUM(_xlfn._xlws.FILTER(materieelinzetplan!$I$17:$I$36,(materieelinzetplan!$C$17:$C$36=B17)*(materieelinzetplan!$D$17:$D$36=C17)*ISNUMBER(MATCH(materieelinzetplan!$E$17:$E$36,$P$20:$P$21,0)),0))</f>
        <v>0</v>
      </c>
      <c r="M17" s="272"/>
      <c r="O17" s="47"/>
      <c r="P17" s="279" t="str">
        <f>subsidie!K3</f>
        <v>van 8 tot 19 kW</v>
      </c>
      <c r="Q17" s="280"/>
      <c r="R17" s="380"/>
      <c r="S17" s="380"/>
      <c r="T17" s="381"/>
    </row>
    <row r="18" spans="1:20" s="49" customFormat="1" ht="15" customHeight="1" thickBot="1">
      <c r="A18" s="47"/>
      <c r="B18" s="275" t="s">
        <v>25</v>
      </c>
      <c r="C18" s="276" t="s">
        <v>26</v>
      </c>
      <c r="D18" s="277">
        <v>0</v>
      </c>
      <c r="E18" s="278">
        <f>IFERROR(($D18*F18),0)</f>
        <v>0</v>
      </c>
      <c r="F18" s="271" cm="1">
        <f t="array" ref="F18">SUM(_xlfn._xlws.FILTER(materieelinzetplan!$F$17:$F$36,(materieelinzetplan!$C$17:$C$36='fictieve meerwaarde &amp; eisen'!B18)*(materieelinzetplan!$D$17:$D$36='fictieve meerwaarde &amp; eisen'!C18)*ISNUMBER(MATCH(materieelinzetplan!$E$17:$E$36,'fictieve meerwaarde &amp; eisen'!$P$19:$P$21,0)),0))</f>
        <v>0</v>
      </c>
      <c r="G18" s="278">
        <f>IFERROR(($D18*H18),0)</f>
        <v>0</v>
      </c>
      <c r="H18" s="271" cm="1">
        <f t="array" ref="H18">SUM(_xlfn._xlws.FILTER(materieelinzetplan!$G$17:$G$36,(materieelinzetplan!$C$17:$C$36='fictieve meerwaarde &amp; eisen'!B18)*(materieelinzetplan!$D$17:$D$36='fictieve meerwaarde &amp; eisen'!C18)*ISNUMBER(MATCH(materieelinzetplan!$E$17:$E$36,$P$20:$P$21,0)),0))</f>
        <v>0</v>
      </c>
      <c r="I18" s="278">
        <f>IFERROR(($D18*J18),0)</f>
        <v>0</v>
      </c>
      <c r="J18" s="271" cm="1">
        <f t="array" ref="J18">SUM(_xlfn._xlws.FILTER(materieelinzetplan!$H$17:$H$36,(materieelinzetplan!$C$17:$C$36=B18)*(materieelinzetplan!$D$17:$D$36=C18)*ISNUMBER(MATCH(materieelinzetplan!$E$17:$E$36,$P$20:$P$21,0)),0))</f>
        <v>0</v>
      </c>
      <c r="K18" s="278">
        <f>IFERROR(($D18*L18),0)</f>
        <v>0</v>
      </c>
      <c r="L18" s="271" cm="1">
        <f t="array" ref="L18">SUM(_xlfn._xlws.FILTER(materieelinzetplan!$I$17:$I$36,(materieelinzetplan!$C$17:$C$36=B18)*(materieelinzetplan!$D$17:$D$36=C18)*ISNUMBER(MATCH(materieelinzetplan!$E$17:$E$36,$P$20:$P$21,0)),0))</f>
        <v>0</v>
      </c>
      <c r="M18" s="272"/>
      <c r="O18" s="47"/>
      <c r="P18" s="279" t="str">
        <f>subsidie!K4</f>
        <v>van 19 tot 56 kW</v>
      </c>
      <c r="Q18" s="281"/>
      <c r="R18" s="380"/>
      <c r="S18" s="380"/>
      <c r="T18" s="381"/>
    </row>
    <row r="19" spans="1:20" s="288" customFormat="1" ht="20.149999999999999" customHeight="1" thickBot="1">
      <c r="A19" s="282"/>
      <c r="B19" s="283"/>
      <c r="C19" s="284"/>
      <c r="D19" s="285" t="s">
        <v>19</v>
      </c>
      <c r="E19" s="124">
        <f t="shared" ref="E19:L19" si="0">SUM(E16:E18)</f>
        <v>0</v>
      </c>
      <c r="F19" s="125">
        <f t="shared" si="0"/>
        <v>0</v>
      </c>
      <c r="G19" s="124">
        <f t="shared" si="0"/>
        <v>0</v>
      </c>
      <c r="H19" s="125">
        <f t="shared" si="0"/>
        <v>0</v>
      </c>
      <c r="I19" s="124">
        <f t="shared" si="0"/>
        <v>0</v>
      </c>
      <c r="J19" s="125">
        <f t="shared" si="0"/>
        <v>0</v>
      </c>
      <c r="K19" s="124">
        <f t="shared" si="0"/>
        <v>0</v>
      </c>
      <c r="L19" s="125">
        <f t="shared" si="0"/>
        <v>0</v>
      </c>
      <c r="M19" s="286"/>
      <c r="N19" s="49"/>
      <c r="O19" s="282"/>
      <c r="P19" s="279" t="str">
        <f>subsidie!K5</f>
        <v>van 56 tot 130 kW</v>
      </c>
      <c r="Q19" s="287"/>
      <c r="R19" s="382"/>
      <c r="S19" s="382"/>
      <c r="T19" s="383"/>
    </row>
    <row r="20" spans="1:20" s="288" customFormat="1" ht="20.149999999999999" customHeight="1">
      <c r="A20" s="282"/>
      <c r="B20" s="289"/>
      <c r="C20" s="290"/>
      <c r="D20" s="291" t="s">
        <v>28</v>
      </c>
      <c r="E20" s="292"/>
      <c r="F20" s="87">
        <f>IFERROR(((E19/F19)/10)*F21,0)</f>
        <v>0</v>
      </c>
      <c r="G20" s="88"/>
      <c r="H20" s="87">
        <f>IFERROR(((G19/H19)/10)*H21,0)</f>
        <v>0</v>
      </c>
      <c r="I20" s="88"/>
      <c r="J20" s="87">
        <f>IFERROR(((I19/J19)/10)*J21,0)</f>
        <v>0</v>
      </c>
      <c r="K20" s="88"/>
      <c r="L20" s="87">
        <f>IFERROR(((K19/L19)/10)*L21,0)</f>
        <v>0</v>
      </c>
      <c r="M20" s="293">
        <f>SUM(E20:L20)</f>
        <v>0</v>
      </c>
      <c r="N20" s="185"/>
      <c r="O20" s="282"/>
      <c r="P20" s="279" t="str">
        <f>subsidie!K6</f>
        <v>van 130 tot 300 kW</v>
      </c>
      <c r="Q20" s="372" t="s">
        <v>27</v>
      </c>
      <c r="R20" s="373"/>
      <c r="S20" s="373"/>
      <c r="T20" s="374"/>
    </row>
    <row r="21" spans="1:20" s="49" customFormat="1" ht="20.149999999999999" customHeight="1" thickBot="1">
      <c r="A21" s="47"/>
      <c r="B21" s="294"/>
      <c r="C21" s="295"/>
      <c r="D21" s="296" t="s">
        <v>29</v>
      </c>
      <c r="E21" s="297"/>
      <c r="F21" s="85">
        <v>1250</v>
      </c>
      <c r="G21" s="86"/>
      <c r="H21" s="85">
        <v>1250</v>
      </c>
      <c r="I21" s="86"/>
      <c r="J21" s="85">
        <v>1250</v>
      </c>
      <c r="K21" s="86"/>
      <c r="L21" s="85">
        <v>1250</v>
      </c>
      <c r="M21" s="89">
        <f>SUM(E21:L21)</f>
        <v>5000</v>
      </c>
      <c r="O21" s="47"/>
      <c r="P21" s="298" t="str">
        <f>subsidie!K7</f>
        <v xml:space="preserve">vanaf 300 kW </v>
      </c>
      <c r="Q21" s="375"/>
      <c r="R21" s="376"/>
      <c r="S21" s="376"/>
      <c r="T21" s="377"/>
    </row>
    <row r="22" spans="1:20" s="49" customFormat="1" ht="15" customHeight="1" thickBot="1">
      <c r="A22" s="47"/>
      <c r="B22" s="47"/>
      <c r="C22" s="47"/>
      <c r="D22" s="35"/>
      <c r="E22" s="35"/>
      <c r="F22" s="35"/>
      <c r="G22" s="35"/>
      <c r="H22" s="35"/>
      <c r="I22" s="35"/>
      <c r="J22" s="35"/>
      <c r="K22" s="35"/>
      <c r="L22" s="35"/>
      <c r="M22" s="299"/>
      <c r="N22" s="300"/>
      <c r="O22" s="47"/>
      <c r="P22" s="47"/>
      <c r="Q22" s="282"/>
      <c r="R22" s="282"/>
      <c r="S22" s="282"/>
    </row>
    <row r="23" spans="1:20" s="266" customFormat="1" ht="39.9" customHeight="1" thickBot="1">
      <c r="A23" s="239"/>
      <c r="B23" s="50" t="s">
        <v>210</v>
      </c>
      <c r="C23" s="51"/>
      <c r="D23" s="51"/>
      <c r="E23" s="250"/>
      <c r="F23" s="251"/>
      <c r="G23" s="250"/>
      <c r="H23" s="251"/>
      <c r="I23" s="250"/>
      <c r="J23" s="251"/>
      <c r="K23" s="250"/>
      <c r="L23" s="251"/>
      <c r="M23" s="252"/>
      <c r="N23" s="253"/>
      <c r="O23" s="239"/>
      <c r="P23" s="254" t="s">
        <v>13</v>
      </c>
      <c r="Q23" s="51"/>
      <c r="R23" s="51"/>
      <c r="S23" s="51"/>
      <c r="T23" s="252"/>
    </row>
    <row r="24" spans="1:20" s="49" customFormat="1" ht="24.9" customHeight="1" thickBot="1">
      <c r="A24" s="47"/>
      <c r="B24" s="301" t="s">
        <v>209</v>
      </c>
      <c r="C24" s="302"/>
      <c r="D24" s="302"/>
      <c r="E24" s="302"/>
      <c r="F24" s="302"/>
      <c r="G24" s="303"/>
      <c r="H24" s="303"/>
      <c r="I24" s="303"/>
      <c r="J24" s="303"/>
      <c r="K24" s="303"/>
      <c r="L24" s="303"/>
      <c r="M24" s="304"/>
      <c r="N24" s="305"/>
      <c r="O24" s="47"/>
      <c r="P24" s="263" t="s">
        <v>20</v>
      </c>
      <c r="Q24" s="264">
        <v>46388</v>
      </c>
      <c r="R24" s="264">
        <v>46753</v>
      </c>
      <c r="S24" s="264">
        <v>47119</v>
      </c>
      <c r="T24" s="265">
        <v>47484</v>
      </c>
    </row>
    <row r="25" spans="1:20" s="49" customFormat="1" ht="15.75" customHeight="1" thickBot="1">
      <c r="A25" s="47"/>
      <c r="B25" s="306" t="s">
        <v>206</v>
      </c>
      <c r="C25" s="307"/>
      <c r="D25" s="307"/>
      <c r="E25" s="307"/>
      <c r="F25" s="307"/>
      <c r="G25" s="146"/>
      <c r="H25" s="308"/>
      <c r="I25" s="146"/>
      <c r="J25" s="308"/>
      <c r="K25" s="146"/>
      <c r="L25" s="308"/>
      <c r="M25" s="309"/>
      <c r="O25" s="47"/>
      <c r="P25" s="399" t="s">
        <v>30</v>
      </c>
      <c r="Q25" s="417" t="s">
        <v>31</v>
      </c>
      <c r="R25" s="384" t="s">
        <v>23</v>
      </c>
      <c r="S25" s="378"/>
      <c r="T25" s="379"/>
    </row>
    <row r="26" spans="1:20" s="49" customFormat="1">
      <c r="A26" s="47"/>
      <c r="B26" s="310"/>
      <c r="C26" s="310"/>
      <c r="D26" s="311"/>
      <c r="E26" s="140"/>
      <c r="F26" s="312"/>
      <c r="G26" s="140"/>
      <c r="H26" s="312"/>
      <c r="I26" s="140"/>
      <c r="J26" s="312"/>
      <c r="K26" s="140"/>
      <c r="L26" s="312"/>
      <c r="O26" s="47"/>
      <c r="P26" s="400"/>
      <c r="Q26" s="418"/>
      <c r="R26" s="385"/>
      <c r="S26" s="380"/>
      <c r="T26" s="381"/>
    </row>
    <row r="27" spans="1:20" s="49" customFormat="1">
      <c r="A27" s="47"/>
      <c r="B27" s="310"/>
      <c r="C27" s="310"/>
      <c r="D27" s="311"/>
      <c r="E27" s="140"/>
      <c r="F27" s="312"/>
      <c r="G27" s="140"/>
      <c r="H27" s="312"/>
      <c r="I27" s="140"/>
      <c r="J27" s="312"/>
      <c r="K27" s="140"/>
      <c r="L27" s="312"/>
      <c r="O27" s="299"/>
      <c r="P27" s="400"/>
      <c r="Q27" s="418"/>
      <c r="R27" s="385"/>
      <c r="S27" s="380"/>
      <c r="T27" s="381"/>
    </row>
    <row r="28" spans="1:20" s="266" customFormat="1" ht="15" customHeight="1">
      <c r="A28" s="239"/>
      <c r="B28" s="313"/>
      <c r="C28" s="313"/>
      <c r="D28" s="311"/>
      <c r="E28" s="140"/>
      <c r="F28" s="312"/>
      <c r="G28" s="140"/>
      <c r="H28" s="312"/>
      <c r="I28" s="140"/>
      <c r="J28" s="312"/>
      <c r="K28" s="140"/>
      <c r="L28" s="312"/>
      <c r="O28" s="239"/>
      <c r="P28" s="400" t="s">
        <v>32</v>
      </c>
      <c r="Q28" s="414" t="s">
        <v>234</v>
      </c>
      <c r="R28" s="385"/>
      <c r="S28" s="380"/>
      <c r="T28" s="381"/>
    </row>
    <row r="29" spans="1:20" s="49" customFormat="1" ht="15" customHeight="1">
      <c r="A29" s="47"/>
      <c r="B29" s="310"/>
      <c r="C29" s="310"/>
      <c r="D29" s="311"/>
      <c r="E29" s="140"/>
      <c r="F29" s="312"/>
      <c r="G29" s="140"/>
      <c r="H29" s="312"/>
      <c r="I29" s="140"/>
      <c r="J29" s="312"/>
      <c r="K29" s="140"/>
      <c r="L29" s="312"/>
      <c r="O29" s="47"/>
      <c r="P29" s="400"/>
      <c r="Q29" s="415"/>
      <c r="R29" s="385"/>
      <c r="S29" s="380"/>
      <c r="T29" s="381"/>
    </row>
    <row r="30" spans="1:20" s="49" customFormat="1" ht="15" customHeight="1">
      <c r="A30" s="47"/>
      <c r="B30" s="310"/>
      <c r="C30" s="310"/>
      <c r="D30" s="311"/>
      <c r="E30" s="140"/>
      <c r="F30" s="312"/>
      <c r="G30" s="140"/>
      <c r="H30" s="312"/>
      <c r="I30" s="140"/>
      <c r="J30" s="312"/>
      <c r="K30" s="140"/>
      <c r="L30" s="312"/>
      <c r="O30" s="47"/>
      <c r="P30" s="400"/>
      <c r="Q30" s="415"/>
      <c r="R30" s="385"/>
      <c r="S30" s="380"/>
      <c r="T30" s="381"/>
    </row>
    <row r="31" spans="1:20" s="49" customFormat="1" ht="15" customHeight="1" thickBot="1">
      <c r="A31" s="47"/>
      <c r="B31" s="310"/>
      <c r="C31" s="310"/>
      <c r="D31" s="311"/>
      <c r="E31" s="140"/>
      <c r="F31" s="312"/>
      <c r="G31" s="140"/>
      <c r="H31" s="312"/>
      <c r="I31" s="140"/>
      <c r="J31" s="312"/>
      <c r="K31" s="140"/>
      <c r="L31" s="312"/>
      <c r="O31" s="47"/>
      <c r="P31" s="410"/>
      <c r="Q31" s="416"/>
      <c r="R31" s="386"/>
      <c r="S31" s="387"/>
      <c r="T31" s="388"/>
    </row>
    <row r="32" spans="1:20" s="288" customFormat="1" ht="15" customHeight="1" thickBot="1">
      <c r="A32" s="282"/>
      <c r="C32" s="31"/>
      <c r="D32" s="314"/>
      <c r="E32" s="315"/>
      <c r="F32" s="138"/>
      <c r="G32" s="138"/>
      <c r="H32" s="138"/>
      <c r="I32" s="138"/>
      <c r="J32" s="138"/>
      <c r="K32" s="138"/>
      <c r="L32" s="138"/>
      <c r="M32" s="139"/>
      <c r="N32" s="139"/>
      <c r="O32" s="282"/>
      <c r="P32" s="282"/>
      <c r="Q32" s="282"/>
      <c r="R32" s="282"/>
      <c r="S32" s="282"/>
    </row>
    <row r="33" spans="1:20" s="266" customFormat="1" ht="39.9" customHeight="1" thickBot="1">
      <c r="A33" s="239"/>
      <c r="B33" s="50" t="s">
        <v>211</v>
      </c>
      <c r="C33" s="51"/>
      <c r="D33" s="51"/>
      <c r="E33" s="250" t="s">
        <v>12</v>
      </c>
      <c r="F33" s="251">
        <v>46388</v>
      </c>
      <c r="G33" s="250" t="s">
        <v>12</v>
      </c>
      <c r="H33" s="251">
        <v>46753</v>
      </c>
      <c r="I33" s="250" t="s">
        <v>12</v>
      </c>
      <c r="J33" s="251">
        <v>47119</v>
      </c>
      <c r="K33" s="250" t="s">
        <v>12</v>
      </c>
      <c r="L33" s="251">
        <v>47484</v>
      </c>
      <c r="M33" s="252"/>
      <c r="N33" s="253"/>
      <c r="O33" s="239"/>
      <c r="P33" s="254" t="s">
        <v>13</v>
      </c>
      <c r="Q33" s="51"/>
      <c r="R33" s="51"/>
      <c r="S33" s="51"/>
      <c r="T33" s="252"/>
    </row>
    <row r="34" spans="1:20" s="49" customFormat="1" ht="24.9" customHeight="1" thickBot="1">
      <c r="A34" s="47"/>
      <c r="B34" s="255" t="s">
        <v>14</v>
      </c>
      <c r="C34" s="256" t="s">
        <v>15</v>
      </c>
      <c r="D34" s="257" t="s">
        <v>16</v>
      </c>
      <c r="E34" s="255" t="s">
        <v>17</v>
      </c>
      <c r="F34" s="316" t="s">
        <v>18</v>
      </c>
      <c r="G34" s="258" t="s">
        <v>17</v>
      </c>
      <c r="H34" s="316" t="s">
        <v>18</v>
      </c>
      <c r="I34" s="258" t="s">
        <v>17</v>
      </c>
      <c r="J34" s="316" t="s">
        <v>18</v>
      </c>
      <c r="K34" s="258" t="s">
        <v>17</v>
      </c>
      <c r="L34" s="316" t="s">
        <v>18</v>
      </c>
      <c r="M34" s="261" t="s">
        <v>19</v>
      </c>
      <c r="N34" s="262"/>
      <c r="O34" s="47"/>
      <c r="P34" s="317" t="s">
        <v>20</v>
      </c>
      <c r="Q34" s="264">
        <v>46388</v>
      </c>
      <c r="R34" s="264">
        <v>46753</v>
      </c>
      <c r="S34" s="264">
        <v>47119</v>
      </c>
      <c r="T34" s="265">
        <v>47484</v>
      </c>
    </row>
    <row r="35" spans="1:20" s="49" customFormat="1" ht="15" customHeight="1">
      <c r="A35" s="47"/>
      <c r="B35" s="267" t="s">
        <v>21</v>
      </c>
      <c r="C35" s="268" t="s">
        <v>22</v>
      </c>
      <c r="D35" s="318">
        <v>10</v>
      </c>
      <c r="E35" s="128">
        <f>$D35*F35</f>
        <v>0</v>
      </c>
      <c r="F35" s="319">
        <f>SUMIFS(materieelinzetplan!F$40:F$59,materieelinzetplan!$C$40:$C$59,'fictieve meerwaarde &amp; eisen'!$B35,materieelinzetplan!$D$40:$D$59,'fictieve meerwaarde &amp; eisen'!$C35)</f>
        <v>0</v>
      </c>
      <c r="G35" s="128">
        <f t="shared" ref="G35:G45" si="1">$D35*H35</f>
        <v>0</v>
      </c>
      <c r="H35" s="319">
        <f>SUMIFS(materieelinzetplan!G$40:G$59,materieelinzetplan!$C$40:$C$59,'fictieve meerwaarde &amp; eisen'!$B35,materieelinzetplan!$D$40:$D$59,'fictieve meerwaarde &amp; eisen'!$C35)</f>
        <v>0</v>
      </c>
      <c r="I35" s="128">
        <f t="shared" ref="I35:I45" si="2">$D35*J35</f>
        <v>0</v>
      </c>
      <c r="J35" s="319">
        <f>SUMIFS(materieelinzetplan!H$40:H$59,materieelinzetplan!$C$40:$C$59,'fictieve meerwaarde &amp; eisen'!$B35,materieelinzetplan!$D$40:$D$59,'fictieve meerwaarde &amp; eisen'!$C35)</f>
        <v>0</v>
      </c>
      <c r="K35" s="128">
        <f>$D35*L35</f>
        <v>0</v>
      </c>
      <c r="L35" s="319">
        <f>SUMIFS(materieelinzetplan!I$40:I$59,materieelinzetplan!$C$40:$C$59,'fictieve meerwaarde &amp; eisen'!$B35,materieelinzetplan!$D$40:$D$59,'fictieve meerwaarde &amp; eisen'!$C35)</f>
        <v>0</v>
      </c>
      <c r="M35" s="320"/>
      <c r="O35" s="47"/>
      <c r="P35" s="399" t="s">
        <v>30</v>
      </c>
      <c r="Q35" s="366" t="s">
        <v>33</v>
      </c>
      <c r="R35" s="367"/>
      <c r="S35" s="367"/>
      <c r="T35" s="368"/>
    </row>
    <row r="36" spans="1:20" s="49" customFormat="1">
      <c r="A36" s="47"/>
      <c r="B36" s="275" t="s">
        <v>21</v>
      </c>
      <c r="C36" s="276" t="s">
        <v>24</v>
      </c>
      <c r="D36" s="321">
        <v>10</v>
      </c>
      <c r="E36" s="129">
        <f t="shared" ref="E36:E45" si="3">$D36*F36</f>
        <v>0</v>
      </c>
      <c r="F36" s="322">
        <f>SUMIFS(materieelinzetplan!F$40:F$59,materieelinzetplan!$C$40:$C$59,'fictieve meerwaarde &amp; eisen'!$B36,materieelinzetplan!$D$40:$D$59,'fictieve meerwaarde &amp; eisen'!$C36)</f>
        <v>0</v>
      </c>
      <c r="G36" s="129">
        <f t="shared" si="1"/>
        <v>0</v>
      </c>
      <c r="H36" s="322">
        <f>SUMIFS(materieelinzetplan!G$40:G$59,materieelinzetplan!$C$40:$C$59,'fictieve meerwaarde &amp; eisen'!$B36,materieelinzetplan!$D$40:$D$59,'fictieve meerwaarde &amp; eisen'!$C36)</f>
        <v>0</v>
      </c>
      <c r="I36" s="129">
        <f t="shared" si="2"/>
        <v>0</v>
      </c>
      <c r="J36" s="322">
        <f>SUMIFS(materieelinzetplan!H$40:H$59,materieelinzetplan!$C$40:$C$59,'fictieve meerwaarde &amp; eisen'!$B36,materieelinzetplan!$D$40:$D$59,'fictieve meerwaarde &amp; eisen'!$C36)</f>
        <v>0</v>
      </c>
      <c r="K36" s="129">
        <f t="shared" ref="K36:K45" si="4">$D36*L36</f>
        <v>0</v>
      </c>
      <c r="L36" s="322">
        <f>SUMIFS(materieelinzetplan!I$40:I$59,materieelinzetplan!$C$40:$C$59,'fictieve meerwaarde &amp; eisen'!$B36,materieelinzetplan!$D$40:$D$59,'fictieve meerwaarde &amp; eisen'!$C36)</f>
        <v>0</v>
      </c>
      <c r="M36" s="272"/>
      <c r="O36" s="47"/>
      <c r="P36" s="400"/>
      <c r="Q36" s="369"/>
      <c r="R36" s="370"/>
      <c r="S36" s="370"/>
      <c r="T36" s="371"/>
    </row>
    <row r="37" spans="1:20" s="49" customFormat="1" ht="15" customHeight="1">
      <c r="A37" s="47"/>
      <c r="B37" s="275" t="s">
        <v>34</v>
      </c>
      <c r="C37" s="276" t="s">
        <v>35</v>
      </c>
      <c r="D37" s="323">
        <v>5.5</v>
      </c>
      <c r="E37" s="129">
        <f t="shared" si="3"/>
        <v>0</v>
      </c>
      <c r="F37" s="322">
        <f>SUMIFS(materieelinzetplan!F$40:F$59,materieelinzetplan!$C$40:$C$59,'fictieve meerwaarde &amp; eisen'!$B37,materieelinzetplan!$D$40:$D$59,'fictieve meerwaarde &amp; eisen'!$C37)</f>
        <v>0</v>
      </c>
      <c r="G37" s="129">
        <f t="shared" si="1"/>
        <v>0</v>
      </c>
      <c r="H37" s="322">
        <f>SUMIFS(materieelinzetplan!G$40:G$59,materieelinzetplan!$C$40:$C$59,'fictieve meerwaarde &amp; eisen'!$B37,materieelinzetplan!$D$40:$D$59,'fictieve meerwaarde &amp; eisen'!$C37)</f>
        <v>0</v>
      </c>
      <c r="I37" s="129">
        <f t="shared" si="2"/>
        <v>0</v>
      </c>
      <c r="J37" s="322">
        <f>SUMIFS(materieelinzetplan!H$40:H$59,materieelinzetplan!$C$40:$C$59,'fictieve meerwaarde &amp; eisen'!$B37,materieelinzetplan!$D$40:$D$59,'fictieve meerwaarde &amp; eisen'!$C37)</f>
        <v>0</v>
      </c>
      <c r="K37" s="129">
        <f t="shared" si="4"/>
        <v>0</v>
      </c>
      <c r="L37" s="322">
        <f>SUMIFS(materieelinzetplan!I$40:I$59,materieelinzetplan!$C$40:$C$59,'fictieve meerwaarde &amp; eisen'!$B37,materieelinzetplan!$D$40:$D$59,'fictieve meerwaarde &amp; eisen'!$C37)</f>
        <v>0</v>
      </c>
      <c r="M37" s="272"/>
      <c r="O37" s="299"/>
      <c r="P37" s="400"/>
      <c r="Q37" s="369"/>
      <c r="R37" s="370"/>
      <c r="S37" s="370"/>
      <c r="T37" s="371"/>
    </row>
    <row r="38" spans="1:20" s="266" customFormat="1" ht="15" customHeight="1">
      <c r="A38" s="239"/>
      <c r="B38" s="324" t="s">
        <v>34</v>
      </c>
      <c r="C38" s="325" t="s">
        <v>36</v>
      </c>
      <c r="D38" s="321">
        <v>4.5</v>
      </c>
      <c r="E38" s="129">
        <f t="shared" si="3"/>
        <v>0</v>
      </c>
      <c r="F38" s="322">
        <f>SUMIFS(materieelinzetplan!F$40:F$59,materieelinzetplan!$C$40:$C$59,'fictieve meerwaarde &amp; eisen'!$B38,materieelinzetplan!$D$40:$D$59,'fictieve meerwaarde &amp; eisen'!$C38)</f>
        <v>0</v>
      </c>
      <c r="G38" s="129">
        <f t="shared" si="1"/>
        <v>0</v>
      </c>
      <c r="H38" s="322">
        <f>SUMIFS(materieelinzetplan!G$40:G$59,materieelinzetplan!$C$40:$C$59,'fictieve meerwaarde &amp; eisen'!$B38,materieelinzetplan!$D$40:$D$59,'fictieve meerwaarde &amp; eisen'!$C38)</f>
        <v>0</v>
      </c>
      <c r="I38" s="129">
        <f t="shared" si="2"/>
        <v>0</v>
      </c>
      <c r="J38" s="322">
        <f>SUMIFS(materieelinzetplan!H$40:H$59,materieelinzetplan!$C$40:$C$59,'fictieve meerwaarde &amp; eisen'!$B38,materieelinzetplan!$D$40:$D$59,'fictieve meerwaarde &amp; eisen'!$C38)</f>
        <v>0</v>
      </c>
      <c r="K38" s="129">
        <f t="shared" si="4"/>
        <v>0</v>
      </c>
      <c r="L38" s="322">
        <f>SUMIFS(materieelinzetplan!I$40:I$59,materieelinzetplan!$C$40:$C$59,'fictieve meerwaarde &amp; eisen'!$B38,materieelinzetplan!$D$40:$D$59,'fictieve meerwaarde &amp; eisen'!$C38)</f>
        <v>0</v>
      </c>
      <c r="M38" s="326"/>
      <c r="O38" s="239"/>
      <c r="P38" s="407" t="s">
        <v>32</v>
      </c>
      <c r="Q38" s="411" t="s">
        <v>236</v>
      </c>
      <c r="R38" s="401" t="s">
        <v>235</v>
      </c>
      <c r="S38" s="402"/>
      <c r="T38" s="363" t="s">
        <v>23</v>
      </c>
    </row>
    <row r="39" spans="1:20" s="49" customFormat="1" ht="15" customHeight="1">
      <c r="A39" s="47"/>
      <c r="B39" s="275" t="s">
        <v>34</v>
      </c>
      <c r="C39" s="276" t="s">
        <v>26</v>
      </c>
      <c r="D39" s="321">
        <v>4.5</v>
      </c>
      <c r="E39" s="129">
        <f t="shared" si="3"/>
        <v>0</v>
      </c>
      <c r="F39" s="322">
        <f>SUMIFS(materieelinzetplan!F$40:F$59,materieelinzetplan!$C$40:$C$59,'fictieve meerwaarde &amp; eisen'!$B39,materieelinzetplan!$D$40:$D$59,'fictieve meerwaarde &amp; eisen'!$C39)</f>
        <v>0</v>
      </c>
      <c r="G39" s="129">
        <f t="shared" si="1"/>
        <v>0</v>
      </c>
      <c r="H39" s="322">
        <f>SUMIFS(materieelinzetplan!G$40:G$59,materieelinzetplan!$C$40:$C$59,'fictieve meerwaarde &amp; eisen'!$B39,materieelinzetplan!$D$40:$D$59,'fictieve meerwaarde &amp; eisen'!$C39)</f>
        <v>0</v>
      </c>
      <c r="I39" s="129">
        <f t="shared" si="2"/>
        <v>0</v>
      </c>
      <c r="J39" s="322">
        <f>SUMIFS(materieelinzetplan!H$40:H$59,materieelinzetplan!$C$40:$C$59,'fictieve meerwaarde &amp; eisen'!$B39,materieelinzetplan!$D$40:$D$59,'fictieve meerwaarde &amp; eisen'!$C39)</f>
        <v>0</v>
      </c>
      <c r="K39" s="129">
        <f t="shared" si="4"/>
        <v>0</v>
      </c>
      <c r="L39" s="322">
        <f>SUMIFS(materieelinzetplan!I$40:I$59,materieelinzetplan!$C$40:$C$59,'fictieve meerwaarde &amp; eisen'!$B39,materieelinzetplan!$D$40:$D$59,'fictieve meerwaarde &amp; eisen'!$C39)</f>
        <v>0</v>
      </c>
      <c r="M39" s="272"/>
      <c r="O39" s="47"/>
      <c r="P39" s="408"/>
      <c r="Q39" s="412"/>
      <c r="R39" s="403"/>
      <c r="S39" s="404"/>
      <c r="T39" s="364"/>
    </row>
    <row r="40" spans="1:20" s="49" customFormat="1" ht="15" customHeight="1">
      <c r="A40" s="47"/>
      <c r="B40" s="275" t="s">
        <v>37</v>
      </c>
      <c r="C40" s="276" t="s">
        <v>35</v>
      </c>
      <c r="D40" s="323">
        <v>3.5</v>
      </c>
      <c r="E40" s="129">
        <f t="shared" si="3"/>
        <v>0</v>
      </c>
      <c r="F40" s="322">
        <f>SUMIFS(materieelinzetplan!F$40:F$59,materieelinzetplan!$C$40:$C$59,'fictieve meerwaarde &amp; eisen'!$B40,materieelinzetplan!$D$40:$D$59,'fictieve meerwaarde &amp; eisen'!$C40)</f>
        <v>0</v>
      </c>
      <c r="G40" s="129">
        <f t="shared" si="1"/>
        <v>0</v>
      </c>
      <c r="H40" s="322">
        <f>SUMIFS(materieelinzetplan!G$40:G$59,materieelinzetplan!$C$40:$C$59,'fictieve meerwaarde &amp; eisen'!$B40,materieelinzetplan!$D$40:$D$59,'fictieve meerwaarde &amp; eisen'!$C40)</f>
        <v>0</v>
      </c>
      <c r="I40" s="129">
        <f t="shared" si="2"/>
        <v>0</v>
      </c>
      <c r="J40" s="322">
        <f>SUMIFS(materieelinzetplan!H$40:H$59,materieelinzetplan!$C$40:$C$59,'fictieve meerwaarde &amp; eisen'!$B40,materieelinzetplan!$D$40:$D$59,'fictieve meerwaarde &amp; eisen'!$C40)</f>
        <v>0</v>
      </c>
      <c r="K40" s="129">
        <f t="shared" si="4"/>
        <v>0</v>
      </c>
      <c r="L40" s="322">
        <f>SUMIFS(materieelinzetplan!I$40:I$59,materieelinzetplan!$C$40:$C$59,'fictieve meerwaarde &amp; eisen'!$B40,materieelinzetplan!$D$40:$D$59,'fictieve meerwaarde &amp; eisen'!$C40)</f>
        <v>0</v>
      </c>
      <c r="M40" s="272"/>
      <c r="O40" s="47"/>
      <c r="P40" s="408"/>
      <c r="Q40" s="412"/>
      <c r="R40" s="403"/>
      <c r="S40" s="404"/>
      <c r="T40" s="364"/>
    </row>
    <row r="41" spans="1:20" s="49" customFormat="1" ht="15" customHeight="1">
      <c r="A41" s="47"/>
      <c r="B41" s="275" t="s">
        <v>37</v>
      </c>
      <c r="C41" s="276" t="s">
        <v>36</v>
      </c>
      <c r="D41" s="321">
        <v>2.5</v>
      </c>
      <c r="E41" s="129">
        <f t="shared" si="3"/>
        <v>0</v>
      </c>
      <c r="F41" s="322">
        <f>SUMIFS(materieelinzetplan!F$40:F$59,materieelinzetplan!$C$40:$C$59,'fictieve meerwaarde &amp; eisen'!$B41,materieelinzetplan!$D$40:$D$59,'fictieve meerwaarde &amp; eisen'!$C41)</f>
        <v>0</v>
      </c>
      <c r="G41" s="129">
        <f t="shared" si="1"/>
        <v>0</v>
      </c>
      <c r="H41" s="322">
        <f>SUMIFS(materieelinzetplan!G$40:G$59,materieelinzetplan!$C$40:$C$59,'fictieve meerwaarde &amp; eisen'!$B41,materieelinzetplan!$D$40:$D$59,'fictieve meerwaarde &amp; eisen'!$C41)</f>
        <v>0</v>
      </c>
      <c r="I41" s="129">
        <f t="shared" si="2"/>
        <v>0</v>
      </c>
      <c r="J41" s="322">
        <f>SUMIFS(materieelinzetplan!H$40:H$59,materieelinzetplan!$C$40:$C$59,'fictieve meerwaarde &amp; eisen'!$B41,materieelinzetplan!$D$40:$D$59,'fictieve meerwaarde &amp; eisen'!$C41)</f>
        <v>0</v>
      </c>
      <c r="K41" s="129">
        <f t="shared" si="4"/>
        <v>0</v>
      </c>
      <c r="L41" s="322">
        <f>SUMIFS(materieelinzetplan!I$40:I$59,materieelinzetplan!$C$40:$C$59,'fictieve meerwaarde &amp; eisen'!$B41,materieelinzetplan!$D$40:$D$59,'fictieve meerwaarde &amp; eisen'!$C41)</f>
        <v>0</v>
      </c>
      <c r="M41" s="272"/>
      <c r="O41" s="47"/>
      <c r="P41" s="408"/>
      <c r="Q41" s="412"/>
      <c r="R41" s="403"/>
      <c r="S41" s="404"/>
      <c r="T41" s="364"/>
    </row>
    <row r="42" spans="1:20" s="49" customFormat="1" ht="15" customHeight="1">
      <c r="A42" s="47"/>
      <c r="B42" s="275" t="s">
        <v>37</v>
      </c>
      <c r="C42" s="276" t="s">
        <v>26</v>
      </c>
      <c r="D42" s="321">
        <v>2.5</v>
      </c>
      <c r="E42" s="129">
        <f t="shared" si="3"/>
        <v>0</v>
      </c>
      <c r="F42" s="322">
        <f>SUMIFS(materieelinzetplan!F$40:F$59,materieelinzetplan!$C$40:$C$59,'fictieve meerwaarde &amp; eisen'!$B42,materieelinzetplan!$D$40:$D$59,'fictieve meerwaarde &amp; eisen'!$C42)</f>
        <v>0</v>
      </c>
      <c r="G42" s="129">
        <f t="shared" si="1"/>
        <v>0</v>
      </c>
      <c r="H42" s="322">
        <f>SUMIFS(materieelinzetplan!G$40:G$59,materieelinzetplan!$C$40:$C$59,'fictieve meerwaarde &amp; eisen'!$B42,materieelinzetplan!$D$40:$D$59,'fictieve meerwaarde &amp; eisen'!$C42)</f>
        <v>0</v>
      </c>
      <c r="I42" s="129">
        <f t="shared" si="2"/>
        <v>0</v>
      </c>
      <c r="J42" s="322">
        <f>SUMIFS(materieelinzetplan!H$40:H$59,materieelinzetplan!$C$40:$C$59,'fictieve meerwaarde &amp; eisen'!$B42,materieelinzetplan!$D$40:$D$59,'fictieve meerwaarde &amp; eisen'!$C42)</f>
        <v>0</v>
      </c>
      <c r="K42" s="129">
        <f t="shared" si="4"/>
        <v>0</v>
      </c>
      <c r="L42" s="322">
        <f>SUMIFS(materieelinzetplan!I$40:I$59,materieelinzetplan!$C$40:$C$59,'fictieve meerwaarde &amp; eisen'!$B42,materieelinzetplan!$D$40:$D$59,'fictieve meerwaarde &amp; eisen'!$C42)</f>
        <v>0</v>
      </c>
      <c r="M42" s="272"/>
      <c r="O42" s="47"/>
      <c r="P42" s="408"/>
      <c r="Q42" s="412"/>
      <c r="R42" s="403"/>
      <c r="S42" s="404"/>
      <c r="T42" s="364"/>
    </row>
    <row r="43" spans="1:20" s="49" customFormat="1" ht="15" customHeight="1">
      <c r="A43" s="47"/>
      <c r="B43" s="275" t="s">
        <v>38</v>
      </c>
      <c r="C43" s="276" t="s">
        <v>35</v>
      </c>
      <c r="D43" s="323">
        <v>2</v>
      </c>
      <c r="E43" s="129">
        <f t="shared" si="3"/>
        <v>0</v>
      </c>
      <c r="F43" s="322">
        <f>SUMIFS(materieelinzetplan!F$40:F$59,materieelinzetplan!$C$40:$C$59,'fictieve meerwaarde &amp; eisen'!$B43,materieelinzetplan!$D$40:$D$59,'fictieve meerwaarde &amp; eisen'!$C43)</f>
        <v>0</v>
      </c>
      <c r="G43" s="129">
        <f t="shared" si="1"/>
        <v>0</v>
      </c>
      <c r="H43" s="322">
        <f>SUMIFS(materieelinzetplan!G$40:G$59,materieelinzetplan!$C$40:$C$59,'fictieve meerwaarde &amp; eisen'!$B43,materieelinzetplan!$D$40:$D$59,'fictieve meerwaarde &amp; eisen'!$C43)</f>
        <v>0</v>
      </c>
      <c r="I43" s="129">
        <f t="shared" si="2"/>
        <v>0</v>
      </c>
      <c r="J43" s="322">
        <f>SUMIFS(materieelinzetplan!H$40:H$59,materieelinzetplan!$C$40:$C$59,'fictieve meerwaarde &amp; eisen'!$B43,materieelinzetplan!$D$40:$D$59,'fictieve meerwaarde &amp; eisen'!$C43)</f>
        <v>0</v>
      </c>
      <c r="K43" s="129">
        <f t="shared" si="4"/>
        <v>0</v>
      </c>
      <c r="L43" s="322">
        <f>SUMIFS(materieelinzetplan!I$40:I$59,materieelinzetplan!$C$40:$C$59,'fictieve meerwaarde &amp; eisen'!$B43,materieelinzetplan!$D$40:$D$59,'fictieve meerwaarde &amp; eisen'!$C43)</f>
        <v>0</v>
      </c>
      <c r="M43" s="272"/>
      <c r="O43" s="47"/>
      <c r="P43" s="408"/>
      <c r="Q43" s="412"/>
      <c r="R43" s="403"/>
      <c r="S43" s="404"/>
      <c r="T43" s="364"/>
    </row>
    <row r="44" spans="1:20" s="49" customFormat="1" ht="17" customHeight="1" thickBot="1">
      <c r="A44" s="47"/>
      <c r="B44" s="275" t="s">
        <v>38</v>
      </c>
      <c r="C44" s="327" t="s">
        <v>36</v>
      </c>
      <c r="D44" s="321">
        <v>0.5</v>
      </c>
      <c r="E44" s="129">
        <f t="shared" si="3"/>
        <v>0</v>
      </c>
      <c r="F44" s="322">
        <f>SUMIFS(materieelinzetplan!F$40:F$59,materieelinzetplan!$C$40:$C$59,'fictieve meerwaarde &amp; eisen'!$B44,materieelinzetplan!$D$40:$D$59,'fictieve meerwaarde &amp; eisen'!$C44)</f>
        <v>0</v>
      </c>
      <c r="G44" s="129">
        <f t="shared" si="1"/>
        <v>0</v>
      </c>
      <c r="H44" s="322">
        <f>SUMIFS(materieelinzetplan!G$40:G$59,materieelinzetplan!$C$40:$C$59,'fictieve meerwaarde &amp; eisen'!$B44,materieelinzetplan!$D$40:$D$59,'fictieve meerwaarde &amp; eisen'!$C44)</f>
        <v>0</v>
      </c>
      <c r="I44" s="129">
        <f t="shared" si="2"/>
        <v>0</v>
      </c>
      <c r="J44" s="322">
        <f>SUMIFS(materieelinzetplan!H$40:H$59,materieelinzetplan!$C$40:$C$59,'fictieve meerwaarde &amp; eisen'!$B44,materieelinzetplan!$D$40:$D$59,'fictieve meerwaarde &amp; eisen'!$C44)</f>
        <v>0</v>
      </c>
      <c r="K44" s="129">
        <f t="shared" si="4"/>
        <v>0</v>
      </c>
      <c r="L44" s="322">
        <f>SUMIFS(materieelinzetplan!I$40:I$59,materieelinzetplan!$C$40:$C$59,'fictieve meerwaarde &amp; eisen'!$B44,materieelinzetplan!$D$40:$D$59,'fictieve meerwaarde &amp; eisen'!$C44)</f>
        <v>0</v>
      </c>
      <c r="M44" s="272"/>
      <c r="O44" s="47"/>
      <c r="P44" s="409"/>
      <c r="Q44" s="413"/>
      <c r="R44" s="405"/>
      <c r="S44" s="406"/>
      <c r="T44" s="365"/>
    </row>
    <row r="45" spans="1:20" s="49" customFormat="1" ht="15" customHeight="1" thickBot="1">
      <c r="A45" s="47"/>
      <c r="B45" s="275" t="s">
        <v>38</v>
      </c>
      <c r="C45" s="328" t="s">
        <v>26</v>
      </c>
      <c r="D45" s="321">
        <v>0</v>
      </c>
      <c r="E45" s="129">
        <f t="shared" si="3"/>
        <v>0</v>
      </c>
      <c r="F45" s="322">
        <f>SUMIFS(materieelinzetplan!F$40:F$59,materieelinzetplan!$C$40:$C$59,'fictieve meerwaarde &amp; eisen'!$B45,materieelinzetplan!$D$40:$D$59,'fictieve meerwaarde &amp; eisen'!$C45)</f>
        <v>0</v>
      </c>
      <c r="G45" s="129">
        <f t="shared" si="1"/>
        <v>0</v>
      </c>
      <c r="H45" s="322">
        <f>SUMIFS(materieelinzetplan!G$40:G$59,materieelinzetplan!$C$40:$C$59,'fictieve meerwaarde &amp; eisen'!$B45,materieelinzetplan!$D$40:$D$59,'fictieve meerwaarde &amp; eisen'!$C45)</f>
        <v>0</v>
      </c>
      <c r="I45" s="129">
        <f t="shared" si="2"/>
        <v>0</v>
      </c>
      <c r="J45" s="322">
        <f>SUMIFS(materieelinzetplan!H$40:H$59,materieelinzetplan!$C$40:$C$59,'fictieve meerwaarde &amp; eisen'!$B45,materieelinzetplan!$D$40:$D$59,'fictieve meerwaarde &amp; eisen'!$C45)</f>
        <v>0</v>
      </c>
      <c r="K45" s="129">
        <f t="shared" si="4"/>
        <v>0</v>
      </c>
      <c r="L45" s="322">
        <f>SUMIFS(materieelinzetplan!I$40:I$59,materieelinzetplan!$C$40:$C$59,'fictieve meerwaarde &amp; eisen'!$B45,materieelinzetplan!$D$40:$D$59,'fictieve meerwaarde &amp; eisen'!$C45)</f>
        <v>0</v>
      </c>
      <c r="M45" s="272"/>
      <c r="O45" s="47"/>
    </row>
    <row r="46" spans="1:20" s="49" customFormat="1" ht="20.149999999999999" customHeight="1" thickBot="1">
      <c r="A46" s="47"/>
      <c r="B46" s="283"/>
      <c r="C46" s="284"/>
      <c r="D46" s="285" t="s">
        <v>19</v>
      </c>
      <c r="E46" s="126">
        <f t="shared" ref="E46:L46" si="5">SUM(E35:E45)</f>
        <v>0</v>
      </c>
      <c r="F46" s="127">
        <f>SUM(F35:F45)</f>
        <v>0</v>
      </c>
      <c r="G46" s="126">
        <f t="shared" si="5"/>
        <v>0</v>
      </c>
      <c r="H46" s="127">
        <f t="shared" si="5"/>
        <v>0</v>
      </c>
      <c r="I46" s="126">
        <f t="shared" si="5"/>
        <v>0</v>
      </c>
      <c r="J46" s="127">
        <f t="shared" si="5"/>
        <v>0</v>
      </c>
      <c r="K46" s="126">
        <f t="shared" si="5"/>
        <v>0</v>
      </c>
      <c r="L46" s="127">
        <f t="shared" si="5"/>
        <v>0</v>
      </c>
      <c r="M46" s="286"/>
      <c r="O46" s="47"/>
      <c r="P46" s="47"/>
      <c r="Q46" s="47"/>
      <c r="R46" s="47"/>
      <c r="S46" s="47"/>
    </row>
    <row r="47" spans="1:20" s="288" customFormat="1" ht="20.149999999999999" customHeight="1">
      <c r="A47" s="282"/>
      <c r="B47" s="289"/>
      <c r="C47" s="329"/>
      <c r="D47" s="291" t="s">
        <v>28</v>
      </c>
      <c r="E47" s="292"/>
      <c r="F47" s="33">
        <f>IFERROR(((E46/F46)/10)*F48,0)</f>
        <v>0</v>
      </c>
      <c r="G47" s="34"/>
      <c r="H47" s="33">
        <f>IFERROR(((G46/H46)/10)*H48,0)</f>
        <v>0</v>
      </c>
      <c r="I47" s="34"/>
      <c r="J47" s="33">
        <f>IFERROR(((I46/J46)/10)*J48,0)</f>
        <v>0</v>
      </c>
      <c r="K47" s="34"/>
      <c r="L47" s="33">
        <f>IFERROR(((K46/L46)/10)*L48,0)</f>
        <v>0</v>
      </c>
      <c r="M47" s="293">
        <f>SUM(E47:L47)</f>
        <v>0</v>
      </c>
      <c r="N47" s="185"/>
      <c r="O47" s="282"/>
      <c r="P47" s="282"/>
      <c r="Q47" s="282"/>
      <c r="R47" s="282"/>
      <c r="S47" s="282"/>
    </row>
    <row r="48" spans="1:20" s="288" customFormat="1" ht="20.149999999999999" customHeight="1" thickBot="1">
      <c r="A48" s="282"/>
      <c r="B48" s="294"/>
      <c r="C48" s="330"/>
      <c r="D48" s="331" t="s">
        <v>29</v>
      </c>
      <c r="E48" s="332"/>
      <c r="F48" s="85">
        <v>2500</v>
      </c>
      <c r="G48" s="86"/>
      <c r="H48" s="85">
        <v>2500</v>
      </c>
      <c r="I48" s="86"/>
      <c r="J48" s="85">
        <v>2500</v>
      </c>
      <c r="K48" s="86"/>
      <c r="L48" s="85">
        <v>2500</v>
      </c>
      <c r="M48" s="89">
        <f>SUM(E48:L48)</f>
        <v>10000</v>
      </c>
      <c r="N48" s="184"/>
      <c r="O48" s="282"/>
      <c r="P48" s="282"/>
      <c r="Q48" s="282"/>
      <c r="R48" s="282"/>
      <c r="S48" s="282"/>
    </row>
    <row r="49" spans="1:21" s="288" customFormat="1" ht="15" customHeight="1" thickBot="1">
      <c r="A49" s="282"/>
      <c r="B49" s="282"/>
      <c r="C49" s="333"/>
      <c r="D49" s="334"/>
      <c r="E49" s="335"/>
      <c r="F49" s="36"/>
      <c r="G49" s="36"/>
      <c r="H49" s="36"/>
      <c r="I49" s="36"/>
      <c r="J49" s="36"/>
      <c r="K49" s="36"/>
      <c r="L49" s="36"/>
      <c r="M49" s="37"/>
      <c r="N49" s="139"/>
      <c r="O49" s="282"/>
      <c r="P49" s="282"/>
      <c r="Q49" s="282"/>
      <c r="R49" s="282"/>
      <c r="S49" s="282"/>
    </row>
    <row r="50" spans="1:21" s="266" customFormat="1" ht="39.9" customHeight="1" thickBot="1">
      <c r="A50" s="239"/>
      <c r="B50" s="50" t="s">
        <v>39</v>
      </c>
      <c r="C50" s="51"/>
      <c r="D50" s="51"/>
      <c r="E50" s="250"/>
      <c r="F50" s="336"/>
      <c r="G50" s="250"/>
      <c r="H50" s="336"/>
      <c r="I50" s="250"/>
      <c r="J50" s="336"/>
      <c r="K50" s="250"/>
      <c r="L50" s="336"/>
      <c r="M50" s="252"/>
      <c r="N50" s="253"/>
      <c r="O50" s="239"/>
      <c r="P50" s="254"/>
      <c r="Q50" s="51"/>
      <c r="R50" s="51"/>
      <c r="S50" s="51"/>
      <c r="T50" s="252"/>
    </row>
    <row r="51" spans="1:21" s="49" customFormat="1" ht="24.9" customHeight="1" thickBot="1">
      <c r="A51" s="47"/>
      <c r="B51" s="301" t="s">
        <v>207</v>
      </c>
      <c r="C51" s="302"/>
      <c r="D51" s="302"/>
      <c r="E51" s="302"/>
      <c r="F51" s="302"/>
      <c r="G51" s="303"/>
      <c r="H51" s="303"/>
      <c r="I51" s="303"/>
      <c r="J51" s="303"/>
      <c r="K51" s="303"/>
      <c r="L51" s="303"/>
      <c r="M51" s="304"/>
      <c r="N51" s="305"/>
      <c r="O51" s="47"/>
      <c r="P51" s="263"/>
      <c r="Q51" s="264">
        <v>46388</v>
      </c>
      <c r="R51" s="264">
        <v>46753</v>
      </c>
      <c r="S51" s="264">
        <v>47119</v>
      </c>
      <c r="T51" s="265">
        <v>47484</v>
      </c>
    </row>
    <row r="52" spans="1:21" s="49" customFormat="1" ht="15" thickBot="1">
      <c r="A52" s="47"/>
      <c r="B52" s="306" t="s">
        <v>206</v>
      </c>
      <c r="C52" s="307"/>
      <c r="D52" s="307"/>
      <c r="E52" s="307"/>
      <c r="F52" s="307"/>
      <c r="G52" s="337"/>
      <c r="H52" s="337"/>
      <c r="I52" s="337"/>
      <c r="J52" s="337"/>
      <c r="K52" s="337"/>
      <c r="L52" s="337"/>
      <c r="M52" s="309"/>
      <c r="O52" s="47"/>
      <c r="P52" s="338" t="s">
        <v>40</v>
      </c>
      <c r="Q52" s="389" t="s">
        <v>23</v>
      </c>
      <c r="R52" s="390"/>
      <c r="S52" s="390"/>
      <c r="T52" s="391"/>
    </row>
    <row r="53" spans="1:21" s="49" customFormat="1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O53" s="47"/>
      <c r="P53" s="338" t="s">
        <v>41</v>
      </c>
      <c r="Q53" s="392"/>
      <c r="R53" s="393"/>
      <c r="S53" s="393"/>
      <c r="T53" s="394"/>
    </row>
    <row r="54" spans="1:21" s="49" customFormat="1" ht="15" thickBot="1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O54" s="47"/>
      <c r="P54" s="339" t="s">
        <v>42</v>
      </c>
      <c r="Q54" s="395"/>
      <c r="R54" s="396"/>
      <c r="S54" s="396"/>
      <c r="T54" s="397"/>
    </row>
    <row r="55" spans="1:21" s="49" customFormat="1" ht="15" customHeight="1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O55" s="21"/>
      <c r="P55" s="361" t="s">
        <v>43</v>
      </c>
      <c r="Q55" s="361"/>
      <c r="R55" s="361"/>
      <c r="S55" s="361"/>
      <c r="T55" s="361"/>
      <c r="U55" s="238"/>
    </row>
    <row r="56" spans="1:21" s="49" customFormat="1" ht="15" customHeight="1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O56" s="47"/>
      <c r="P56" s="362"/>
      <c r="Q56" s="362"/>
      <c r="R56" s="362"/>
      <c r="S56" s="362"/>
      <c r="T56" s="362"/>
    </row>
    <row r="57" spans="1:21" s="49" customFormat="1" ht="15" customHeight="1">
      <c r="A57" s="47"/>
      <c r="B57" s="47"/>
      <c r="C57" s="47"/>
      <c r="D57" s="47"/>
      <c r="E57" s="47"/>
      <c r="F57" s="47"/>
      <c r="G57" s="47"/>
      <c r="H57" s="47"/>
      <c r="I57" s="47"/>
      <c r="K57" s="47"/>
      <c r="L57" s="313"/>
      <c r="M57" s="313"/>
      <c r="N57" s="313"/>
      <c r="O57" s="313"/>
      <c r="P57" s="313"/>
    </row>
    <row r="58" spans="1:21" s="49" customFormat="1" ht="15" customHeight="1"/>
    <row r="59" spans="1:21" s="49" customFormat="1" ht="15" customHeight="1"/>
    <row r="60" spans="1:21" s="49" customFormat="1" ht="15" customHeight="1"/>
    <row r="61" spans="1:21" s="49" customFormat="1" ht="15" customHeight="1"/>
    <row r="62" spans="1:21" s="49" customFormat="1" ht="15" customHeight="1">
      <c r="K62" s="340"/>
      <c r="M62" s="238"/>
    </row>
    <row r="63" spans="1:21" s="49" customFormat="1" ht="15" customHeight="1">
      <c r="K63" s="340"/>
      <c r="M63" s="238"/>
    </row>
    <row r="64" spans="1:21" s="49" customFormat="1" ht="15" customHeight="1">
      <c r="K64" s="340"/>
      <c r="M64" s="238"/>
    </row>
    <row r="65" spans="2:16" s="49" customFormat="1" ht="15" customHeight="1">
      <c r="K65" s="340"/>
      <c r="M65" s="238"/>
    </row>
    <row r="66" spans="2:16" s="49" customFormat="1" ht="15" customHeight="1">
      <c r="K66" s="340"/>
      <c r="M66" s="238"/>
    </row>
    <row r="67" spans="2:16" s="49" customFormat="1" ht="15" customHeight="1">
      <c r="K67" s="340"/>
      <c r="M67" s="238"/>
    </row>
    <row r="68" spans="2:16" s="49" customFormat="1" ht="15" customHeight="1">
      <c r="B68" s="7"/>
      <c r="C68" s="7"/>
      <c r="D68" s="7"/>
      <c r="E68" s="7"/>
      <c r="F68" s="7"/>
      <c r="G68" s="7"/>
      <c r="H68" s="7"/>
      <c r="I68" s="7"/>
      <c r="J68" s="7"/>
      <c r="K68" s="340"/>
      <c r="M68" s="238"/>
    </row>
    <row r="69" spans="2:16" s="49" customFormat="1" ht="15" customHeight="1">
      <c r="B69" s="7"/>
      <c r="C69" s="7"/>
      <c r="D69" s="7"/>
      <c r="E69" s="7"/>
      <c r="F69" s="7"/>
      <c r="G69" s="7"/>
      <c r="H69" s="7"/>
      <c r="I69" s="7"/>
      <c r="J69" s="7"/>
      <c r="K69" s="340"/>
      <c r="M69" s="238"/>
    </row>
    <row r="70" spans="2:16" s="49" customFormat="1" ht="15" customHeight="1">
      <c r="B70" s="7"/>
      <c r="C70" s="7"/>
      <c r="D70" s="7"/>
      <c r="E70" s="7"/>
      <c r="F70" s="7"/>
      <c r="G70" s="7"/>
      <c r="H70" s="7"/>
      <c r="I70" s="7"/>
      <c r="J70" s="7"/>
      <c r="K70" s="340"/>
      <c r="M70" s="238"/>
    </row>
    <row r="71" spans="2:16" s="49" customFormat="1" ht="15" customHeight="1">
      <c r="B71" s="7"/>
      <c r="C71" s="7"/>
      <c r="D71" s="7"/>
      <c r="E71" s="7"/>
      <c r="F71" s="7"/>
      <c r="G71" s="7"/>
      <c r="H71" s="7"/>
      <c r="I71" s="7"/>
      <c r="J71" s="7"/>
      <c r="K71" s="340"/>
      <c r="M71" s="238"/>
    </row>
    <row r="72" spans="2:16" ht="15" customHeight="1">
      <c r="C72" s="7"/>
      <c r="K72" s="340"/>
      <c r="L72" s="234"/>
      <c r="M72" s="234"/>
      <c r="O72" s="7"/>
      <c r="P72" s="7"/>
    </row>
    <row r="73" spans="2:16" ht="15" customHeight="1">
      <c r="C73" s="7"/>
      <c r="K73" s="340"/>
      <c r="L73" s="234"/>
      <c r="M73" s="234"/>
      <c r="O73" s="7"/>
      <c r="P73" s="7"/>
    </row>
    <row r="74" spans="2:16" ht="15" customHeight="1">
      <c r="O74" s="340"/>
    </row>
    <row r="75" spans="2:16" ht="15" customHeight="1">
      <c r="O75" s="340"/>
    </row>
    <row r="76" spans="2:16" ht="15" customHeight="1">
      <c r="O76" s="340"/>
    </row>
    <row r="77" spans="2:16" ht="15" customHeight="1"/>
    <row r="78" spans="2:16" ht="15" customHeight="1"/>
    <row r="79" spans="2:16" ht="15" customHeight="1"/>
    <row r="80" spans="2:16" ht="15" customHeight="1"/>
    <row r="81" ht="15" customHeight="1"/>
    <row r="82" ht="15" customHeight="1"/>
  </sheetData>
  <sheetProtection sheet="1" formatColumns="0" formatRows="0"/>
  <mergeCells count="16">
    <mergeCell ref="E2:F3"/>
    <mergeCell ref="P35:P37"/>
    <mergeCell ref="R38:S44"/>
    <mergeCell ref="P38:P44"/>
    <mergeCell ref="P25:P27"/>
    <mergeCell ref="P28:P31"/>
    <mergeCell ref="Q38:Q44"/>
    <mergeCell ref="Q28:Q31"/>
    <mergeCell ref="Q25:Q27"/>
    <mergeCell ref="P55:T56"/>
    <mergeCell ref="T38:T44"/>
    <mergeCell ref="Q35:T37"/>
    <mergeCell ref="Q20:T21"/>
    <mergeCell ref="R16:T19"/>
    <mergeCell ref="R25:T31"/>
    <mergeCell ref="Q52:T54"/>
  </mergeCells>
  <conditionalFormatting sqref="B2">
    <cfRule type="cellIs" dxfId="9" priority="3" operator="notEqual">
      <formula>"[opdrachtnr.]"</formula>
    </cfRule>
  </conditionalFormatting>
  <conditionalFormatting sqref="C2">
    <cfRule type="cellIs" dxfId="8" priority="4" operator="notEqual">
      <formula>"[titel opdracht]"</formula>
    </cfRule>
  </conditionalFormatting>
  <conditionalFormatting sqref="D11:D12">
    <cfRule type="expression" dxfId="7" priority="10">
      <formula>#REF!=""</formula>
    </cfRule>
  </conditionalFormatting>
  <conditionalFormatting sqref="F11:F12">
    <cfRule type="notContainsBlanks" dxfId="6" priority="1">
      <formula>LEN(TRIM(F11))&gt;0</formula>
    </cfRule>
  </conditionalFormatting>
  <conditionalFormatting sqref="F21 H21 J21 L21 F48 H48 J48 L48">
    <cfRule type="cellIs" dxfId="5" priority="5" operator="equal">
      <formula>0</formula>
    </cfRule>
  </conditionalFormatting>
  <dataValidations count="2">
    <dataValidation type="decimal" operator="greaterThanOrEqual" allowBlank="1" showErrorMessage="1" errorTitle="Let op:" error="Vul een (decimaal) getal in!" sqref="F21 H21 L21 L48 J21 F48 H48 J48" xr:uid="{FD495552-1F18-431E-99AF-F6E553F87EAF}">
      <formula1>0</formula1>
    </dataValidation>
    <dataValidation type="list" allowBlank="1" showInputMessage="1" showErrorMessage="1" sqref="F12" xr:uid="{DD7DFAFD-DAE7-40C5-9DF7-6183AAA2E747}">
      <formula1>groslijsten</formula1>
    </dataValidation>
  </dataValidations>
  <pageMargins left="0.23622047244094488" right="0.23622047244094488" top="0.23622047244094488" bottom="0.23622047244094488" header="0" footer="0"/>
  <pageSetup paperSize="9" scale="42" fitToHeight="0" orientation="landscape" r:id="rId1"/>
  <ignoredErrors>
    <ignoredError sqref="E20 I21 K21 G21 F35:L45 F20:L20 F50:L50 E22:L22 F53:F56 C57:H60 G52:L56 K17:K18 K16 I17:I18 I16 G17:G18 G16 F19:L19 F17:F18 M19 F16 H16 H17:H18 J16 J17:J18 L16:M16 L17:M1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C69-1D9E-4C89-91CB-96152F6F2ADE}">
  <sheetPr codeName="Blad3">
    <tabColor theme="4" tint="0.79998168889431442"/>
    <pageSetUpPr fitToPage="1"/>
  </sheetPr>
  <dimension ref="A2:T61"/>
  <sheetViews>
    <sheetView showGridLines="0" topLeftCell="A3" zoomScale="80" zoomScaleNormal="80" workbookViewId="0">
      <selection activeCell="C12" sqref="C12"/>
    </sheetView>
  </sheetViews>
  <sheetFormatPr defaultColWidth="9.08984375" defaultRowHeight="14.5"/>
  <cols>
    <col min="1" max="1" width="3.54296875" style="232" customWidth="1"/>
    <col min="2" max="2" width="51.453125" customWidth="1"/>
    <col min="3" max="5" width="22.54296875" customWidth="1"/>
    <col min="6" max="9" width="14.6328125" customWidth="1"/>
    <col min="10" max="10" width="2.6328125" customWidth="1"/>
    <col min="11" max="11" width="36.36328125" style="207" bestFit="1" customWidth="1"/>
    <col min="12" max="12" width="11.36328125" bestFit="1" customWidth="1"/>
    <col min="20" max="20" width="13.54296875" bestFit="1" customWidth="1"/>
  </cols>
  <sheetData>
    <row r="2" spans="1:12" ht="15" customHeight="1">
      <c r="A2" s="198"/>
      <c r="B2" s="53" t="str">
        <f>_xlfn.TEXTJOIN(" ",TRUE,'fictieve meerwaarde &amp; eisen'!B2,'fictieve meerwaarde &amp; eisen'!C2)</f>
        <v>618182601 Bestrijding geelpoothoornaar</v>
      </c>
      <c r="C2" s="421" t="e" vm="1">
        <v>#VALUE!</v>
      </c>
      <c r="D2" s="421"/>
      <c r="F2" s="52"/>
      <c r="G2" s="52"/>
      <c r="H2" s="52"/>
      <c r="I2" s="52"/>
      <c r="J2" s="52"/>
      <c r="K2" s="199"/>
    </row>
    <row r="3" spans="1:12" ht="15" customHeight="1">
      <c r="A3" s="200"/>
      <c r="B3" s="201" t="s">
        <v>44</v>
      </c>
      <c r="C3" s="421"/>
      <c r="D3" s="421"/>
      <c r="F3" s="52"/>
      <c r="G3" s="52"/>
      <c r="H3" s="52"/>
      <c r="I3" s="52"/>
      <c r="J3" s="52"/>
      <c r="K3" s="199"/>
    </row>
    <row r="4" spans="1:12" ht="15" customHeight="1">
      <c r="A4" s="200"/>
      <c r="D4" s="202"/>
      <c r="F4" s="52"/>
      <c r="G4" s="52"/>
      <c r="H4" s="52"/>
      <c r="I4" s="52"/>
      <c r="J4" s="52"/>
      <c r="K4" s="199"/>
    </row>
    <row r="5" spans="1:12" ht="15" customHeight="1">
      <c r="A5" s="200"/>
      <c r="B5" s="203" t="s">
        <v>45</v>
      </c>
      <c r="D5" s="202"/>
      <c r="F5" s="52"/>
      <c r="G5" s="52"/>
      <c r="H5" s="52"/>
      <c r="I5" s="52"/>
      <c r="J5" s="52"/>
      <c r="K5" s="199"/>
    </row>
    <row r="6" spans="1:12" ht="15" customHeight="1">
      <c r="A6" s="200"/>
      <c r="B6" s="203" t="s">
        <v>46</v>
      </c>
      <c r="D6" s="202"/>
      <c r="F6" s="52"/>
      <c r="G6" s="52"/>
      <c r="H6" s="52"/>
      <c r="I6" s="52"/>
      <c r="J6" s="52"/>
      <c r="K6" s="199"/>
    </row>
    <row r="7" spans="1:12" ht="15" customHeight="1">
      <c r="A7" s="200"/>
      <c r="B7" s="203" t="s">
        <v>47</v>
      </c>
      <c r="D7" s="202"/>
      <c r="F7" s="52"/>
      <c r="G7" s="52"/>
      <c r="H7" s="52"/>
      <c r="I7" s="52"/>
      <c r="J7" s="52"/>
      <c r="K7" s="199"/>
    </row>
    <row r="8" spans="1:12" ht="15" customHeight="1">
      <c r="A8" s="200"/>
      <c r="B8" t="s">
        <v>48</v>
      </c>
      <c r="D8" s="202"/>
      <c r="F8" s="52"/>
      <c r="G8" s="52"/>
      <c r="H8" s="52"/>
      <c r="I8" s="52"/>
      <c r="J8" s="52"/>
      <c r="K8" s="199"/>
    </row>
    <row r="9" spans="1:12" ht="15" customHeight="1">
      <c r="A9" s="200"/>
      <c r="B9" s="204" t="s">
        <v>49</v>
      </c>
      <c r="D9" s="202"/>
      <c r="F9" s="52"/>
      <c r="G9" s="52"/>
      <c r="H9" s="52"/>
      <c r="I9" s="52"/>
      <c r="J9" s="52"/>
      <c r="K9" s="199"/>
    </row>
    <row r="10" spans="1:12" ht="15" customHeight="1">
      <c r="A10" s="200"/>
      <c r="B10" s="203" t="s">
        <v>50</v>
      </c>
      <c r="F10" s="52"/>
      <c r="G10" s="52"/>
      <c r="H10" s="52"/>
      <c r="I10" s="52"/>
      <c r="J10" s="52"/>
      <c r="K10" s="199"/>
    </row>
    <row r="11" spans="1:12" ht="15" customHeight="1">
      <c r="A11" s="200"/>
      <c r="B11" s="205"/>
      <c r="C11" s="203"/>
      <c r="D11" s="202"/>
      <c r="F11" s="52"/>
      <c r="G11" s="52"/>
      <c r="H11" s="52"/>
      <c r="I11" s="52"/>
      <c r="J11" s="52"/>
      <c r="K11" s="8"/>
    </row>
    <row r="12" spans="1:12" ht="15" customHeight="1" thickBot="1">
      <c r="A12" s="198"/>
      <c r="B12" s="206" t="s">
        <v>51</v>
      </c>
      <c r="C12" s="91"/>
      <c r="E12" s="422" t="s">
        <v>239</v>
      </c>
      <c r="F12" s="422"/>
      <c r="G12" s="422"/>
      <c r="H12" s="422"/>
      <c r="I12" s="422"/>
    </row>
    <row r="13" spans="1:12" ht="15" customHeight="1" thickTop="1">
      <c r="A13" s="198"/>
      <c r="B13" s="206" t="s">
        <v>52</v>
      </c>
      <c r="C13" s="130"/>
      <c r="D13" s="54"/>
      <c r="E13" s="422"/>
      <c r="F13" s="422"/>
      <c r="G13" s="422"/>
      <c r="H13" s="422"/>
      <c r="I13" s="422"/>
    </row>
    <row r="14" spans="1:12" s="52" customFormat="1" ht="15" customHeight="1" thickBot="1">
      <c r="A14" s="200"/>
      <c r="C14" s="21"/>
      <c r="D14" s="21"/>
      <c r="F14"/>
      <c r="K14" s="208"/>
    </row>
    <row r="15" spans="1:12" s="215" customFormat="1" ht="59.15" customHeight="1" thickBot="1">
      <c r="A15" s="209"/>
      <c r="B15" s="50" t="str">
        <f>'fictieve meerwaarde &amp; eisen'!B14</f>
        <v>WERKTUIGEN</v>
      </c>
      <c r="C15" s="419"/>
      <c r="D15" s="420"/>
      <c r="E15" s="210" t="str">
        <f>'fictieve meerwaarde &amp; eisen'!E14</f>
        <v>vanaf</v>
      </c>
      <c r="F15" s="211">
        <f>'fictieve meerwaarde &amp; eisen'!F14</f>
        <v>46388</v>
      </c>
      <c r="G15" s="212">
        <f>'fictieve meerwaarde &amp; eisen'!H14</f>
        <v>46753</v>
      </c>
      <c r="H15" s="213">
        <f>'fictieve meerwaarde &amp; eisen'!J14</f>
        <v>47119</v>
      </c>
      <c r="I15" s="214">
        <f>'fictieve meerwaarde &amp; eisen'!L14</f>
        <v>47484</v>
      </c>
    </row>
    <row r="16" spans="1:12" s="215" customFormat="1" ht="31.5" thickBot="1">
      <c r="A16" s="209"/>
      <c r="B16" s="216" t="s">
        <v>53</v>
      </c>
      <c r="C16" s="217" t="s">
        <v>14</v>
      </c>
      <c r="D16" s="218" t="s">
        <v>15</v>
      </c>
      <c r="E16" s="219" t="s">
        <v>54</v>
      </c>
      <c r="F16" s="55" t="s">
        <v>55</v>
      </c>
      <c r="G16" s="56" t="s">
        <v>55</v>
      </c>
      <c r="H16" s="57" t="s">
        <v>55</v>
      </c>
      <c r="I16" s="58" t="s">
        <v>55</v>
      </c>
      <c r="J16" s="220"/>
      <c r="K16" s="221" t="s">
        <v>0</v>
      </c>
      <c r="L16" s="222"/>
    </row>
    <row r="17" spans="1:12" s="215" customFormat="1" ht="15" customHeight="1">
      <c r="A17" s="223">
        <v>1</v>
      </c>
      <c r="B17" s="92"/>
      <c r="C17" s="93"/>
      <c r="D17" s="94"/>
      <c r="E17" s="95"/>
      <c r="F17" s="96"/>
      <c r="G17" s="97"/>
      <c r="H17" s="97"/>
      <c r="I17" s="98"/>
      <c r="J17" s="52"/>
      <c r="K17" s="215" t="str">
        <f>IF(E17="","",IF(AND($C17=stageVmotor,COUNTIF(vermogenklasse_eisen_2027,$E17)&gt;0),voldoet_niet,IF(AND(C17 = stageVmotor,materieelinzetplan!E17=vermogensklasse56tot130kW),voldoet_niet_2028,IF(COUNTIF(gunning_werktuigen_2027,E17)&gt;0,IF(COUNTIF(gunning_werktuigen_2028,E17)&gt;0,"",voldoet_geenFM_2028),voldoet_geenFM_2027))))</f>
        <v/>
      </c>
    </row>
    <row r="18" spans="1:12" s="215" customFormat="1" ht="15" customHeight="1">
      <c r="A18" s="223">
        <v>2</v>
      </c>
      <c r="B18" s="92"/>
      <c r="C18" s="93"/>
      <c r="D18" s="94"/>
      <c r="E18" s="99"/>
      <c r="F18" s="100"/>
      <c r="G18" s="101"/>
      <c r="H18" s="101"/>
      <c r="I18" s="102"/>
      <c r="J18" s="52"/>
      <c r="K18" s="215" t="str">
        <f>IF(E18="","",IF(AND($C18=stageVmotor,COUNTIF(vermogenklasse_eisen_2027,$E18)&gt;0),voldoet_niet,IF(AND(C18 = stageVmotor,materieelinzetplan!E18=vermogensklasse56tot130kW),voldoet_niet_2028,IF(COUNTIF(gunning_werktuigen_2027,E18)&gt;0,IF(COUNTIF(gunning_werktuigen_2028,E18)&gt;0,"",voldoet_geenFM_2028),voldoet_geenFM_2027))))</f>
        <v/>
      </c>
    </row>
    <row r="19" spans="1:12" s="215" customFormat="1" ht="15" customHeight="1">
      <c r="A19" s="223">
        <v>3</v>
      </c>
      <c r="B19" s="92"/>
      <c r="C19" s="93"/>
      <c r="D19" s="94"/>
      <c r="E19" s="103"/>
      <c r="F19" s="100"/>
      <c r="G19" s="101"/>
      <c r="H19" s="101"/>
      <c r="I19" s="102"/>
      <c r="J19" s="52"/>
      <c r="K19" s="215" t="str">
        <f>IF(E19="","",IF(AND($C19=stageVmotor,COUNTIF(vermogenklasse_eisen_2027,$E19)&gt;0),voldoet_niet,IF(AND(C19 = stageVmotor,materieelinzetplan!E19=vermogensklasse56tot130kW),voldoet_niet_2028,IF(COUNTIF(gunning_werktuigen_2027,E19)&gt;0,IF(COUNTIF(gunning_werktuigen_2028,E19)&gt;0,"",voldoet_geenFM_2028),voldoet_geenFM_2027))))</f>
        <v/>
      </c>
    </row>
    <row r="20" spans="1:12" s="215" customFormat="1" ht="15" customHeight="1">
      <c r="A20" s="223">
        <v>4</v>
      </c>
      <c r="B20" s="92"/>
      <c r="C20" s="93"/>
      <c r="D20" s="94"/>
      <c r="E20" s="103"/>
      <c r="F20" s="100"/>
      <c r="G20" s="101"/>
      <c r="H20" s="101"/>
      <c r="I20" s="102"/>
      <c r="J20" s="52"/>
      <c r="K20" s="215" t="str">
        <f>IF(E20="","",IF(AND($C20=stageVmotor,COUNTIF(vermogenklasse_eisen_2027,$E20)&gt;0),voldoet_niet,IF(AND(C20 = stageVmotor,materieelinzetplan!E20=vermogensklasse56tot130kW),voldoet_niet_2028,IF(COUNTIF(gunning_werktuigen_2027,E20)&gt;0,IF(COUNTIF(gunning_werktuigen_2028,E20)&gt;0,"",voldoet_geenFM_2028),voldoet_geenFM_2027))))</f>
        <v/>
      </c>
    </row>
    <row r="21" spans="1:12" s="215" customFormat="1" ht="15" customHeight="1">
      <c r="A21" s="223">
        <v>5</v>
      </c>
      <c r="B21" s="92"/>
      <c r="C21" s="93"/>
      <c r="D21" s="120"/>
      <c r="E21" s="103"/>
      <c r="F21" s="100"/>
      <c r="G21" s="101"/>
      <c r="H21" s="101"/>
      <c r="I21" s="102"/>
      <c r="J21" s="52"/>
      <c r="K21" s="215" t="str">
        <f>IF(E21="","",IF(AND($C21=stageVmotor,COUNTIF(vermogenklasse_eisen_2027,$E21)&gt;0),voldoet_niet,IF(AND(C21 = stageVmotor,materieelinzetplan!E21=vermogensklasse56tot130kW),voldoet_niet_2028,IF(COUNTIF(gunning_werktuigen_2027,E21)&gt;0,IF(COUNTIF(gunning_werktuigen_2028,E21)&gt;0,"",voldoet_geenFM_2028),voldoet_geenFM_2027))))</f>
        <v/>
      </c>
      <c r="L21" s="224"/>
    </row>
    <row r="22" spans="1:12" s="215" customFormat="1" ht="15" customHeight="1">
      <c r="A22" s="223">
        <v>6</v>
      </c>
      <c r="B22" s="92"/>
      <c r="C22" s="93"/>
      <c r="D22" s="94"/>
      <c r="E22" s="103"/>
      <c r="F22" s="100"/>
      <c r="G22" s="101"/>
      <c r="H22" s="101"/>
      <c r="I22" s="102"/>
      <c r="J22" s="52"/>
      <c r="K22" s="215" t="str">
        <f>IF(E22="","",IF(AND($C22=stageVmotor,COUNTIF(vermogenklasse_eisen_2027,$E22)&gt;0),voldoet_niet,IF(AND(C22 = stageVmotor,materieelinzetplan!E22=vermogensklasse56tot130kW),voldoet_niet_2028,IF(COUNTIF(gunning_werktuigen_2027,E22)&gt;0,IF(COUNTIF(gunning_werktuigen_2028,E22)&gt;0,"",voldoet_geenFM_2028),voldoet_geenFM_2027))))</f>
        <v/>
      </c>
    </row>
    <row r="23" spans="1:12" s="215" customFormat="1" ht="15" customHeight="1">
      <c r="A23" s="223">
        <v>7</v>
      </c>
      <c r="B23" s="92"/>
      <c r="C23" s="93"/>
      <c r="D23" s="94"/>
      <c r="E23" s="103"/>
      <c r="F23" s="100"/>
      <c r="G23" s="101"/>
      <c r="H23" s="101"/>
      <c r="I23" s="102"/>
      <c r="J23" s="52"/>
      <c r="K23" s="215" t="str">
        <f>IF(E23="","",IF(AND($C23=stageVmotor,COUNTIF(vermogenklasse_eisen_2027,$E23)&gt;0),voldoet_niet,IF(AND(C23 = stageVmotor,materieelinzetplan!E23=vermogensklasse56tot130kW),voldoet_niet_2028,IF(COUNTIF(gunning_werktuigen_2027,E23)&gt;0,IF(COUNTIF(gunning_werktuigen_2028,E23)&gt;0,"",voldoet_geenFM_2028),voldoet_geenFM_2027))))</f>
        <v/>
      </c>
    </row>
    <row r="24" spans="1:12" s="215" customFormat="1" ht="15" customHeight="1">
      <c r="A24" s="223">
        <v>8</v>
      </c>
      <c r="B24" s="92"/>
      <c r="C24" s="93"/>
      <c r="D24" s="94"/>
      <c r="E24" s="103"/>
      <c r="F24" s="100"/>
      <c r="G24" s="101"/>
      <c r="H24" s="101"/>
      <c r="I24" s="102"/>
      <c r="J24" s="52"/>
      <c r="K24" s="215" t="str">
        <f>IF(E24="","",IF(AND($C24=stageVmotor,COUNTIF(vermogenklasse_eisen_2027,$E24)&gt;0),voldoet_niet,IF(AND(C24 = stageVmotor,materieelinzetplan!E24=vermogensklasse56tot130kW),voldoet_niet_2028,IF(COUNTIF(gunning_werktuigen_2027,E24)&gt;0,IF(COUNTIF(gunning_werktuigen_2028,E24)&gt;0,"",voldoet_geenFM_2028),voldoet_geenFM_2027))))</f>
        <v/>
      </c>
    </row>
    <row r="25" spans="1:12" s="215" customFormat="1" ht="15" customHeight="1">
      <c r="A25" s="223">
        <v>9</v>
      </c>
      <c r="B25" s="104"/>
      <c r="C25" s="93"/>
      <c r="D25" s="94"/>
      <c r="E25" s="103"/>
      <c r="F25" s="100"/>
      <c r="G25" s="101"/>
      <c r="H25" s="101"/>
      <c r="I25" s="102"/>
      <c r="J25" s="52"/>
      <c r="K25" s="215" t="str">
        <f>IF(E25="","",IF(AND($C25=stageVmotor,COUNTIF(vermogenklasse_eisen_2027,$E25)&gt;0),voldoet_niet,IF(AND(C25 = stageVmotor,materieelinzetplan!E25=vermogensklasse56tot130kW),voldoet_niet_2028,IF(COUNTIF(gunning_werktuigen_2027,E25)&gt;0,IF(COUNTIF(gunning_werktuigen_2028,E25)&gt;0,"",voldoet_geenFM_2028),voldoet_geenFM_2027))))</f>
        <v/>
      </c>
    </row>
    <row r="26" spans="1:12" s="215" customFormat="1" ht="15" customHeight="1">
      <c r="A26" s="223">
        <v>10</v>
      </c>
      <c r="B26" s="105"/>
      <c r="C26" s="106"/>
      <c r="D26" s="94"/>
      <c r="E26" s="103"/>
      <c r="F26" s="107"/>
      <c r="G26" s="108"/>
      <c r="H26" s="108"/>
      <c r="I26" s="109"/>
      <c r="J26" s="52"/>
      <c r="K26" s="215" t="str">
        <f>IF(E26="","",IF(AND($C26=stageVmotor,COUNTIF(vermogenklasse_eisen_2027,$E26)&gt;0),voldoet_niet,IF(AND(C26 = stageVmotor,materieelinzetplan!E26=vermogensklasse56tot130kW),voldoet_niet_2028,IF(COUNTIF(gunning_werktuigen_2027,E26)&gt;0,IF(COUNTIF(gunning_werktuigen_2028,E26)&gt;0,"",voldoet_geenFM_2028),voldoet_geenFM_2027))))</f>
        <v/>
      </c>
    </row>
    <row r="27" spans="1:12" s="215" customFormat="1" ht="15" customHeight="1">
      <c r="A27" s="223">
        <v>11</v>
      </c>
      <c r="B27" s="105"/>
      <c r="C27" s="106"/>
      <c r="D27" s="94"/>
      <c r="E27" s="103"/>
      <c r="F27" s="107"/>
      <c r="G27" s="108"/>
      <c r="H27" s="108"/>
      <c r="I27" s="109"/>
      <c r="J27" s="52"/>
      <c r="K27" s="215" t="str">
        <f>IF(E27="","",IF(AND($C27=stageVmotor,COUNTIF(vermogenklasse_eisen_2027,$E27)&gt;0),voldoet_niet,IF(AND(C27 = stageVmotor,materieelinzetplan!E27=vermogensklasse56tot130kW),voldoet_niet_2028,IF(COUNTIF(gunning_werktuigen_2027,E27)&gt;0,IF(COUNTIF(gunning_werktuigen_2028,E27)&gt;0,"",voldoet_geenFM_2028),voldoet_geenFM_2027))))</f>
        <v/>
      </c>
    </row>
    <row r="28" spans="1:12" s="215" customFormat="1" ht="15" customHeight="1">
      <c r="A28" s="223">
        <v>12</v>
      </c>
      <c r="B28" s="105"/>
      <c r="C28" s="106"/>
      <c r="D28" s="94"/>
      <c r="E28" s="103"/>
      <c r="F28" s="107"/>
      <c r="G28" s="108"/>
      <c r="H28" s="108"/>
      <c r="I28" s="109"/>
      <c r="J28" s="52"/>
      <c r="K28" s="215" t="str">
        <f>IF(E28="","",IF(AND($C28=stageVmotor,COUNTIF(vermogenklasse_eisen_2027,$E28)&gt;0),voldoet_niet,IF(AND(C28 = stageVmotor,materieelinzetplan!E28=vermogensklasse56tot130kW),voldoet_niet_2028,IF(COUNTIF(gunning_werktuigen_2027,E28)&gt;0,IF(COUNTIF(gunning_werktuigen_2028,E28)&gt;0,"",voldoet_geenFM_2028),voldoet_geenFM_2027))))</f>
        <v/>
      </c>
    </row>
    <row r="29" spans="1:12" s="215" customFormat="1" ht="15" customHeight="1">
      <c r="A29" s="223">
        <v>13</v>
      </c>
      <c r="B29" s="105"/>
      <c r="C29" s="106"/>
      <c r="D29" s="94"/>
      <c r="E29" s="103"/>
      <c r="F29" s="107"/>
      <c r="G29" s="108"/>
      <c r="H29" s="108"/>
      <c r="I29" s="109"/>
      <c r="J29" s="52"/>
      <c r="K29" s="215" t="str">
        <f>IF(E29="","",IF(AND($C29=stageVmotor,COUNTIF(vermogenklasse_eisen_2027,$E29)&gt;0),voldoet_niet,IF(AND(C29 = stageVmotor,materieelinzetplan!E29=vermogensklasse56tot130kW),voldoet_niet_2028,IF(COUNTIF(gunning_werktuigen_2027,E29)&gt;0,IF(COUNTIF(gunning_werktuigen_2028,E29)&gt;0,"",voldoet_geenFM_2028),voldoet_geenFM_2027))))</f>
        <v/>
      </c>
    </row>
    <row r="30" spans="1:12" s="215" customFormat="1" ht="15" customHeight="1">
      <c r="A30" s="223">
        <v>14</v>
      </c>
      <c r="B30" s="105"/>
      <c r="C30" s="106"/>
      <c r="D30" s="94"/>
      <c r="E30" s="103"/>
      <c r="F30" s="107"/>
      <c r="G30" s="108"/>
      <c r="H30" s="108"/>
      <c r="I30" s="109"/>
      <c r="J30" s="52"/>
      <c r="K30" s="215" t="str">
        <f>IF(E30="","",IF(AND($C30=stageVmotor,COUNTIF(vermogenklasse_eisen_2027,$E30)&gt;0),voldoet_niet,IF(AND(C30 = stageVmotor,materieelinzetplan!E30=vermogensklasse56tot130kW),voldoet_niet_2028,IF(COUNTIF(gunning_werktuigen_2027,E30)&gt;0,IF(COUNTIF(gunning_werktuigen_2028,E30)&gt;0,"",voldoet_geenFM_2028),voldoet_geenFM_2027))))</f>
        <v/>
      </c>
    </row>
    <row r="31" spans="1:12" s="215" customFormat="1" ht="15" customHeight="1">
      <c r="A31" s="223">
        <v>15</v>
      </c>
      <c r="B31" s="105"/>
      <c r="C31" s="106"/>
      <c r="D31" s="94"/>
      <c r="E31" s="141"/>
      <c r="F31" s="107"/>
      <c r="G31" s="108"/>
      <c r="H31" s="108"/>
      <c r="I31" s="109"/>
      <c r="J31" s="52"/>
      <c r="K31" s="215" t="str">
        <f>IF(E31="","",IF(AND($C31=stageVmotor,COUNTIF(vermogenklasse_eisen_2027,$E31)&gt;0),voldoet_niet,IF(AND(C31 = stageVmotor,materieelinzetplan!E31=vermogensklasse56tot130kW),voldoet_niet_2028,IF(COUNTIF(gunning_werktuigen_2027,E31)&gt;0,IF(COUNTIF(gunning_werktuigen_2028,E31)&gt;0,"",voldoet_geenFM_2028),voldoet_geenFM_2027))))</f>
        <v/>
      </c>
    </row>
    <row r="32" spans="1:12" s="215" customFormat="1" ht="15" customHeight="1">
      <c r="A32" s="223">
        <v>16</v>
      </c>
      <c r="B32" s="105"/>
      <c r="C32" s="106"/>
      <c r="D32" s="94"/>
      <c r="E32" s="141"/>
      <c r="F32" s="107"/>
      <c r="G32" s="108"/>
      <c r="H32" s="108"/>
      <c r="I32" s="109"/>
      <c r="J32" s="52"/>
      <c r="K32" s="215" t="str">
        <f>IF(E32="","",IF(AND($C32=stageVmotor,COUNTIF(vermogenklasse_eisen_2027,$E32)&gt;0),voldoet_niet,IF(AND(C32 = stageVmotor,materieelinzetplan!E32=vermogensklasse56tot130kW),voldoet_niet_2028,IF(COUNTIF(gunning_werktuigen_2027,E32)&gt;0,IF(COUNTIF(gunning_werktuigen_2028,E32)&gt;0,"",voldoet_geenFM_2028),voldoet_geenFM_2027))))</f>
        <v/>
      </c>
    </row>
    <row r="33" spans="1:20" s="215" customFormat="1" ht="15" customHeight="1">
      <c r="A33" s="223">
        <v>17</v>
      </c>
      <c r="B33" s="105"/>
      <c r="C33" s="106"/>
      <c r="D33" s="94"/>
      <c r="E33" s="141"/>
      <c r="F33" s="107"/>
      <c r="G33" s="108"/>
      <c r="H33" s="108"/>
      <c r="I33" s="109"/>
      <c r="J33" s="52"/>
      <c r="K33" s="215" t="str">
        <f>IF(E33="","",IF(AND($C33=stageVmotor,COUNTIF(vermogenklasse_eisen_2027,$E33)&gt;0),voldoet_niet,IF(AND(C33 = stageVmotor,materieelinzetplan!E33=vermogensklasse56tot130kW),voldoet_niet_2028,IF(COUNTIF(gunning_werktuigen_2027,E33)&gt;0,IF(COUNTIF(gunning_werktuigen_2028,E33)&gt;0,"",voldoet_geenFM_2028),voldoet_geenFM_2027))))</f>
        <v/>
      </c>
    </row>
    <row r="34" spans="1:20" s="215" customFormat="1" ht="15" customHeight="1">
      <c r="A34" s="223">
        <v>18</v>
      </c>
      <c r="B34" s="105"/>
      <c r="C34" s="106"/>
      <c r="D34" s="94"/>
      <c r="E34" s="141"/>
      <c r="F34" s="107"/>
      <c r="G34" s="108"/>
      <c r="H34" s="108"/>
      <c r="I34" s="109"/>
      <c r="J34" s="52"/>
      <c r="K34" s="215" t="str">
        <f>IF(E34="","",IF(AND($C34=stageVmotor,COUNTIF(vermogenklasse_eisen_2027,$E34)&gt;0),voldoet_niet,IF(AND(C34 = stageVmotor,materieelinzetplan!E34=vermogensklasse56tot130kW),voldoet_niet_2028,IF(COUNTIF(gunning_werktuigen_2027,E34)&gt;0,IF(COUNTIF(gunning_werktuigen_2028,E34)&gt;0,"",voldoet_geenFM_2028),voldoet_geenFM_2027))))</f>
        <v/>
      </c>
    </row>
    <row r="35" spans="1:20" s="215" customFormat="1" ht="15" customHeight="1">
      <c r="A35" s="223">
        <v>19</v>
      </c>
      <c r="B35" s="105"/>
      <c r="C35" s="106"/>
      <c r="D35" s="94"/>
      <c r="E35" s="141"/>
      <c r="F35" s="107"/>
      <c r="G35" s="108"/>
      <c r="H35" s="108"/>
      <c r="I35" s="109"/>
      <c r="J35" s="52"/>
      <c r="K35" s="215" t="str">
        <f>IF(E35="","",IF(AND($C35=stageVmotor,COUNTIF(vermogenklasse_eisen_2027,$E35)&gt;0),voldoet_niet,IF(AND(C35 = stageVmotor,materieelinzetplan!E35=vermogensklasse56tot130kW),voldoet_niet_2028,IF(COUNTIF(gunning_werktuigen_2027,E35)&gt;0,IF(COUNTIF(gunning_werktuigen_2028,E35)&gt;0,"",voldoet_geenFM_2028),voldoet_geenFM_2027))))</f>
        <v/>
      </c>
    </row>
    <row r="36" spans="1:20" s="215" customFormat="1" ht="15" customHeight="1" thickBot="1">
      <c r="A36" s="223">
        <v>20</v>
      </c>
      <c r="B36" s="110"/>
      <c r="C36" s="111"/>
      <c r="D36" s="112"/>
      <c r="E36" s="113"/>
      <c r="F36" s="114"/>
      <c r="G36" s="115"/>
      <c r="H36" s="115"/>
      <c r="I36" s="116"/>
      <c r="J36" s="52"/>
      <c r="K36" s="215" t="str">
        <f>IF(E36="","",IF(AND($C36=stageVmotor,COUNTIF(vermogenklasse_eisen_2027,$E36)&gt;0),voldoet_niet,IF(AND(C36 = stageVmotor,materieelinzetplan!E36=vermogensklasse56tot130kW),voldoet_niet_2028,IF(COUNTIF(gunning_werktuigen_2027,E36)&gt;0,IF(COUNTIF(gunning_werktuigen_2028,E36)&gt;0,"",voldoet_geenFM_2028),voldoet_geenFM_2027))))</f>
        <v/>
      </c>
      <c r="T36"/>
    </row>
    <row r="37" spans="1:20" ht="15" customHeight="1" thickBot="1">
      <c r="A37" s="209"/>
      <c r="B37" s="225"/>
      <c r="C37" s="226"/>
      <c r="D37" s="226"/>
      <c r="E37" s="226"/>
      <c r="F37" s="225"/>
      <c r="J37" s="52"/>
      <c r="K37" s="227"/>
      <c r="T37" s="215"/>
    </row>
    <row r="38" spans="1:20" s="215" customFormat="1" ht="59.15" customHeight="1" thickBot="1">
      <c r="A38" s="209"/>
      <c r="B38" s="50" t="str">
        <f>'fictieve meerwaarde &amp; eisen'!B33</f>
        <v>N2 en N3 TRANSPORTMIDDELEN (vanaf 3.500kg)</v>
      </c>
      <c r="C38" s="228"/>
      <c r="D38" s="229"/>
      <c r="E38" s="210" t="str">
        <f>'fictieve meerwaarde &amp; eisen'!E33</f>
        <v>vanaf</v>
      </c>
      <c r="F38" s="211">
        <f>'fictieve meerwaarde &amp; eisen'!F33</f>
        <v>46388</v>
      </c>
      <c r="G38" s="212">
        <f>'fictieve meerwaarde &amp; eisen'!H33</f>
        <v>46753</v>
      </c>
      <c r="H38" s="213">
        <f>'fictieve meerwaarde &amp; eisen'!J33</f>
        <v>47119</v>
      </c>
      <c r="I38" s="214">
        <f>'fictieve meerwaarde &amp; eisen'!L33</f>
        <v>47484</v>
      </c>
      <c r="K38" s="227"/>
    </row>
    <row r="39" spans="1:20" s="215" customFormat="1" ht="31.5" thickBot="1">
      <c r="A39" s="209"/>
      <c r="B39" s="216" t="s">
        <v>53</v>
      </c>
      <c r="C39" s="230" t="s">
        <v>14</v>
      </c>
      <c r="D39" s="219" t="s">
        <v>15</v>
      </c>
      <c r="E39" s="219" t="s">
        <v>54</v>
      </c>
      <c r="F39" s="55" t="s">
        <v>55</v>
      </c>
      <c r="G39" s="57" t="s">
        <v>55</v>
      </c>
      <c r="H39" s="57" t="s">
        <v>55</v>
      </c>
      <c r="I39" s="58" t="s">
        <v>55</v>
      </c>
      <c r="K39" s="221" t="s">
        <v>0</v>
      </c>
    </row>
    <row r="40" spans="1:20" s="215" customFormat="1" ht="15" customHeight="1">
      <c r="A40" s="223">
        <v>1</v>
      </c>
      <c r="B40" s="178"/>
      <c r="C40" s="117"/>
      <c r="D40" s="117"/>
      <c r="E40" s="182"/>
      <c r="F40" s="174"/>
      <c r="G40" s="97"/>
      <c r="H40" s="97"/>
      <c r="I40" s="98"/>
      <c r="J40"/>
      <c r="K40" s="231" t="str">
        <f>IF(C40="","",IF(C40='fictieve meerwaarde &amp; eisen'!$B$35,"",geenToegangZEzone))</f>
        <v/>
      </c>
    </row>
    <row r="41" spans="1:20" s="215" customFormat="1" ht="15" customHeight="1">
      <c r="A41" s="223">
        <v>2</v>
      </c>
      <c r="B41" s="179"/>
      <c r="C41" s="118"/>
      <c r="D41" s="118"/>
      <c r="E41" s="103"/>
      <c r="F41" s="175"/>
      <c r="G41" s="101"/>
      <c r="H41" s="101"/>
      <c r="I41" s="102"/>
      <c r="J41"/>
      <c r="K41" s="231" t="str">
        <f>IF(C41="","",IF(C41='fictieve meerwaarde &amp; eisen'!$B$35,"",geenToegangZEzone))</f>
        <v/>
      </c>
    </row>
    <row r="42" spans="1:20" s="215" customFormat="1" ht="15" customHeight="1">
      <c r="A42" s="223">
        <v>3</v>
      </c>
      <c r="B42" s="179"/>
      <c r="C42" s="118"/>
      <c r="D42" s="118"/>
      <c r="E42" s="103"/>
      <c r="F42" s="175"/>
      <c r="G42" s="101"/>
      <c r="H42" s="101"/>
      <c r="I42" s="102"/>
      <c r="J42"/>
      <c r="K42" s="231" t="str">
        <f>IF(C42="","",IF(C42='fictieve meerwaarde &amp; eisen'!$B$35,"",geenToegangZEzone))</f>
        <v/>
      </c>
    </row>
    <row r="43" spans="1:20" s="215" customFormat="1" ht="15" customHeight="1">
      <c r="A43" s="223">
        <v>4</v>
      </c>
      <c r="B43" s="179"/>
      <c r="C43" s="118"/>
      <c r="D43" s="118"/>
      <c r="E43" s="103"/>
      <c r="F43" s="175"/>
      <c r="G43" s="101"/>
      <c r="H43" s="101"/>
      <c r="I43" s="102"/>
      <c r="J43"/>
      <c r="K43" s="231" t="str">
        <f>IF(C43="","",IF(C43='fictieve meerwaarde &amp; eisen'!$B$35,"",geenToegangZEzone))</f>
        <v/>
      </c>
    </row>
    <row r="44" spans="1:20" s="215" customFormat="1" ht="15" customHeight="1">
      <c r="A44" s="223">
        <v>5</v>
      </c>
      <c r="B44" s="179"/>
      <c r="C44" s="118"/>
      <c r="D44" s="118"/>
      <c r="E44" s="103"/>
      <c r="F44" s="175"/>
      <c r="G44" s="101"/>
      <c r="H44" s="101"/>
      <c r="I44" s="102"/>
      <c r="J44"/>
      <c r="K44" s="231" t="str">
        <f>IF(C44="","",IF(C44='fictieve meerwaarde &amp; eisen'!$B$35,"",geenToegangZEzone))</f>
        <v/>
      </c>
    </row>
    <row r="45" spans="1:20" s="215" customFormat="1" ht="15" customHeight="1">
      <c r="A45" s="223">
        <v>6</v>
      </c>
      <c r="B45" s="179"/>
      <c r="C45" s="118"/>
      <c r="D45" s="118"/>
      <c r="E45" s="103"/>
      <c r="F45" s="175"/>
      <c r="G45" s="101"/>
      <c r="H45" s="101"/>
      <c r="I45" s="102"/>
      <c r="J45"/>
      <c r="K45" s="231" t="str">
        <f>IF(C45="","",IF(C45='fictieve meerwaarde &amp; eisen'!$B$35,"",geenToegangZEzone))</f>
        <v/>
      </c>
    </row>
    <row r="46" spans="1:20" s="215" customFormat="1" ht="15" customHeight="1">
      <c r="A46" s="223">
        <v>7</v>
      </c>
      <c r="B46" s="179"/>
      <c r="C46" s="118"/>
      <c r="D46" s="118"/>
      <c r="E46" s="103"/>
      <c r="F46" s="175"/>
      <c r="G46" s="101"/>
      <c r="H46" s="101"/>
      <c r="I46" s="102"/>
      <c r="J46"/>
      <c r="K46" s="231" t="str">
        <f>IF(C46="","",IF(C46='fictieve meerwaarde &amp; eisen'!$B$35,"",geenToegangZEzone))</f>
        <v/>
      </c>
    </row>
    <row r="47" spans="1:20" s="215" customFormat="1" ht="15" customHeight="1">
      <c r="A47" s="223">
        <v>8</v>
      </c>
      <c r="B47" s="179"/>
      <c r="C47" s="118"/>
      <c r="D47" s="118"/>
      <c r="E47" s="103"/>
      <c r="F47" s="175"/>
      <c r="G47" s="101"/>
      <c r="H47" s="101"/>
      <c r="I47" s="102"/>
      <c r="J47"/>
      <c r="K47" s="231" t="str">
        <f>IF(C47="","",IF(C47='fictieve meerwaarde &amp; eisen'!$B$35,"",geenToegangZEzone))</f>
        <v/>
      </c>
    </row>
    <row r="48" spans="1:20" s="215" customFormat="1" ht="15" customHeight="1">
      <c r="A48" s="223">
        <v>9</v>
      </c>
      <c r="B48" s="179"/>
      <c r="C48" s="118"/>
      <c r="D48" s="118"/>
      <c r="E48" s="103"/>
      <c r="F48" s="175"/>
      <c r="G48" s="101"/>
      <c r="H48" s="101"/>
      <c r="I48" s="102"/>
      <c r="J48"/>
      <c r="K48" s="231" t="str">
        <f>IF(C48="","",IF(C48='fictieve meerwaarde &amp; eisen'!$B$35,"",geenToegangZEzone))</f>
        <v/>
      </c>
    </row>
    <row r="49" spans="1:20" s="215" customFormat="1" ht="15" customHeight="1">
      <c r="A49" s="223">
        <v>10</v>
      </c>
      <c r="B49" s="179"/>
      <c r="C49" s="118"/>
      <c r="D49" s="118"/>
      <c r="E49" s="103"/>
      <c r="F49" s="175"/>
      <c r="G49" s="101"/>
      <c r="H49" s="101"/>
      <c r="I49" s="102"/>
      <c r="J49"/>
      <c r="K49" s="231" t="str">
        <f>IF(C49="","",IF(C49='fictieve meerwaarde &amp; eisen'!$B$35,"",geenToegangZEzone))</f>
        <v/>
      </c>
    </row>
    <row r="50" spans="1:20" s="215" customFormat="1" ht="15" customHeight="1">
      <c r="A50" s="223">
        <v>11</v>
      </c>
      <c r="B50" s="179"/>
      <c r="C50" s="118"/>
      <c r="D50" s="118"/>
      <c r="E50" s="103"/>
      <c r="F50" s="175"/>
      <c r="G50" s="101"/>
      <c r="H50" s="101"/>
      <c r="I50" s="102"/>
      <c r="J50"/>
      <c r="K50" s="231" t="str">
        <f>IF(C50="","",IF(C50='fictieve meerwaarde &amp; eisen'!$B$35,"",geenToegangZEzone))</f>
        <v/>
      </c>
    </row>
    <row r="51" spans="1:20" s="215" customFormat="1" ht="15" customHeight="1">
      <c r="A51" s="223">
        <v>12</v>
      </c>
      <c r="B51" s="179"/>
      <c r="C51" s="118"/>
      <c r="D51" s="118"/>
      <c r="E51" s="103"/>
      <c r="F51" s="175"/>
      <c r="G51" s="101"/>
      <c r="H51" s="101"/>
      <c r="I51" s="102"/>
      <c r="J51"/>
      <c r="K51" s="231" t="str">
        <f>IF(C51="","",IF(C51='fictieve meerwaarde &amp; eisen'!$B$35,"",geenToegangZEzone))</f>
        <v/>
      </c>
    </row>
    <row r="52" spans="1:20" s="215" customFormat="1" ht="15" customHeight="1">
      <c r="A52" s="223">
        <v>13</v>
      </c>
      <c r="B52" s="179"/>
      <c r="C52" s="118"/>
      <c r="D52" s="118"/>
      <c r="E52" s="103"/>
      <c r="F52" s="175"/>
      <c r="G52" s="101"/>
      <c r="H52" s="101"/>
      <c r="I52" s="102"/>
      <c r="J52"/>
      <c r="K52" s="231" t="str">
        <f>IF(C52="","",IF(C52='fictieve meerwaarde &amp; eisen'!$B$35,"",geenToegangZEzone))</f>
        <v/>
      </c>
    </row>
    <row r="53" spans="1:20" s="215" customFormat="1" ht="15" customHeight="1">
      <c r="A53" s="223">
        <v>14</v>
      </c>
      <c r="B53" s="179"/>
      <c r="C53" s="118"/>
      <c r="D53" s="118"/>
      <c r="E53" s="103"/>
      <c r="F53" s="175"/>
      <c r="G53" s="101"/>
      <c r="H53" s="101"/>
      <c r="I53" s="102"/>
      <c r="J53"/>
      <c r="K53" s="231" t="str">
        <f>IF(C53="","",IF(C53='fictieve meerwaarde &amp; eisen'!$B$35,"",geenToegangZEzone))</f>
        <v/>
      </c>
    </row>
    <row r="54" spans="1:20" s="215" customFormat="1" ht="15" customHeight="1">
      <c r="A54" s="223">
        <v>15</v>
      </c>
      <c r="B54" s="180"/>
      <c r="C54" s="118"/>
      <c r="D54" s="118"/>
      <c r="E54" s="103"/>
      <c r="F54" s="176"/>
      <c r="G54" s="108"/>
      <c r="H54" s="108"/>
      <c r="I54" s="109"/>
      <c r="J54"/>
      <c r="K54" s="231" t="str">
        <f>IF(C54="","",IF(C54='fictieve meerwaarde &amp; eisen'!$B$35,"",geenToegangZEzone))</f>
        <v/>
      </c>
    </row>
    <row r="55" spans="1:20" s="215" customFormat="1" ht="15" customHeight="1">
      <c r="A55" s="223">
        <v>16</v>
      </c>
      <c r="B55" s="180"/>
      <c r="C55" s="118"/>
      <c r="D55" s="118"/>
      <c r="E55" s="103"/>
      <c r="F55" s="176"/>
      <c r="G55" s="108"/>
      <c r="H55" s="108"/>
      <c r="I55" s="109"/>
      <c r="J55"/>
      <c r="K55" s="231" t="str">
        <f>IF(C55="","",IF(C55='fictieve meerwaarde &amp; eisen'!$B$35,"",geenToegangZEzone))</f>
        <v/>
      </c>
    </row>
    <row r="56" spans="1:20" s="215" customFormat="1" ht="15" customHeight="1">
      <c r="A56" s="223">
        <v>17</v>
      </c>
      <c r="B56" s="180"/>
      <c r="C56" s="118"/>
      <c r="D56" s="118"/>
      <c r="E56" s="103"/>
      <c r="F56" s="176"/>
      <c r="G56" s="108"/>
      <c r="H56" s="108"/>
      <c r="I56" s="109"/>
      <c r="J56"/>
      <c r="K56" s="231" t="str">
        <f>IF(C56="","",IF(C56='fictieve meerwaarde &amp; eisen'!$B$35,"",geenToegangZEzone))</f>
        <v/>
      </c>
    </row>
    <row r="57" spans="1:20" s="215" customFormat="1" ht="15" customHeight="1">
      <c r="A57" s="223">
        <v>18</v>
      </c>
      <c r="B57" s="180"/>
      <c r="C57" s="118"/>
      <c r="D57" s="118"/>
      <c r="E57" s="103"/>
      <c r="F57" s="176"/>
      <c r="G57" s="108"/>
      <c r="H57" s="108"/>
      <c r="I57" s="109"/>
      <c r="J57"/>
      <c r="K57" s="231" t="str">
        <f>IF(C57="","",IF(C57='fictieve meerwaarde &amp; eisen'!$B$35,"",geenToegangZEzone))</f>
        <v/>
      </c>
    </row>
    <row r="58" spans="1:20" s="215" customFormat="1" ht="15" customHeight="1">
      <c r="A58" s="223">
        <v>19</v>
      </c>
      <c r="B58" s="180"/>
      <c r="C58" s="118"/>
      <c r="D58" s="118"/>
      <c r="E58" s="103"/>
      <c r="F58" s="176"/>
      <c r="G58" s="108"/>
      <c r="H58" s="108"/>
      <c r="I58" s="109"/>
      <c r="J58"/>
      <c r="K58" s="231" t="str">
        <f>IF(C58="","",IF(C58='fictieve meerwaarde &amp; eisen'!$B$35,"",geenToegangZEzone))</f>
        <v/>
      </c>
    </row>
    <row r="59" spans="1:20" s="215" customFormat="1" ht="15" customHeight="1" thickBot="1">
      <c r="A59" s="223">
        <v>20</v>
      </c>
      <c r="B59" s="181"/>
      <c r="C59" s="112"/>
      <c r="D59" s="112"/>
      <c r="E59" s="113"/>
      <c r="F59" s="177"/>
      <c r="G59" s="115"/>
      <c r="H59" s="115"/>
      <c r="I59" s="116"/>
      <c r="J59"/>
      <c r="K59" s="231" t="str">
        <f>IF(C59="","",IF(C59='fictieve meerwaarde &amp; eisen'!$B$35,"",geenToegangZEzone))</f>
        <v/>
      </c>
      <c r="T59"/>
    </row>
    <row r="60" spans="1:20" s="215" customFormat="1" ht="15" customHeight="1">
      <c r="A60" s="223"/>
      <c r="B60" s="223"/>
      <c r="C60" s="223"/>
      <c r="D60" s="223"/>
      <c r="E60" s="223"/>
      <c r="F60" s="223"/>
      <c r="G60" s="223"/>
      <c r="H60" s="223"/>
      <c r="I60" s="223"/>
      <c r="J60" s="223"/>
      <c r="K60" s="231"/>
      <c r="T60"/>
    </row>
    <row r="61" spans="1:20" ht="15" customHeight="1">
      <c r="A61" s="209"/>
      <c r="B61" s="225"/>
      <c r="C61" s="226"/>
      <c r="D61" s="226"/>
      <c r="E61" s="225"/>
    </row>
  </sheetData>
  <sheetProtection sheet="1" formatColumns="0" formatRows="0"/>
  <mergeCells count="3">
    <mergeCell ref="C15:D15"/>
    <mergeCell ref="C2:D3"/>
    <mergeCell ref="E12:I13"/>
  </mergeCells>
  <phoneticPr fontId="18" type="noConversion"/>
  <conditionalFormatting sqref="F17:I36">
    <cfRule type="expression" dxfId="4" priority="20">
      <formula>IF($E17="","",$K17=voldoet_niet)</formula>
    </cfRule>
    <cfRule type="expression" dxfId="3" priority="23">
      <formula>IF($E17="","",$K17=voldoet_geenFM_2027)</formula>
    </cfRule>
  </conditionalFormatting>
  <conditionalFormatting sqref="G17:I36">
    <cfRule type="expression" dxfId="2" priority="21">
      <formula>IF($E17="","",$K17=voldoet_geenFM_2028)</formula>
    </cfRule>
    <cfRule type="expression" dxfId="1" priority="24">
      <formula>IF($E17="","",$K17=voldoet_niet_2028)</formula>
    </cfRule>
  </conditionalFormatting>
  <conditionalFormatting sqref="L17 K17:K36">
    <cfRule type="expression" dxfId="0" priority="28">
      <formula>IF($E17="","",$K17=voldoet_niet)</formula>
    </cfRule>
  </conditionalFormatting>
  <dataValidations count="7">
    <dataValidation type="list" allowBlank="1" showInputMessage="1" showErrorMessage="1" sqref="F37 E61" xr:uid="{57EDA702-E0C0-47A8-B6E6-7C923C8D697A}">
      <formula1>"kleiner dan 8 kW, vanaf 8 t/m 18kW , vanaf 19kW t/m 55 kW, vanaf 56kW t/m 129kW, vanaf 130kW"</formula1>
    </dataValidation>
    <dataValidation type="list" allowBlank="1" showInputMessage="1" showErrorMessage="1" sqref="D40:D59" xr:uid="{0986CFF1-2286-4394-B2D2-E6356038C2A2}">
      <formula1>dropdown_Transport_energie</formula1>
    </dataValidation>
    <dataValidation type="list" errorStyle="warning" allowBlank="1" showInputMessage="1" showErrorMessage="1" errorTitle="let op" error="Kies een optie uit de vervolgkeuzelijst. Staat de juiste keuze er niet bij? Vul deze dan handmatig correct in." sqref="B17:B36" xr:uid="{C1C50A09-12B1-4889-9F68-5A8BFFA10355}">
      <formula1>lijst_Werktuigen</formula1>
    </dataValidation>
    <dataValidation type="list" errorStyle="warning" allowBlank="1" showInputMessage="1" showErrorMessage="1" errorTitle="Let op" error="Kies een optie uit de vervolgkeuzelijst. Staat de juiste keuze er niet bij? Vul deze dan handmatig correct in." sqref="B40:B59" xr:uid="{10203471-1CD6-4BCA-B96C-7CD5588AB749}">
      <formula1>lijst_Transport</formula1>
    </dataValidation>
    <dataValidation type="list" allowBlank="1" showInputMessage="1" showErrorMessage="1" sqref="D17:D36" xr:uid="{F2126A42-9B44-4E7D-BD40-91D8AE266F5D}">
      <formula1>dropdown_Werktuigen_energie</formula1>
    </dataValidation>
    <dataValidation type="list" allowBlank="1" showInputMessage="1" showErrorMessage="1" sqref="C40:C59" xr:uid="{02A3EC48-EA90-4913-AB2E-866AB1436A58}">
      <formula1>motor_Transport</formula1>
    </dataValidation>
    <dataValidation type="list" allowBlank="1" showInputMessage="1" showErrorMessage="1" sqref="E17:E36 E40:E59" xr:uid="{9D9A74DD-72F1-4C9C-A2D2-354AEE2D16F5}">
      <formula1>vermogensklasse</formula1>
    </dataValidation>
  </dataValidations>
  <pageMargins left="0.7" right="0.7" top="0.75" bottom="0.75" header="0.3" footer="0.3"/>
  <pageSetup paperSize="9" scale="3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BAF77E5-AD79-47CC-A116-7F1597C556E2}">
          <x14:formula1>
            <xm:f>'fictieve meerwaarde &amp; eisen'!$B$16:$B$18</xm:f>
          </x14:formula1>
          <xm:sqref>C17:C36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3AAF-46CF-422E-9497-98362FCA2FF7}">
  <sheetPr codeName="Blad4">
    <tabColor rgb="FFFF0000"/>
    <pageSetUpPr fitToPage="1"/>
  </sheetPr>
  <dimension ref="A1:O80"/>
  <sheetViews>
    <sheetView showGridLines="0" zoomScaleNormal="100" workbookViewId="0">
      <selection activeCell="C8" sqref="C8"/>
    </sheetView>
  </sheetViews>
  <sheetFormatPr defaultColWidth="9.08984375" defaultRowHeight="14.5"/>
  <cols>
    <col min="1" max="1" width="3.36328125" customWidth="1"/>
    <col min="2" max="2" width="28.54296875" customWidth="1"/>
    <col min="3" max="4" width="16.54296875" style="61" customWidth="1"/>
    <col min="5" max="5" width="17.6328125" style="61" customWidth="1"/>
    <col min="6" max="6" width="16.54296875" customWidth="1"/>
    <col min="7" max="7" width="16.54296875" style="61" customWidth="1"/>
    <col min="8" max="9" width="16.54296875" customWidth="1"/>
    <col min="10" max="10" width="2.6328125" customWidth="1"/>
    <col min="11" max="12" width="16.54296875" customWidth="1"/>
    <col min="13" max="13" width="2.6328125" style="6" customWidth="1"/>
    <col min="14" max="14" width="16.54296875" style="6" customWidth="1"/>
    <col min="15" max="15" width="16.54296875" customWidth="1"/>
  </cols>
  <sheetData>
    <row r="1" spans="1:15" ht="15" customHeight="1" thickBot="1">
      <c r="K1" s="63" t="s">
        <v>56</v>
      </c>
      <c r="L1" s="64" t="s">
        <v>57</v>
      </c>
      <c r="N1" s="66" t="s">
        <v>56</v>
      </c>
      <c r="O1" s="64" t="s">
        <v>57</v>
      </c>
    </row>
    <row r="2" spans="1:15" s="1" customFormat="1" ht="15" customHeight="1">
      <c r="B2" s="2" t="str">
        <f>'fictieve meerwaarde &amp; eisen'!C2</f>
        <v>Bestrijding geelpoothoornaar</v>
      </c>
      <c r="C2" s="62"/>
      <c r="D2" s="421"/>
      <c r="E2" s="421"/>
      <c r="I2" s="134" t="s">
        <v>58</v>
      </c>
      <c r="K2" s="67" t="s">
        <v>59</v>
      </c>
      <c r="L2" s="90">
        <v>0</v>
      </c>
      <c r="M2" s="65"/>
      <c r="N2" s="68" t="s">
        <v>60</v>
      </c>
      <c r="O2" s="90">
        <v>0</v>
      </c>
    </row>
    <row r="3" spans="1:15" s="3" customFormat="1" ht="15" customHeight="1">
      <c r="B3" s="2" t="s">
        <v>61</v>
      </c>
      <c r="C3" s="53"/>
      <c r="D3" s="421"/>
      <c r="E3" s="421"/>
      <c r="G3" s="5"/>
      <c r="I3" s="134" t="s">
        <v>62</v>
      </c>
      <c r="J3" s="1"/>
      <c r="K3" s="70" t="s">
        <v>63</v>
      </c>
      <c r="L3" s="9">
        <v>30</v>
      </c>
      <c r="M3" s="65"/>
      <c r="N3" s="71" t="s">
        <v>64</v>
      </c>
      <c r="O3" s="10">
        <v>13</v>
      </c>
    </row>
    <row r="4" spans="1:15" s="3" customFormat="1" ht="15" customHeight="1" thickBot="1">
      <c r="B4" s="8" t="s">
        <v>65</v>
      </c>
      <c r="C4" s="69" t="s">
        <v>66</v>
      </c>
      <c r="D4" s="54"/>
      <c r="E4" s="54"/>
      <c r="F4" s="54"/>
      <c r="G4" s="72" t="s">
        <v>67</v>
      </c>
      <c r="H4" s="135">
        <f>2400</f>
        <v>2400</v>
      </c>
      <c r="I4" s="134" t="s">
        <v>68</v>
      </c>
      <c r="K4" s="71" t="s">
        <v>69</v>
      </c>
      <c r="L4" s="10">
        <v>54</v>
      </c>
      <c r="M4" s="59"/>
      <c r="N4" s="71" t="s">
        <v>70</v>
      </c>
      <c r="O4" s="10">
        <v>32</v>
      </c>
    </row>
    <row r="5" spans="1:15" s="3" customFormat="1" ht="15" customHeight="1" thickBot="1">
      <c r="B5" s="5" t="s">
        <v>71</v>
      </c>
      <c r="H5" s="137">
        <f>SUM(H14:H33)+SUM(H37:H56)+H4</f>
        <v>2400</v>
      </c>
      <c r="I5" s="134" t="s">
        <v>72</v>
      </c>
      <c r="K5" s="11" t="s">
        <v>73</v>
      </c>
      <c r="L5" s="12">
        <v>270</v>
      </c>
      <c r="N5" s="71" t="s">
        <v>74</v>
      </c>
      <c r="O5" s="10">
        <v>93</v>
      </c>
    </row>
    <row r="6" spans="1:15" s="3" customFormat="1" ht="15" customHeight="1">
      <c r="B6" s="8" t="s">
        <v>75</v>
      </c>
      <c r="C6" s="3" t="str">
        <f>IF(materieelinzetplan!C12="","",materieelinzetplan!C12)</f>
        <v/>
      </c>
      <c r="D6" s="73"/>
      <c r="E6" s="73"/>
      <c r="H6" s="52"/>
      <c r="I6" s="134" t="s">
        <v>76</v>
      </c>
      <c r="K6" s="11" t="s">
        <v>77</v>
      </c>
      <c r="L6" s="12">
        <v>540</v>
      </c>
      <c r="N6" s="71" t="s">
        <v>78</v>
      </c>
      <c r="O6" s="10">
        <v>138</v>
      </c>
    </row>
    <row r="7" spans="1:15" s="3" customFormat="1" ht="15" customHeight="1" thickBot="1">
      <c r="B7" s="5" t="s">
        <v>52</v>
      </c>
      <c r="C7" s="75" t="str">
        <f>IF(materieelinzetplan!C13="","",materieelinzetplan!C13)</f>
        <v/>
      </c>
      <c r="I7" s="134" t="s">
        <v>79</v>
      </c>
      <c r="K7" s="74" t="s">
        <v>80</v>
      </c>
      <c r="L7" s="13">
        <v>660</v>
      </c>
      <c r="N7" s="71" t="s">
        <v>81</v>
      </c>
      <c r="O7" s="10">
        <v>208</v>
      </c>
    </row>
    <row r="8" spans="1:15" s="3" customFormat="1" ht="15" customHeight="1" thickBot="1">
      <c r="B8" s="5" t="s">
        <v>231</v>
      </c>
      <c r="C8" s="186"/>
      <c r="I8" s="134"/>
      <c r="N8" s="74" t="s">
        <v>82</v>
      </c>
      <c r="O8" s="13">
        <v>352</v>
      </c>
    </row>
    <row r="9" spans="1:15" s="3" customFormat="1" ht="15" customHeight="1">
      <c r="B9" s="5" t="s">
        <v>232</v>
      </c>
      <c r="C9" s="186"/>
      <c r="I9" s="134"/>
    </row>
    <row r="10" spans="1:15" s="3" customFormat="1" ht="15" customHeight="1">
      <c r="B10" s="5" t="s">
        <v>233</v>
      </c>
      <c r="C10" s="186"/>
      <c r="I10" s="134"/>
    </row>
    <row r="11" spans="1:15" s="3" customFormat="1" ht="15" customHeight="1" thickBot="1"/>
    <row r="12" spans="1:15" s="3" customFormat="1" ht="32.15" customHeight="1" thickBot="1">
      <c r="B12" s="50" t="str">
        <f>'fictieve meerwaarde &amp; eisen'!B14</f>
        <v>WERKTUIGEN</v>
      </c>
      <c r="C12" s="51"/>
      <c r="D12" s="51"/>
      <c r="E12" s="51"/>
      <c r="F12" s="45"/>
      <c r="G12" s="45"/>
      <c r="H12" s="46"/>
      <c r="I12" s="132"/>
      <c r="K12" s="5" t="s">
        <v>245</v>
      </c>
    </row>
    <row r="13" spans="1:15" s="3" customFormat="1" ht="32.15" customHeight="1" thickBot="1">
      <c r="A13" s="59"/>
      <c r="B13" s="167" t="s">
        <v>53</v>
      </c>
      <c r="C13" s="168" t="s">
        <v>14</v>
      </c>
      <c r="D13" s="169" t="s">
        <v>15</v>
      </c>
      <c r="E13" s="168" t="s">
        <v>54</v>
      </c>
      <c r="F13" s="168" t="s">
        <v>83</v>
      </c>
      <c r="G13" s="170" t="s">
        <v>84</v>
      </c>
      <c r="H13" s="171" t="s">
        <v>85</v>
      </c>
      <c r="I13" s="133"/>
      <c r="J13" s="59"/>
      <c r="K13" s="63" t="s">
        <v>214</v>
      </c>
      <c r="L13" s="194"/>
      <c r="M13" s="194"/>
      <c r="N13" s="194"/>
      <c r="O13" s="195"/>
    </row>
    <row r="14" spans="1:15" s="59" customFormat="1" ht="15" customHeight="1">
      <c r="A14" s="3">
        <v>1</v>
      </c>
      <c r="B14" s="77" t="str">
        <f>IF(materieelinzetplan!B17="","",materieelinzetplan!B17)</f>
        <v/>
      </c>
      <c r="C14" s="78" t="str">
        <f>IF(materieelinzetplan!C17="","",materieelinzetplan!C17)</f>
        <v/>
      </c>
      <c r="D14" s="78" t="str">
        <f>IF(materieelinzetplan!D17="","",materieelinzetplan!D17)</f>
        <v/>
      </c>
      <c r="E14" s="78" t="str">
        <f>IF(materieelinzetplan!E17="","",materieelinzetplan!E17)</f>
        <v/>
      </c>
      <c r="F14" s="173">
        <f>_xlfn.CEILING.MATH(SUM(materieelinzetplan!F17:I17)/8)</f>
        <v>0</v>
      </c>
      <c r="G14" s="23" t="str">
        <f>IFERROR(IF(AND(COUNTIF(subsidie_Werktuigen,B14),C14='fictieve meerwaarde &amp; eisen'!$B$16,NOT(E14=$K$2)),"Ja","Nee"),"")</f>
        <v>Nee</v>
      </c>
      <c r="H14" s="39">
        <f>IF(G14="ja",_xlfn.XLOOKUP(E14,$K$2:$K$7,$L$2:$L$7)*F14,)</f>
        <v>0</v>
      </c>
      <c r="I14" s="131"/>
      <c r="J14" s="3"/>
      <c r="K14" s="67" t="s">
        <v>215</v>
      </c>
      <c r="L14" s="187"/>
      <c r="M14" s="187"/>
      <c r="N14" s="187"/>
      <c r="O14" s="42"/>
    </row>
    <row r="15" spans="1:15" s="3" customFormat="1" ht="15" customHeight="1">
      <c r="A15" s="3">
        <v>2</v>
      </c>
      <c r="B15" s="80" t="str">
        <f>IF(materieelinzetplan!B18="","",materieelinzetplan!B18)</f>
        <v/>
      </c>
      <c r="C15" s="81" t="str">
        <f>IF(materieelinzetplan!C18="","",materieelinzetplan!C18)</f>
        <v/>
      </c>
      <c r="D15" s="81" t="str">
        <f>IF(materieelinzetplan!D18="","",materieelinzetplan!D18)</f>
        <v/>
      </c>
      <c r="E15" s="81" t="str">
        <f>IF(materieelinzetplan!E18="","",materieelinzetplan!E18)</f>
        <v/>
      </c>
      <c r="F15" s="172">
        <f>_xlfn.CEILING.MATH(SUM(materieelinzetplan!F18:I18)/8)</f>
        <v>0</v>
      </c>
      <c r="G15" s="24" t="str">
        <f>IFERROR(IF(AND(COUNTIF(subsidie_Werktuigen,B15),C15='fictieve meerwaarde &amp; eisen'!$B$16,NOT(E15=$K$2)),"Ja","Nee"),"")</f>
        <v>Nee</v>
      </c>
      <c r="H15" s="40">
        <f>IF(G15="ja",_xlfn.XLOOKUP(E15,$K$2:$K$7,$L$2:$L$7)*F15,)</f>
        <v>0</v>
      </c>
      <c r="I15" s="131"/>
      <c r="K15" s="192" t="s">
        <v>216</v>
      </c>
      <c r="L15" s="188"/>
      <c r="M15" s="188"/>
      <c r="N15" s="188"/>
      <c r="O15" s="189"/>
    </row>
    <row r="16" spans="1:15" s="3" customFormat="1" ht="15" customHeight="1">
      <c r="A16" s="3">
        <v>3</v>
      </c>
      <c r="B16" s="80" t="str">
        <f>IF(materieelinzetplan!B19="","",materieelinzetplan!B19)</f>
        <v/>
      </c>
      <c r="C16" s="81" t="str">
        <f>IF(materieelinzetplan!C19="","",materieelinzetplan!C19)</f>
        <v/>
      </c>
      <c r="D16" s="81" t="str">
        <f>IF(materieelinzetplan!D19="","",materieelinzetplan!D19)</f>
        <v/>
      </c>
      <c r="E16" s="81" t="str">
        <f>IF(materieelinzetplan!E19="","",materieelinzetplan!E19)</f>
        <v/>
      </c>
      <c r="F16" s="172">
        <f>_xlfn.CEILING.MATH(SUM(materieelinzetplan!F19:I19)/8)</f>
        <v>0</v>
      </c>
      <c r="G16" s="24" t="str">
        <f>IFERROR(IF(AND(COUNTIF(subsidie_Werktuigen,B16),C16='fictieve meerwaarde &amp; eisen'!$B$16,NOT(E16=$K$2)),"Ja","Nee"),"")</f>
        <v>Nee</v>
      </c>
      <c r="H16" s="40">
        <f>IF(G16="ja",_xlfn.XLOOKUP(E16,$K$2:$K$7,$L$2:$L$7)*F16,)</f>
        <v>0</v>
      </c>
      <c r="I16" s="131"/>
      <c r="K16" s="192" t="s">
        <v>217</v>
      </c>
      <c r="L16" s="190"/>
      <c r="M16" s="190"/>
      <c r="N16" s="190"/>
      <c r="O16" s="43"/>
    </row>
    <row r="17" spans="1:15" s="3" customFormat="1" ht="15" customHeight="1">
      <c r="A17" s="3">
        <v>4</v>
      </c>
      <c r="B17" s="80" t="str">
        <f>IF(materieelinzetplan!B20="","",materieelinzetplan!B20)</f>
        <v/>
      </c>
      <c r="C17" s="81" t="str">
        <f>IF(materieelinzetplan!C20="","",materieelinzetplan!C20)</f>
        <v/>
      </c>
      <c r="D17" s="81" t="str">
        <f>IF(materieelinzetplan!D20="","",materieelinzetplan!D20)</f>
        <v/>
      </c>
      <c r="E17" s="81" t="str">
        <f>IF(materieelinzetplan!E20="","",materieelinzetplan!E20)</f>
        <v/>
      </c>
      <c r="F17" s="172">
        <f>_xlfn.CEILING.MATH(SUM(materieelinzetplan!F20:I20)/8)</f>
        <v>0</v>
      </c>
      <c r="G17" s="24" t="str">
        <f>IFERROR(IF(AND(COUNTIF(subsidie_Werktuigen,B17),C17='fictieve meerwaarde &amp; eisen'!$B$16,NOT(E17=$K$2)),"Ja","Nee"),"")</f>
        <v>Nee</v>
      </c>
      <c r="H17" s="40">
        <f>IF(G17="ja",_xlfn.XLOOKUP(E17,$K$2:$K$7,$L$2:$L$7)*F17,)</f>
        <v>0</v>
      </c>
      <c r="I17" s="131"/>
      <c r="K17" s="192" t="s">
        <v>218</v>
      </c>
      <c r="L17" s="190"/>
      <c r="M17" s="190"/>
      <c r="N17" s="190"/>
      <c r="O17" s="43"/>
    </row>
    <row r="18" spans="1:15" s="3" customFormat="1" ht="15" customHeight="1">
      <c r="A18" s="3">
        <v>5</v>
      </c>
      <c r="B18" s="80" t="str">
        <f>IF(materieelinzetplan!B21="","",materieelinzetplan!B21)</f>
        <v/>
      </c>
      <c r="C18" s="81" t="str">
        <f>IF(materieelinzetplan!C21="","",materieelinzetplan!C21)</f>
        <v/>
      </c>
      <c r="D18" s="81" t="str">
        <f>IF(materieelinzetplan!D21="","",materieelinzetplan!D21)</f>
        <v/>
      </c>
      <c r="E18" s="81" t="str">
        <f>IF(materieelinzetplan!E21="","",materieelinzetplan!E21)</f>
        <v/>
      </c>
      <c r="F18" s="172">
        <f>_xlfn.CEILING.MATH(SUM(materieelinzetplan!F21:I21)/8)</f>
        <v>0</v>
      </c>
      <c r="G18" s="24" t="str">
        <f>IFERROR(IF(AND(COUNTIF(subsidie_Werktuigen,B18),C18='fictieve meerwaarde &amp; eisen'!$B$16,NOT(E18=$K$2)),"Ja","Nee"),"")</f>
        <v>Nee</v>
      </c>
      <c r="H18" s="40">
        <f t="shared" ref="H18:H33" si="0">IF(G18="ja",_xlfn.XLOOKUP(E18,$K$2:$K$7,$L$2:$L$7)*F18,)</f>
        <v>0</v>
      </c>
      <c r="I18" s="131"/>
      <c r="K18" s="192" t="s">
        <v>219</v>
      </c>
      <c r="L18" s="190"/>
      <c r="M18" s="190"/>
      <c r="N18" s="190"/>
      <c r="O18" s="43"/>
    </row>
    <row r="19" spans="1:15" s="3" customFormat="1" ht="15" customHeight="1">
      <c r="A19" s="3">
        <v>6</v>
      </c>
      <c r="B19" s="80" t="str">
        <f>IF(materieelinzetplan!B22="","",materieelinzetplan!B22)</f>
        <v/>
      </c>
      <c r="C19" s="81" t="str">
        <f>IF(materieelinzetplan!C22="","",materieelinzetplan!C22)</f>
        <v/>
      </c>
      <c r="D19" s="81" t="str">
        <f>IF(materieelinzetplan!D22="","",materieelinzetplan!D22)</f>
        <v/>
      </c>
      <c r="E19" s="81" t="str">
        <f>IF(materieelinzetplan!E22="","",materieelinzetplan!E22)</f>
        <v/>
      </c>
      <c r="F19" s="172">
        <f>_xlfn.CEILING.MATH(SUM(materieelinzetplan!F22:I22)/8)</f>
        <v>0</v>
      </c>
      <c r="G19" s="24" t="str">
        <f>IFERROR(IF(AND(COUNTIF(subsidie_Werktuigen,B19),C19='fictieve meerwaarde &amp; eisen'!$B$16,NOT(E19=$K$2)),"Ja","Nee"),"")</f>
        <v>Nee</v>
      </c>
      <c r="H19" s="40">
        <f t="shared" si="0"/>
        <v>0</v>
      </c>
      <c r="I19" s="131"/>
      <c r="K19" s="192" t="s">
        <v>220</v>
      </c>
      <c r="L19" s="190"/>
      <c r="M19" s="190"/>
      <c r="N19" s="190"/>
      <c r="O19" s="43"/>
    </row>
    <row r="20" spans="1:15" s="3" customFormat="1" ht="15" customHeight="1">
      <c r="A20" s="3">
        <v>7</v>
      </c>
      <c r="B20" s="80" t="str">
        <f>IF(materieelinzetplan!B23="","",materieelinzetplan!B23)</f>
        <v/>
      </c>
      <c r="C20" s="81" t="str">
        <f>IF(materieelinzetplan!C23="","",materieelinzetplan!C23)</f>
        <v/>
      </c>
      <c r="D20" s="81" t="str">
        <f>IF(materieelinzetplan!D23="","",materieelinzetplan!D23)</f>
        <v/>
      </c>
      <c r="E20" s="81" t="str">
        <f>IF(materieelinzetplan!E23="","",materieelinzetplan!E23)</f>
        <v/>
      </c>
      <c r="F20" s="172">
        <f>_xlfn.CEILING.MATH(SUM(materieelinzetplan!F23:I23)/8)</f>
        <v>0</v>
      </c>
      <c r="G20" s="24" t="str">
        <f>IFERROR(IF(AND(COUNTIF(subsidie_Werktuigen,B20),C20='fictieve meerwaarde &amp; eisen'!$B$16,NOT(E20=$K$2)),"Ja","Nee"),"")</f>
        <v>Nee</v>
      </c>
      <c r="H20" s="40">
        <f t="shared" si="0"/>
        <v>0</v>
      </c>
      <c r="I20" s="131"/>
      <c r="K20" s="192" t="s">
        <v>221</v>
      </c>
      <c r="L20" s="190"/>
      <c r="M20" s="190"/>
      <c r="N20" s="190"/>
      <c r="O20" s="43"/>
    </row>
    <row r="21" spans="1:15" s="3" customFormat="1" ht="15" customHeight="1">
      <c r="A21" s="3">
        <v>8</v>
      </c>
      <c r="B21" s="80" t="str">
        <f>IF(materieelinzetplan!B24="","",materieelinzetplan!B24)</f>
        <v/>
      </c>
      <c r="C21" s="81" t="str">
        <f>IF(materieelinzetplan!C24="","",materieelinzetplan!C24)</f>
        <v/>
      </c>
      <c r="D21" s="81" t="str">
        <f>IF(materieelinzetplan!D24="","",materieelinzetplan!D24)</f>
        <v/>
      </c>
      <c r="E21" s="81" t="str">
        <f>IF(materieelinzetplan!E24="","",materieelinzetplan!E24)</f>
        <v/>
      </c>
      <c r="F21" s="172">
        <f>_xlfn.CEILING.MATH(SUM(materieelinzetplan!F24:I24)/8)</f>
        <v>0</v>
      </c>
      <c r="G21" s="24" t="str">
        <f>IFERROR(IF(AND(COUNTIF(subsidie_Werktuigen,B21),C21='fictieve meerwaarde &amp; eisen'!$B$16,NOT(E21=$K$2)),"Ja","Nee"),"")</f>
        <v>Nee</v>
      </c>
      <c r="H21" s="40">
        <f t="shared" si="0"/>
        <v>0</v>
      </c>
      <c r="I21" s="131"/>
      <c r="K21" s="192" t="s">
        <v>222</v>
      </c>
      <c r="L21" s="190"/>
      <c r="M21" s="190"/>
      <c r="N21" s="190"/>
      <c r="O21" s="43"/>
    </row>
    <row r="22" spans="1:15" s="3" customFormat="1" ht="15" customHeight="1">
      <c r="A22" s="3">
        <v>9</v>
      </c>
      <c r="B22" s="80" t="str">
        <f>IF(materieelinzetplan!B25="","",materieelinzetplan!B25)</f>
        <v/>
      </c>
      <c r="C22" s="81" t="str">
        <f>IF(materieelinzetplan!C25="","",materieelinzetplan!C25)</f>
        <v/>
      </c>
      <c r="D22" s="81" t="str">
        <f>IF(materieelinzetplan!D25="","",materieelinzetplan!D25)</f>
        <v/>
      </c>
      <c r="E22" s="81" t="str">
        <f>IF(materieelinzetplan!E25="","",materieelinzetplan!E25)</f>
        <v/>
      </c>
      <c r="F22" s="172">
        <f>_xlfn.CEILING.MATH(SUM(materieelinzetplan!F25:I25)/8)</f>
        <v>0</v>
      </c>
      <c r="G22" s="24" t="str">
        <f>IFERROR(IF(AND(COUNTIF(subsidie_Werktuigen,B22),C22='fictieve meerwaarde &amp; eisen'!$B$16,NOT(E22=$K$2)),"Ja","Nee"),"")</f>
        <v>Nee</v>
      </c>
      <c r="H22" s="40">
        <f t="shared" si="0"/>
        <v>0</v>
      </c>
      <c r="I22" s="131"/>
      <c r="K22" s="192" t="s">
        <v>223</v>
      </c>
      <c r="L22" s="190"/>
      <c r="M22" s="190"/>
      <c r="N22" s="190"/>
      <c r="O22" s="43"/>
    </row>
    <row r="23" spans="1:15" s="3" customFormat="1" ht="15" customHeight="1">
      <c r="A23" s="3">
        <v>10</v>
      </c>
      <c r="B23" s="80" t="str">
        <f>IF(materieelinzetplan!B26="","",materieelinzetplan!B26)</f>
        <v/>
      </c>
      <c r="C23" s="81" t="str">
        <f>IF(materieelinzetplan!C26="","",materieelinzetplan!C26)</f>
        <v/>
      </c>
      <c r="D23" s="81" t="str">
        <f>IF(materieelinzetplan!D26="","",materieelinzetplan!D26)</f>
        <v/>
      </c>
      <c r="E23" s="81" t="str">
        <f>IF(materieelinzetplan!E26="","",materieelinzetplan!E26)</f>
        <v/>
      </c>
      <c r="F23" s="172">
        <f>_xlfn.CEILING.MATH(SUM(materieelinzetplan!F26:I26)/8)</f>
        <v>0</v>
      </c>
      <c r="G23" s="24" t="str">
        <f>IFERROR(IF(AND(COUNTIF(subsidie_Werktuigen,B23),C23='fictieve meerwaarde &amp; eisen'!$B$16,NOT(E23=$K$2)),"Ja","Nee"),"")</f>
        <v>Nee</v>
      </c>
      <c r="H23" s="40">
        <f t="shared" si="0"/>
        <v>0</v>
      </c>
      <c r="I23" s="131"/>
      <c r="K23" s="192" t="s">
        <v>224</v>
      </c>
      <c r="L23" s="190"/>
      <c r="M23" s="190"/>
      <c r="N23" s="190"/>
      <c r="O23" s="43"/>
    </row>
    <row r="24" spans="1:15" s="3" customFormat="1" ht="15" customHeight="1">
      <c r="A24" s="3">
        <v>11</v>
      </c>
      <c r="B24" s="80" t="str">
        <f>IF(materieelinzetplan!B27="","",materieelinzetplan!B27)</f>
        <v/>
      </c>
      <c r="C24" s="81" t="str">
        <f>IF(materieelinzetplan!C27="","",materieelinzetplan!C27)</f>
        <v/>
      </c>
      <c r="D24" s="81" t="str">
        <f>IF(materieelinzetplan!D27="","",materieelinzetplan!D27)</f>
        <v/>
      </c>
      <c r="E24" s="81" t="str">
        <f>IF(materieelinzetplan!E27="","",materieelinzetplan!E27)</f>
        <v/>
      </c>
      <c r="F24" s="172">
        <f>_xlfn.CEILING.MATH(SUM(materieelinzetplan!F27:I27)/8)</f>
        <v>0</v>
      </c>
      <c r="G24" s="24" t="str">
        <f>IFERROR(IF(AND(COUNTIF(subsidie_Werktuigen,B24),C24='fictieve meerwaarde &amp; eisen'!$B$16,NOT(E24=$K$2)),"Ja","Nee"),"")</f>
        <v>Nee</v>
      </c>
      <c r="H24" s="40">
        <f t="shared" si="0"/>
        <v>0</v>
      </c>
      <c r="I24" s="131"/>
      <c r="K24" s="192" t="s">
        <v>225</v>
      </c>
      <c r="L24" s="190"/>
      <c r="M24" s="190"/>
      <c r="N24" s="190"/>
      <c r="O24" s="43"/>
    </row>
    <row r="25" spans="1:15" s="3" customFormat="1" ht="15" customHeight="1">
      <c r="A25" s="3">
        <v>12</v>
      </c>
      <c r="B25" s="80" t="str">
        <f>IF(materieelinzetplan!B28="","",materieelinzetplan!B28)</f>
        <v/>
      </c>
      <c r="C25" s="81" t="str">
        <f>IF(materieelinzetplan!C28="","",materieelinzetplan!C28)</f>
        <v/>
      </c>
      <c r="D25" s="81" t="str">
        <f>IF(materieelinzetplan!D28="","",materieelinzetplan!D28)</f>
        <v/>
      </c>
      <c r="E25" s="81" t="str">
        <f>IF(materieelinzetplan!E28="","",materieelinzetplan!E28)</f>
        <v/>
      </c>
      <c r="F25" s="172">
        <f>_xlfn.CEILING.MATH(SUM(materieelinzetplan!F28:I28)/8)</f>
        <v>0</v>
      </c>
      <c r="G25" s="24" t="str">
        <f>IFERROR(IF(AND(COUNTIF(subsidie_Werktuigen,B25),C25='fictieve meerwaarde &amp; eisen'!$B$16,NOT(E25=$K$2)),"Ja","Nee"),"")</f>
        <v>Nee</v>
      </c>
      <c r="H25" s="40">
        <f t="shared" si="0"/>
        <v>0</v>
      </c>
      <c r="I25" s="131"/>
      <c r="K25" s="192" t="s">
        <v>226</v>
      </c>
      <c r="L25" s="190"/>
      <c r="M25" s="190"/>
      <c r="N25" s="190"/>
      <c r="O25" s="43"/>
    </row>
    <row r="26" spans="1:15" s="3" customFormat="1" ht="15" customHeight="1">
      <c r="A26" s="3">
        <v>13</v>
      </c>
      <c r="B26" s="80" t="str">
        <f>IF(materieelinzetplan!B29="","",materieelinzetplan!B29)</f>
        <v/>
      </c>
      <c r="C26" s="81" t="str">
        <f>IF(materieelinzetplan!C29="","",materieelinzetplan!C29)</f>
        <v/>
      </c>
      <c r="D26" s="81" t="str">
        <f>IF(materieelinzetplan!D29="","",materieelinzetplan!D29)</f>
        <v/>
      </c>
      <c r="E26" s="81" t="str">
        <f>IF(materieelinzetplan!E29="","",materieelinzetplan!E29)</f>
        <v/>
      </c>
      <c r="F26" s="172">
        <f>_xlfn.CEILING.MATH(SUM(materieelinzetplan!F29:I29)/8)</f>
        <v>0</v>
      </c>
      <c r="G26" s="24" t="str">
        <f>IFERROR(IF(AND(COUNTIF(subsidie_Werktuigen,B26),C26='fictieve meerwaarde &amp; eisen'!$B$16,NOT(E26=$K$2)),"Ja","Nee"),"")</f>
        <v>Nee</v>
      </c>
      <c r="H26" s="40">
        <f t="shared" si="0"/>
        <v>0</v>
      </c>
      <c r="I26" s="131"/>
      <c r="K26" s="192" t="s">
        <v>227</v>
      </c>
      <c r="L26" s="190"/>
      <c r="M26" s="190"/>
      <c r="N26" s="190"/>
      <c r="O26" s="43"/>
    </row>
    <row r="27" spans="1:15" s="3" customFormat="1" ht="15" customHeight="1">
      <c r="A27" s="3">
        <v>14</v>
      </c>
      <c r="B27" s="80" t="str">
        <f>IF(materieelinzetplan!B30="","",materieelinzetplan!B30)</f>
        <v/>
      </c>
      <c r="C27" s="81" t="str">
        <f>IF(materieelinzetplan!C30="","",materieelinzetplan!C30)</f>
        <v/>
      </c>
      <c r="D27" s="81" t="str">
        <f>IF(materieelinzetplan!D30="","",materieelinzetplan!D30)</f>
        <v/>
      </c>
      <c r="E27" s="81" t="str">
        <f>IF(materieelinzetplan!E30="","",materieelinzetplan!E30)</f>
        <v/>
      </c>
      <c r="F27" s="172">
        <f>_xlfn.CEILING.MATH(SUM(materieelinzetplan!F30:I30)/8)</f>
        <v>0</v>
      </c>
      <c r="G27" s="24" t="str">
        <f>IFERROR(IF(AND(COUNTIF(subsidie_Werktuigen,B27),C27='fictieve meerwaarde &amp; eisen'!$B$16,NOT(E27=$K$2)),"Ja","Nee"),"")</f>
        <v>Nee</v>
      </c>
      <c r="H27" s="40">
        <f t="shared" si="0"/>
        <v>0</v>
      </c>
      <c r="I27" s="131"/>
      <c r="J27" s="5"/>
      <c r="K27" s="192" t="s">
        <v>228</v>
      </c>
      <c r="L27" s="190"/>
      <c r="M27" s="190"/>
      <c r="N27" s="190"/>
      <c r="O27" s="43"/>
    </row>
    <row r="28" spans="1:15" s="3" customFormat="1" ht="15" customHeight="1">
      <c r="A28" s="3">
        <v>15</v>
      </c>
      <c r="B28" s="80" t="str">
        <f>IF(materieelinzetplan!B31="","",materieelinzetplan!B31)</f>
        <v/>
      </c>
      <c r="C28" s="81" t="str">
        <f>IF(materieelinzetplan!C31="","",materieelinzetplan!C31)</f>
        <v/>
      </c>
      <c r="D28" s="81" t="str">
        <f>IF(materieelinzetplan!D31="","",materieelinzetplan!D31)</f>
        <v/>
      </c>
      <c r="E28" s="81" t="str">
        <f>IF(materieelinzetplan!E31="","",materieelinzetplan!E31)</f>
        <v/>
      </c>
      <c r="F28" s="172">
        <f>_xlfn.CEILING.MATH(SUM(materieelinzetplan!F31:I31)/8)</f>
        <v>0</v>
      </c>
      <c r="G28" s="24" t="str">
        <f>IFERROR(IF(AND(COUNTIF(subsidie_Werktuigen,B28),C28='fictieve meerwaarde &amp; eisen'!$B$16,NOT(E28=$K$2)),"Ja","Nee"),"")</f>
        <v>Nee</v>
      </c>
      <c r="H28" s="40">
        <f t="shared" si="0"/>
        <v>0</v>
      </c>
      <c r="I28" s="131"/>
      <c r="J28" s="5"/>
      <c r="K28" s="192" t="s">
        <v>229</v>
      </c>
      <c r="L28" s="190"/>
      <c r="M28" s="190"/>
      <c r="N28" s="190"/>
      <c r="O28" s="43"/>
    </row>
    <row r="29" spans="1:15" s="3" customFormat="1" ht="15" customHeight="1" thickBot="1">
      <c r="A29" s="3">
        <v>16</v>
      </c>
      <c r="B29" s="80" t="str">
        <f>IF(materieelinzetplan!B32="","",materieelinzetplan!B32)</f>
        <v/>
      </c>
      <c r="C29" s="81" t="str">
        <f>IF(materieelinzetplan!C32="","",materieelinzetplan!C32)</f>
        <v/>
      </c>
      <c r="D29" s="81" t="str">
        <f>IF(materieelinzetplan!D32="","",materieelinzetplan!D32)</f>
        <v/>
      </c>
      <c r="E29" s="81" t="str">
        <f>IF(materieelinzetplan!E32="","",materieelinzetplan!E32)</f>
        <v/>
      </c>
      <c r="F29" s="172">
        <f>_xlfn.CEILING.MATH(SUM(materieelinzetplan!F32:I32)/8)</f>
        <v>0</v>
      </c>
      <c r="G29" s="24" t="str">
        <f>IFERROR(IF(AND(COUNTIF(subsidie_Werktuigen,B29),C29='fictieve meerwaarde &amp; eisen'!$B$16,NOT(E29=$K$2)),"Ja","Nee"),"")</f>
        <v>Nee</v>
      </c>
      <c r="H29" s="40">
        <f t="shared" si="0"/>
        <v>0</v>
      </c>
      <c r="I29" s="131"/>
      <c r="J29" s="5"/>
      <c r="K29" s="193" t="s">
        <v>230</v>
      </c>
      <c r="L29" s="191"/>
      <c r="M29" s="191"/>
      <c r="N29" s="191"/>
      <c r="O29" s="44"/>
    </row>
    <row r="30" spans="1:15" s="3" customFormat="1" ht="15" customHeight="1">
      <c r="A30" s="3">
        <v>17</v>
      </c>
      <c r="B30" s="80" t="str">
        <f>IF(materieelinzetplan!B33="","",materieelinzetplan!B33)</f>
        <v/>
      </c>
      <c r="C30" s="81" t="str">
        <f>IF(materieelinzetplan!C33="","",materieelinzetplan!C33)</f>
        <v/>
      </c>
      <c r="D30" s="81" t="str">
        <f>IF(materieelinzetplan!D33="","",materieelinzetplan!D33)</f>
        <v/>
      </c>
      <c r="E30" s="81" t="str">
        <f>IF(materieelinzetplan!E33="","",materieelinzetplan!E33)</f>
        <v/>
      </c>
      <c r="F30" s="172">
        <f>_xlfn.CEILING.MATH(SUM(materieelinzetplan!F33:I33)/8)</f>
        <v>0</v>
      </c>
      <c r="G30" s="24" t="str">
        <f>IFERROR(IF(AND(COUNTIF(subsidie_Werktuigen,B30),C30='fictieve meerwaarde &amp; eisen'!$B$16,NOT(E30=$K$2)),"Ja","Nee"),"")</f>
        <v>Nee</v>
      </c>
      <c r="H30" s="40">
        <f t="shared" si="0"/>
        <v>0</v>
      </c>
      <c r="I30" s="131"/>
      <c r="J30" s="5"/>
    </row>
    <row r="31" spans="1:15" s="3" customFormat="1" ht="15" customHeight="1">
      <c r="A31" s="3">
        <v>18</v>
      </c>
      <c r="B31" s="80" t="str">
        <f>IF(materieelinzetplan!B34="","",materieelinzetplan!B34)</f>
        <v/>
      </c>
      <c r="C31" s="81" t="str">
        <f>IF(materieelinzetplan!C34="","",materieelinzetplan!C34)</f>
        <v/>
      </c>
      <c r="D31" s="81" t="str">
        <f>IF(materieelinzetplan!D34="","",materieelinzetplan!D34)</f>
        <v/>
      </c>
      <c r="E31" s="81" t="str">
        <f>IF(materieelinzetplan!E34="","",materieelinzetplan!E34)</f>
        <v/>
      </c>
      <c r="F31" s="172">
        <f>_xlfn.CEILING.MATH(SUM(materieelinzetplan!F34:I34)/8)</f>
        <v>0</v>
      </c>
      <c r="G31" s="24" t="str">
        <f>IFERROR(IF(AND(COUNTIF(subsidie_Werktuigen,B31),C31='fictieve meerwaarde &amp; eisen'!$B$16,NOT(E31=$K$2)),"Ja","Nee"),"")</f>
        <v>Nee</v>
      </c>
      <c r="H31" s="40">
        <f t="shared" si="0"/>
        <v>0</v>
      </c>
      <c r="I31" s="131"/>
      <c r="J31" s="5"/>
      <c r="L31" s="5"/>
      <c r="M31" s="5"/>
      <c r="N31" s="5"/>
      <c r="O31" s="5"/>
    </row>
    <row r="32" spans="1:15" s="3" customFormat="1" ht="15" customHeight="1">
      <c r="A32" s="3">
        <v>19</v>
      </c>
      <c r="B32" s="80" t="str">
        <f>IF(materieelinzetplan!B35="","",materieelinzetplan!B35)</f>
        <v/>
      </c>
      <c r="C32" s="81" t="str">
        <f>IF(materieelinzetplan!C35="","",materieelinzetplan!C35)</f>
        <v/>
      </c>
      <c r="D32" s="81" t="str">
        <f>IF(materieelinzetplan!D35="","",materieelinzetplan!D35)</f>
        <v/>
      </c>
      <c r="E32" s="81" t="str">
        <f>IF(materieelinzetplan!E35="","",materieelinzetplan!E35)</f>
        <v/>
      </c>
      <c r="F32" s="172">
        <f>_xlfn.CEILING.MATH(SUM(materieelinzetplan!F35:I35)/8)</f>
        <v>0</v>
      </c>
      <c r="G32" s="24" t="str">
        <f>IFERROR(IF(AND(COUNTIF(subsidie_Werktuigen,B32),C32='fictieve meerwaarde &amp; eisen'!$B$16,NOT(E32=$K$2)),"Ja","Nee"),"")</f>
        <v>Nee</v>
      </c>
      <c r="H32" s="40">
        <f t="shared" si="0"/>
        <v>0</v>
      </c>
      <c r="I32" s="131"/>
      <c r="J32" s="5"/>
      <c r="M32" s="65"/>
    </row>
    <row r="33" spans="1:15" s="5" customFormat="1" ht="15" customHeight="1" thickBot="1">
      <c r="A33" s="3">
        <v>20</v>
      </c>
      <c r="B33" s="82" t="str">
        <f>IF(materieelinzetplan!B36="","",materieelinzetplan!B36)</f>
        <v/>
      </c>
      <c r="C33" s="83" t="str">
        <f>IF(materieelinzetplan!C36="","",materieelinzetplan!C36)</f>
        <v/>
      </c>
      <c r="D33" s="83" t="str">
        <f>IF(materieelinzetplan!D36="","",materieelinzetplan!D36)</f>
        <v/>
      </c>
      <c r="E33" s="83" t="str">
        <f>IF(materieelinzetplan!E36="","",materieelinzetplan!E36)</f>
        <v/>
      </c>
      <c r="F33" s="84">
        <f>_xlfn.CEILING.MATH(SUM(materieelinzetplan!F36:I36)/8)</f>
        <v>0</v>
      </c>
      <c r="G33" s="25" t="str">
        <f>IFERROR(IF(AND(COUNTIF(subsidie_Werktuigen,B33),C33='fictieve meerwaarde &amp; eisen'!$B$16,NOT(E33=$K$2)),"Ja","Nee"),"")</f>
        <v>Nee</v>
      </c>
      <c r="H33" s="41">
        <f t="shared" si="0"/>
        <v>0</v>
      </c>
      <c r="I33" s="131"/>
      <c r="L33" s="3"/>
      <c r="M33" s="65"/>
      <c r="N33" s="3"/>
      <c r="O33" s="3"/>
    </row>
    <row r="34" spans="1:15" s="3" customFormat="1" ht="15" customHeight="1" thickBot="1">
      <c r="L34" s="59"/>
      <c r="M34" s="59"/>
      <c r="N34" s="59"/>
      <c r="O34" s="59"/>
    </row>
    <row r="35" spans="1:15" s="3" customFormat="1" ht="32.15" customHeight="1" thickBot="1">
      <c r="A35" s="59"/>
      <c r="B35" s="50" t="str">
        <f>'fictieve meerwaarde &amp; eisen'!B33</f>
        <v>N2 en N3 TRANSPORTMIDDELEN (vanaf 3.500kg)</v>
      </c>
      <c r="C35" s="51"/>
      <c r="D35" s="51"/>
      <c r="E35" s="51"/>
      <c r="F35" s="45"/>
      <c r="G35" s="45"/>
      <c r="H35" s="46"/>
      <c r="I35" s="132"/>
      <c r="J35" s="59"/>
    </row>
    <row r="36" spans="1:15" s="59" customFormat="1" ht="32.15" customHeight="1" thickBot="1">
      <c r="A36" s="3"/>
      <c r="B36" s="55" t="s">
        <v>53</v>
      </c>
      <c r="C36" s="57" t="s">
        <v>14</v>
      </c>
      <c r="D36" s="56" t="s">
        <v>15</v>
      </c>
      <c r="E36" s="57" t="s">
        <v>54</v>
      </c>
      <c r="F36" s="57" t="s">
        <v>83</v>
      </c>
      <c r="G36" s="76" t="s">
        <v>84</v>
      </c>
      <c r="H36" s="58" t="s">
        <v>85</v>
      </c>
      <c r="I36" s="133"/>
      <c r="J36" s="3"/>
      <c r="K36" s="63" t="s">
        <v>240</v>
      </c>
      <c r="L36" s="194"/>
      <c r="M36" s="194"/>
      <c r="N36" s="194"/>
      <c r="O36" s="195"/>
    </row>
    <row r="37" spans="1:15" s="3" customFormat="1" ht="15" customHeight="1">
      <c r="A37" s="3">
        <v>1</v>
      </c>
      <c r="B37" s="77"/>
      <c r="C37" s="78" t="str">
        <f>IF(materieelinzetplan!C40="","",materieelinzetplan!C40)</f>
        <v/>
      </c>
      <c r="D37" s="78" t="str">
        <f>IF(materieelinzetplan!D40="","",materieelinzetplan!D40)</f>
        <v/>
      </c>
      <c r="E37" s="78" t="str">
        <f>IF(materieelinzetplan!E40="","",materieelinzetplan!E40)</f>
        <v/>
      </c>
      <c r="F37" s="79">
        <f>_xlfn.CEILING.MATH(SUM(materieelinzetplan!F40:I40)/8)</f>
        <v>0</v>
      </c>
      <c r="G37" s="23" t="str">
        <f t="shared" ref="G37:G56" si="1">IFERROR(IF(AND(COUNTIF(subsidie_Transport,B37),C37="elektromotor",NOT(E37=$K$2)),"Ja","Nee"),"")</f>
        <v>Nee</v>
      </c>
      <c r="H37" s="39">
        <f>IF(G37="ja",_xlfn.XLOOKUP(E37,$K$2:$K$7,$L$2:$L$7)*F37,)</f>
        <v>0</v>
      </c>
      <c r="I37" s="131"/>
      <c r="K37" s="192" t="s">
        <v>1</v>
      </c>
      <c r="L37" s="190"/>
      <c r="M37" s="190"/>
      <c r="N37" s="190"/>
      <c r="O37" s="43"/>
    </row>
    <row r="38" spans="1:15" s="3" customFormat="1" ht="15" customHeight="1">
      <c r="A38" s="3">
        <v>2</v>
      </c>
      <c r="B38" s="80" t="str">
        <f>IF(materieelinzetplan!B41="","",materieelinzetplan!B41)</f>
        <v/>
      </c>
      <c r="C38" s="81" t="str">
        <f>IF(materieelinzetplan!C41="","",materieelinzetplan!C41)</f>
        <v/>
      </c>
      <c r="D38" s="81" t="str">
        <f>IF(materieelinzetplan!D41="","",materieelinzetplan!D41)</f>
        <v/>
      </c>
      <c r="E38" s="81" t="str">
        <f>IF(materieelinzetplan!E41="","",materieelinzetplan!E41)</f>
        <v/>
      </c>
      <c r="F38" s="79">
        <f>_xlfn.CEILING.MATH(SUM(materieelinzetplan!F41:I41)/8)</f>
        <v>0</v>
      </c>
      <c r="G38" s="24" t="str">
        <f t="shared" si="1"/>
        <v>Nee</v>
      </c>
      <c r="H38" s="40">
        <f t="shared" ref="H38:H56" si="2">IF(G38="ja",_xlfn.XLOOKUP(E38,$K$2:$K$7,$L$2:$L$7)*F38,)</f>
        <v>0</v>
      </c>
      <c r="I38" s="131"/>
      <c r="K38" s="192" t="s">
        <v>241</v>
      </c>
      <c r="L38" s="190"/>
      <c r="M38" s="190"/>
      <c r="N38" s="190"/>
      <c r="O38" s="43"/>
    </row>
    <row r="39" spans="1:15" s="3" customFormat="1" ht="15" customHeight="1">
      <c r="A39" s="3">
        <v>3</v>
      </c>
      <c r="B39" s="80" t="str">
        <f>IF(materieelinzetplan!B42="","",materieelinzetplan!B42)</f>
        <v/>
      </c>
      <c r="C39" s="81" t="str">
        <f>IF(materieelinzetplan!C42="","",materieelinzetplan!C42)</f>
        <v/>
      </c>
      <c r="D39" s="81" t="str">
        <f>IF(materieelinzetplan!D42="","",materieelinzetplan!D42)</f>
        <v/>
      </c>
      <c r="E39" s="81" t="str">
        <f>IF(materieelinzetplan!E42="","",materieelinzetplan!E42)</f>
        <v/>
      </c>
      <c r="F39" s="79">
        <f>_xlfn.CEILING.MATH(SUM(materieelinzetplan!F42:I42)/8)</f>
        <v>0</v>
      </c>
      <c r="G39" s="24" t="str">
        <f t="shared" si="1"/>
        <v>Nee</v>
      </c>
      <c r="H39" s="40">
        <f t="shared" si="2"/>
        <v>0</v>
      </c>
      <c r="I39" s="131"/>
      <c r="K39" s="192" t="s">
        <v>242</v>
      </c>
      <c r="L39" s="190"/>
      <c r="M39" s="190"/>
      <c r="N39" s="190"/>
      <c r="O39" s="43"/>
    </row>
    <row r="40" spans="1:15" s="3" customFormat="1" ht="15" customHeight="1">
      <c r="A40" s="3">
        <v>4</v>
      </c>
      <c r="B40" s="80" t="str">
        <f>IF(materieelinzetplan!B43="","",materieelinzetplan!B43)</f>
        <v/>
      </c>
      <c r="C40" s="81" t="str">
        <f>IF(materieelinzetplan!C43="","",materieelinzetplan!C43)</f>
        <v/>
      </c>
      <c r="D40" s="81" t="str">
        <f>IF(materieelinzetplan!D43="","",materieelinzetplan!D43)</f>
        <v/>
      </c>
      <c r="E40" s="81" t="str">
        <f>IF(materieelinzetplan!E43="","",materieelinzetplan!E43)</f>
        <v/>
      </c>
      <c r="F40" s="79">
        <f>_xlfn.CEILING.MATH(SUM(materieelinzetplan!F43:I43)/8)</f>
        <v>0</v>
      </c>
      <c r="G40" s="24" t="str">
        <f>IFERROR(IF(AND(COUNTIF(subsidie_Transport,B40),C40="elektromotor",NOT(E40=$K$2)),"Ja","Nee"),"")</f>
        <v>Nee</v>
      </c>
      <c r="H40" s="40">
        <f t="shared" si="2"/>
        <v>0</v>
      </c>
      <c r="I40" s="131"/>
      <c r="K40" s="192" t="s">
        <v>238</v>
      </c>
      <c r="L40" s="190"/>
      <c r="M40" s="190"/>
      <c r="N40" s="190"/>
      <c r="O40" s="43"/>
    </row>
    <row r="41" spans="1:15" s="3" customFormat="1" ht="15" customHeight="1" thickBot="1">
      <c r="A41" s="3">
        <v>5</v>
      </c>
      <c r="B41" s="80" t="str">
        <f>IF(materieelinzetplan!B44="","",materieelinzetplan!B44)</f>
        <v/>
      </c>
      <c r="C41" s="81" t="str">
        <f>IF(materieelinzetplan!C44="","",materieelinzetplan!C44)</f>
        <v/>
      </c>
      <c r="D41" s="81" t="str">
        <f>IF(materieelinzetplan!D44="","",materieelinzetplan!D44)</f>
        <v/>
      </c>
      <c r="E41" s="81" t="str">
        <f>IF(materieelinzetplan!E44="","",materieelinzetplan!E44)</f>
        <v/>
      </c>
      <c r="F41" s="79">
        <f>_xlfn.CEILING.MATH(SUM(materieelinzetplan!F44:I44)/8)</f>
        <v>0</v>
      </c>
      <c r="G41" s="24" t="str">
        <f t="shared" si="1"/>
        <v>Nee</v>
      </c>
      <c r="H41" s="40">
        <f t="shared" si="2"/>
        <v>0</v>
      </c>
      <c r="I41" s="131"/>
      <c r="K41" s="193" t="s">
        <v>237</v>
      </c>
      <c r="L41" s="191"/>
      <c r="M41" s="191"/>
      <c r="N41" s="191"/>
      <c r="O41" s="44"/>
    </row>
    <row r="42" spans="1:15" s="3" customFormat="1" ht="15" customHeight="1">
      <c r="A42" s="3">
        <v>6</v>
      </c>
      <c r="B42" s="80" t="str">
        <f>IF(materieelinzetplan!B45="","",materieelinzetplan!B45)</f>
        <v/>
      </c>
      <c r="C42" s="81" t="str">
        <f>IF(materieelinzetplan!C45="","",materieelinzetplan!C45)</f>
        <v/>
      </c>
      <c r="D42" s="81" t="str">
        <f>IF(materieelinzetplan!D45="","",materieelinzetplan!D45)</f>
        <v/>
      </c>
      <c r="E42" s="81" t="str">
        <f>IF(materieelinzetplan!E45="","",materieelinzetplan!E45)</f>
        <v/>
      </c>
      <c r="F42" s="79">
        <f>_xlfn.CEILING.MATH(SUM(materieelinzetplan!F45:I45)/8)</f>
        <v>0</v>
      </c>
      <c r="G42" s="24" t="str">
        <f t="shared" si="1"/>
        <v>Nee</v>
      </c>
      <c r="H42" s="40">
        <f t="shared" si="2"/>
        <v>0</v>
      </c>
      <c r="I42" s="131"/>
    </row>
    <row r="43" spans="1:15" s="3" customFormat="1" ht="15" customHeight="1">
      <c r="A43" s="3">
        <v>7</v>
      </c>
      <c r="B43" s="80" t="str">
        <f>IF(materieelinzetplan!B46="","",materieelinzetplan!B46)</f>
        <v/>
      </c>
      <c r="C43" s="81" t="str">
        <f>IF(materieelinzetplan!C46="","",materieelinzetplan!C46)</f>
        <v/>
      </c>
      <c r="D43" s="81" t="str">
        <f>IF(materieelinzetplan!D46="","",materieelinzetplan!D46)</f>
        <v/>
      </c>
      <c r="E43" s="81" t="str">
        <f>IF(materieelinzetplan!E46="","",materieelinzetplan!E46)</f>
        <v/>
      </c>
      <c r="F43" s="79">
        <f>_xlfn.CEILING.MATH(SUM(materieelinzetplan!F46:I46)/8)</f>
        <v>0</v>
      </c>
      <c r="G43" s="24" t="str">
        <f t="shared" si="1"/>
        <v>Nee</v>
      </c>
      <c r="H43" s="40">
        <f t="shared" si="2"/>
        <v>0</v>
      </c>
      <c r="I43" s="131"/>
    </row>
    <row r="44" spans="1:15" s="3" customFormat="1" ht="15" customHeight="1">
      <c r="A44" s="3">
        <v>8</v>
      </c>
      <c r="B44" s="80" t="str">
        <f>IF(materieelinzetplan!B47="","",materieelinzetplan!B47)</f>
        <v/>
      </c>
      <c r="C44" s="81" t="str">
        <f>IF(materieelinzetplan!C47="","",materieelinzetplan!C47)</f>
        <v/>
      </c>
      <c r="D44" s="81" t="str">
        <f>IF(materieelinzetplan!D47="","",materieelinzetplan!D47)</f>
        <v/>
      </c>
      <c r="E44" s="81" t="str">
        <f>IF(materieelinzetplan!E47="","",materieelinzetplan!E47)</f>
        <v/>
      </c>
      <c r="F44" s="79">
        <f>_xlfn.CEILING.MATH(SUM(materieelinzetplan!F47:I47)/8)</f>
        <v>0</v>
      </c>
      <c r="G44" s="24" t="str">
        <f t="shared" si="1"/>
        <v>Nee</v>
      </c>
      <c r="H44" s="40">
        <f t="shared" si="2"/>
        <v>0</v>
      </c>
      <c r="I44" s="131"/>
    </row>
    <row r="45" spans="1:15" s="3" customFormat="1" ht="15" customHeight="1">
      <c r="A45" s="3">
        <v>9</v>
      </c>
      <c r="B45" s="80" t="str">
        <f>IF(materieelinzetplan!B48="","",materieelinzetplan!B48)</f>
        <v/>
      </c>
      <c r="C45" s="81" t="str">
        <f>IF(materieelinzetplan!C48="","",materieelinzetplan!C48)</f>
        <v/>
      </c>
      <c r="D45" s="81" t="str">
        <f>IF(materieelinzetplan!D48="","",materieelinzetplan!D48)</f>
        <v/>
      </c>
      <c r="E45" s="81" t="str">
        <f>IF(materieelinzetplan!E48="","",materieelinzetplan!E48)</f>
        <v/>
      </c>
      <c r="F45" s="79">
        <f>_xlfn.CEILING.MATH(SUM(materieelinzetplan!F48:I48)/8)</f>
        <v>0</v>
      </c>
      <c r="G45" s="24" t="str">
        <f t="shared" si="1"/>
        <v>Nee</v>
      </c>
      <c r="H45" s="40">
        <f t="shared" si="2"/>
        <v>0</v>
      </c>
      <c r="I45" s="131"/>
    </row>
    <row r="46" spans="1:15" s="3" customFormat="1" ht="15" customHeight="1">
      <c r="A46" s="3">
        <v>10</v>
      </c>
      <c r="B46" s="80" t="str">
        <f>IF(materieelinzetplan!B49="","",materieelinzetplan!B49)</f>
        <v/>
      </c>
      <c r="C46" s="81" t="str">
        <f>IF(materieelinzetplan!C49="","",materieelinzetplan!C49)</f>
        <v/>
      </c>
      <c r="D46" s="81" t="str">
        <f>IF(materieelinzetplan!D49="","",materieelinzetplan!D49)</f>
        <v/>
      </c>
      <c r="E46" s="81" t="str">
        <f>IF(materieelinzetplan!E49="","",materieelinzetplan!E49)</f>
        <v/>
      </c>
      <c r="F46" s="79">
        <f>_xlfn.CEILING.MATH(SUM(materieelinzetplan!F49:I49)/8)</f>
        <v>0</v>
      </c>
      <c r="G46" s="24" t="str">
        <f t="shared" si="1"/>
        <v>Nee</v>
      </c>
      <c r="H46" s="40">
        <f t="shared" si="2"/>
        <v>0</v>
      </c>
      <c r="I46" s="131"/>
    </row>
    <row r="47" spans="1:15" s="3" customFormat="1" ht="15" customHeight="1">
      <c r="A47" s="3">
        <v>11</v>
      </c>
      <c r="B47" s="80" t="str">
        <f>IF(materieelinzetplan!B50="","",materieelinzetplan!B50)</f>
        <v/>
      </c>
      <c r="C47" s="81" t="str">
        <f>IF(materieelinzetplan!C50="","",materieelinzetplan!C50)</f>
        <v/>
      </c>
      <c r="D47" s="81" t="str">
        <f>IF(materieelinzetplan!D50="","",materieelinzetplan!D50)</f>
        <v/>
      </c>
      <c r="E47" s="81" t="str">
        <f>IF(materieelinzetplan!E50="","",materieelinzetplan!E50)</f>
        <v/>
      </c>
      <c r="F47" s="79">
        <f>_xlfn.CEILING.MATH(SUM(materieelinzetplan!F50:I50)/8)</f>
        <v>0</v>
      </c>
      <c r="G47" s="24" t="str">
        <f t="shared" si="1"/>
        <v>Nee</v>
      </c>
      <c r="H47" s="40">
        <f t="shared" si="2"/>
        <v>0</v>
      </c>
      <c r="I47" s="131"/>
    </row>
    <row r="48" spans="1:15" s="3" customFormat="1" ht="15" customHeight="1">
      <c r="A48" s="3">
        <v>12</v>
      </c>
      <c r="B48" s="80" t="str">
        <f>IF(materieelinzetplan!B51="","",materieelinzetplan!B51)</f>
        <v/>
      </c>
      <c r="C48" s="81" t="str">
        <f>IF(materieelinzetplan!C51="","",materieelinzetplan!C51)</f>
        <v/>
      </c>
      <c r="D48" s="81" t="str">
        <f>IF(materieelinzetplan!D51="","",materieelinzetplan!D51)</f>
        <v/>
      </c>
      <c r="E48" s="81" t="str">
        <f>IF(materieelinzetplan!E51="","",materieelinzetplan!E51)</f>
        <v/>
      </c>
      <c r="F48" s="79">
        <f>_xlfn.CEILING.MATH(SUM(materieelinzetplan!F51:I51)/8)</f>
        <v>0</v>
      </c>
      <c r="G48" s="24" t="str">
        <f t="shared" si="1"/>
        <v>Nee</v>
      </c>
      <c r="H48" s="40">
        <f t="shared" si="2"/>
        <v>0</v>
      </c>
      <c r="I48" s="131"/>
    </row>
    <row r="49" spans="1:15" s="3" customFormat="1" ht="15" customHeight="1">
      <c r="A49" s="3">
        <v>13</v>
      </c>
      <c r="B49" s="80" t="str">
        <f>IF(materieelinzetplan!B52="","",materieelinzetplan!B52)</f>
        <v/>
      </c>
      <c r="C49" s="81" t="str">
        <f>IF(materieelinzetplan!C52="","",materieelinzetplan!C52)</f>
        <v/>
      </c>
      <c r="D49" s="81" t="str">
        <f>IF(materieelinzetplan!D52="","",materieelinzetplan!D52)</f>
        <v/>
      </c>
      <c r="E49" s="81" t="str">
        <f>IF(materieelinzetplan!E52="","",materieelinzetplan!E52)</f>
        <v/>
      </c>
      <c r="F49" s="79">
        <f>_xlfn.CEILING.MATH(SUM(materieelinzetplan!F52:I52)/8)</f>
        <v>0</v>
      </c>
      <c r="G49" s="24" t="str">
        <f t="shared" si="1"/>
        <v>Nee</v>
      </c>
      <c r="H49" s="40">
        <f t="shared" si="2"/>
        <v>0</v>
      </c>
      <c r="I49" s="131"/>
    </row>
    <row r="50" spans="1:15" s="3" customFormat="1" ht="15" customHeight="1">
      <c r="A50" s="3">
        <v>14</v>
      </c>
      <c r="B50" s="80" t="str">
        <f>IF(materieelinzetplan!B53="","",materieelinzetplan!B53)</f>
        <v/>
      </c>
      <c r="C50" s="81" t="str">
        <f>IF(materieelinzetplan!C53="","",materieelinzetplan!C53)</f>
        <v/>
      </c>
      <c r="D50" s="81" t="str">
        <f>IF(materieelinzetplan!D53="","",materieelinzetplan!D53)</f>
        <v/>
      </c>
      <c r="E50" s="81" t="str">
        <f>IF(materieelinzetplan!E53="","",materieelinzetplan!E53)</f>
        <v/>
      </c>
      <c r="F50" s="79">
        <f>_xlfn.CEILING.MATH(SUM(materieelinzetplan!F53:I53)/8)</f>
        <v>0</v>
      </c>
      <c r="G50" s="24" t="str">
        <f t="shared" si="1"/>
        <v>Nee</v>
      </c>
      <c r="H50" s="40">
        <f t="shared" si="2"/>
        <v>0</v>
      </c>
      <c r="I50" s="131"/>
    </row>
    <row r="51" spans="1:15" s="3" customFormat="1" ht="15" customHeight="1">
      <c r="A51" s="3">
        <v>15</v>
      </c>
      <c r="B51" s="80" t="str">
        <f>IF(materieelinzetplan!B54="","",materieelinzetplan!B54)</f>
        <v/>
      </c>
      <c r="C51" s="81" t="str">
        <f>IF(materieelinzetplan!C54="","",materieelinzetplan!C54)</f>
        <v/>
      </c>
      <c r="D51" s="81" t="str">
        <f>IF(materieelinzetplan!D54="","",materieelinzetplan!D54)</f>
        <v/>
      </c>
      <c r="E51" s="81" t="str">
        <f>IF(materieelinzetplan!E54="","",materieelinzetplan!E54)</f>
        <v/>
      </c>
      <c r="F51" s="79">
        <f>_xlfn.CEILING.MATH(SUM(materieelinzetplan!F54:I54)/8)</f>
        <v>0</v>
      </c>
      <c r="G51" s="24" t="str">
        <f t="shared" ref="G51:G55" si="3">IFERROR(IF(AND(COUNTIF(subsidie_Transport,B51),C51="elektromotor",NOT(E51=$K$2)),"Ja","Nee"),"")</f>
        <v>Nee</v>
      </c>
      <c r="H51" s="40">
        <f t="shared" si="2"/>
        <v>0</v>
      </c>
      <c r="I51" s="131"/>
    </row>
    <row r="52" spans="1:15" s="3" customFormat="1" ht="15" customHeight="1">
      <c r="A52" s="3">
        <v>16</v>
      </c>
      <c r="B52" s="80" t="str">
        <f>IF(materieelinzetplan!B55="","",materieelinzetplan!B55)</f>
        <v/>
      </c>
      <c r="C52" s="81" t="str">
        <f>IF(materieelinzetplan!C55="","",materieelinzetplan!C55)</f>
        <v/>
      </c>
      <c r="D52" s="81" t="str">
        <f>IF(materieelinzetplan!D55="","",materieelinzetplan!D55)</f>
        <v/>
      </c>
      <c r="E52" s="81" t="str">
        <f>IF(materieelinzetplan!E55="","",materieelinzetplan!E55)</f>
        <v/>
      </c>
      <c r="F52" s="79">
        <f>_xlfn.CEILING.MATH(SUM(materieelinzetplan!F55:I55)/8)</f>
        <v>0</v>
      </c>
      <c r="G52" s="24" t="str">
        <f t="shared" si="3"/>
        <v>Nee</v>
      </c>
      <c r="H52" s="40">
        <f t="shared" si="2"/>
        <v>0</v>
      </c>
      <c r="I52" s="131"/>
    </row>
    <row r="53" spans="1:15" s="3" customFormat="1" ht="15" customHeight="1">
      <c r="A53" s="3">
        <v>17</v>
      </c>
      <c r="B53" s="80" t="str">
        <f>IF(materieelinzetplan!B56="","",materieelinzetplan!B56)</f>
        <v/>
      </c>
      <c r="C53" s="81" t="str">
        <f>IF(materieelinzetplan!C56="","",materieelinzetplan!C56)</f>
        <v/>
      </c>
      <c r="D53" s="81" t="str">
        <f>IF(materieelinzetplan!D56="","",materieelinzetplan!D56)</f>
        <v/>
      </c>
      <c r="E53" s="81" t="str">
        <f>IF(materieelinzetplan!E56="","",materieelinzetplan!E56)</f>
        <v/>
      </c>
      <c r="F53" s="79">
        <f>_xlfn.CEILING.MATH(SUM(materieelinzetplan!F56:I56)/8)</f>
        <v>0</v>
      </c>
      <c r="G53" s="24" t="str">
        <f t="shared" si="3"/>
        <v>Nee</v>
      </c>
      <c r="H53" s="40">
        <f t="shared" si="2"/>
        <v>0</v>
      </c>
      <c r="I53" s="131"/>
    </row>
    <row r="54" spans="1:15" s="3" customFormat="1" ht="15" customHeight="1">
      <c r="A54" s="3">
        <v>18</v>
      </c>
      <c r="B54" s="80" t="str">
        <f>IF(materieelinzetplan!B57="","",materieelinzetplan!B57)</f>
        <v/>
      </c>
      <c r="C54" s="81" t="str">
        <f>IF(materieelinzetplan!C57="","",materieelinzetplan!C57)</f>
        <v/>
      </c>
      <c r="D54" s="81" t="str">
        <f>IF(materieelinzetplan!D57="","",materieelinzetplan!D57)</f>
        <v/>
      </c>
      <c r="E54" s="81" t="str">
        <f>IF(materieelinzetplan!E57="","",materieelinzetplan!E57)</f>
        <v/>
      </c>
      <c r="F54" s="79">
        <f>_xlfn.CEILING.MATH(SUM(materieelinzetplan!F57:I57)/8)</f>
        <v>0</v>
      </c>
      <c r="G54" s="24" t="str">
        <f t="shared" si="3"/>
        <v>Nee</v>
      </c>
      <c r="H54" s="40">
        <f t="shared" si="2"/>
        <v>0</v>
      </c>
      <c r="I54" s="131"/>
      <c r="K54" s="5"/>
    </row>
    <row r="55" spans="1:15" s="3" customFormat="1" ht="15" customHeight="1">
      <c r="A55" s="3">
        <v>19</v>
      </c>
      <c r="B55" s="80" t="str">
        <f>IF(materieelinzetplan!B58="","",materieelinzetplan!B58)</f>
        <v/>
      </c>
      <c r="C55" s="81" t="str">
        <f>IF(materieelinzetplan!C58="","",materieelinzetplan!C58)</f>
        <v/>
      </c>
      <c r="D55" s="81" t="str">
        <f>IF(materieelinzetplan!D58="","",materieelinzetplan!D58)</f>
        <v/>
      </c>
      <c r="E55" s="81" t="str">
        <f>IF(materieelinzetplan!E58="","",materieelinzetplan!E58)</f>
        <v/>
      </c>
      <c r="F55" s="79">
        <f>_xlfn.CEILING.MATH(SUM(materieelinzetplan!F58:I58)/8)</f>
        <v>0</v>
      </c>
      <c r="G55" s="24" t="str">
        <f t="shared" si="3"/>
        <v>Nee</v>
      </c>
      <c r="H55" s="40">
        <f t="shared" si="2"/>
        <v>0</v>
      </c>
      <c r="I55" s="131"/>
      <c r="K55"/>
    </row>
    <row r="56" spans="1:15" s="3" customFormat="1" ht="15" customHeight="1" thickBot="1">
      <c r="A56" s="3">
        <v>20</v>
      </c>
      <c r="B56" s="82" t="str">
        <f>IF(materieelinzetplan!B59="","",materieelinzetplan!B59)</f>
        <v/>
      </c>
      <c r="C56" s="83" t="str">
        <f>IF(materieelinzetplan!C59="","",materieelinzetplan!C59)</f>
        <v/>
      </c>
      <c r="D56" s="83" t="str">
        <f>IF(materieelinzetplan!D59="","",materieelinzetplan!D59)</f>
        <v/>
      </c>
      <c r="E56" s="83" t="str">
        <f>IF(materieelinzetplan!E59="","",materieelinzetplan!E59)</f>
        <v/>
      </c>
      <c r="F56" s="84">
        <f>_xlfn.CEILING.MATH(SUM(materieelinzetplan!F59:I59)/8)</f>
        <v>0</v>
      </c>
      <c r="G56" s="25" t="str">
        <f t="shared" si="1"/>
        <v>Nee</v>
      </c>
      <c r="H56" s="41">
        <f t="shared" si="2"/>
        <v>0</v>
      </c>
      <c r="I56" s="131"/>
      <c r="K56"/>
      <c r="L56" s="5"/>
      <c r="M56" s="5"/>
      <c r="N56" s="5"/>
      <c r="O56" s="5"/>
    </row>
    <row r="57" spans="1:15" s="3" customFormat="1" ht="15" customHeight="1" thickBot="1">
      <c r="A57" s="5"/>
      <c r="J57" s="5"/>
      <c r="K57"/>
      <c r="L57"/>
      <c r="M57"/>
      <c r="N57"/>
      <c r="O57"/>
    </row>
    <row r="58" spans="1:15" ht="19" thickBot="1">
      <c r="A58" s="59"/>
      <c r="B58" s="50" t="s">
        <v>39</v>
      </c>
      <c r="C58" s="45"/>
      <c r="D58" s="45"/>
      <c r="E58" s="45"/>
      <c r="F58" s="45"/>
      <c r="G58" s="45"/>
      <c r="H58" s="46"/>
      <c r="M58"/>
      <c r="N58"/>
    </row>
    <row r="59" spans="1:15" ht="31.5" thickBot="1">
      <c r="A59" s="3"/>
      <c r="B59" s="341" t="str">
        <f>[1]materieelinzetplan!B62</f>
        <v>omschrijving materieelstuk</v>
      </c>
      <c r="C59" s="57"/>
      <c r="D59" s="57" t="str">
        <f>[1]materieelinzetplan!D62</f>
        <v>belofte uren inzet</v>
      </c>
      <c r="E59" s="57" t="str">
        <f>[1]materieelinzetplan!C62</f>
        <v>vermogensklasse (kW)</v>
      </c>
      <c r="F59" s="57" t="s">
        <v>83</v>
      </c>
      <c r="G59" s="76" t="s">
        <v>84</v>
      </c>
      <c r="H59" s="58" t="s">
        <v>85</v>
      </c>
    </row>
    <row r="60" spans="1:15" ht="15.5">
      <c r="A60" s="3">
        <v>1</v>
      </c>
      <c r="B60" s="351"/>
      <c r="C60" s="352"/>
      <c r="D60" s="352"/>
      <c r="E60" s="353"/>
      <c r="F60" s="352"/>
      <c r="G60" s="342" t="str">
        <f>IFERROR(IF(AND(COUNTIF(subsidie_gereedschappen,B60),NOT(B60=""),NOT(E60=$K$2)),"Ja","Nee"),"Nee")</f>
        <v>Nee</v>
      </c>
      <c r="H60" s="343">
        <f>IF(G60="Ja",_xlfn.XLOOKUP(E60,$K$2:$K$6,$L$2:$L$6)*D60,0)</f>
        <v>0</v>
      </c>
    </row>
    <row r="61" spans="1:15" ht="15.5">
      <c r="A61" s="3">
        <v>2</v>
      </c>
      <c r="B61" s="354"/>
      <c r="C61" s="355"/>
      <c r="D61" s="355"/>
      <c r="E61" s="356"/>
      <c r="F61" s="355"/>
      <c r="G61" s="344" t="str">
        <f>IFERROR(IF(AND(COUNTIF(subsidie_gereedschappen,B61),NOT(B61=""),NOT(E61=$K$2)),"Ja","Nee"),"Nee")</f>
        <v>Nee</v>
      </c>
      <c r="H61" s="345">
        <f>IFERROR(IF(G61="Ja",_xlfn.XLOOKUP(E61,$K$2:$K$6,$L$2:$L$6)*D61,0),"")</f>
        <v>0</v>
      </c>
    </row>
    <row r="62" spans="1:15" ht="15.5">
      <c r="A62" s="3">
        <v>3</v>
      </c>
      <c r="B62" s="354"/>
      <c r="C62" s="355"/>
      <c r="D62" s="355"/>
      <c r="E62" s="356"/>
      <c r="F62" s="355"/>
      <c r="G62" s="344" t="str">
        <f>IFERROR(IF(AND(COUNTIF(subsidie_gereedschappen,B62),NOT(B62=""),NOT(E62=$K$2)),"Ja","Nee"),"Nee")</f>
        <v>Nee</v>
      </c>
      <c r="H62" s="345">
        <f>IFERROR(IF(G62="Ja",_xlfn.XLOOKUP(E62,$K$2:$K$6,$L$2:$L$6)*D62,0),"")</f>
        <v>0</v>
      </c>
    </row>
    <row r="63" spans="1:15" ht="15.5">
      <c r="A63" s="3">
        <v>4</v>
      </c>
      <c r="B63" s="354"/>
      <c r="C63" s="355"/>
      <c r="D63" s="355"/>
      <c r="E63" s="356"/>
      <c r="F63" s="355"/>
      <c r="G63" s="344" t="str">
        <f>IFERROR(IF(AND(COUNTIF(subsidie_gereedschappen,B63),NOT(B63=""),NOT(E63=$K$2)),"Ja","Nee"),"Nee")</f>
        <v>Nee</v>
      </c>
      <c r="H63" s="345">
        <f>IFERROR(IF(G63="Ja",_xlfn.XLOOKUP(E63,$K$2:$K$6,$L$2:$L$6)*D63,0),"")</f>
        <v>0</v>
      </c>
    </row>
    <row r="64" spans="1:15" ht="16" thickBot="1">
      <c r="A64" s="3">
        <v>5</v>
      </c>
      <c r="B64" s="357"/>
      <c r="C64" s="358"/>
      <c r="D64" s="358"/>
      <c r="E64" s="359"/>
      <c r="F64" s="358"/>
      <c r="G64" s="346" t="str">
        <f>IFERROR(IF(AND(COUNTIF(subsidie_gereedschappen,B64),NOT(B64=""),NOT(E64=$K$2)),"Ja","Nee"),"Nee")</f>
        <v>Nee</v>
      </c>
      <c r="H64" s="347">
        <f>IFERROR(IF(G64="Ja",_xlfn.XLOOKUP(E64,$K$2:$K$6,$L$2:$L$6)*D64,0),"")</f>
        <v>0</v>
      </c>
    </row>
    <row r="65" spans="1:8" ht="16" thickBot="1">
      <c r="A65" s="3"/>
      <c r="D65" s="348"/>
      <c r="E65" s="348"/>
      <c r="F65" s="348"/>
      <c r="G65" s="349"/>
    </row>
    <row r="66" spans="1:8" ht="19" thickBot="1">
      <c r="A66" s="3"/>
      <c r="B66" s="50" t="s">
        <v>243</v>
      </c>
      <c r="C66" s="45"/>
      <c r="D66" s="45"/>
      <c r="E66" s="45"/>
      <c r="F66" s="45"/>
      <c r="G66" s="45"/>
      <c r="H66" s="46"/>
    </row>
    <row r="67" spans="1:8" ht="31.5" thickBot="1">
      <c r="A67" s="3"/>
      <c r="B67" s="341" t="str">
        <f>[1]materieelinzetplan!B70</f>
        <v>omschrijving materieelstuk</v>
      </c>
      <c r="C67" s="57"/>
      <c r="D67" s="57" t="str">
        <f>[1]materieelinzetplan!D70</f>
        <v>belofte uren inzet</v>
      </c>
      <c r="E67" s="350" t="str">
        <f>[1]materieelinzetplan!C70</f>
        <v>batterijcapaciteit (kWh)</v>
      </c>
      <c r="F67" s="57" t="s">
        <v>83</v>
      </c>
      <c r="G67" s="76" t="s">
        <v>84</v>
      </c>
      <c r="H67" s="58" t="s">
        <v>85</v>
      </c>
    </row>
    <row r="68" spans="1:8" ht="15.5">
      <c r="A68" s="3">
        <v>1</v>
      </c>
      <c r="B68" s="351"/>
      <c r="C68" s="352"/>
      <c r="D68" s="352"/>
      <c r="E68" s="353"/>
      <c r="F68" s="352"/>
      <c r="G68" s="342" t="str">
        <f>IFERROR(IF(AND(COUNTIF(lijst_aggregaten_batterijpakketten,B68),NOT(B68 = "")),"Ja","Nee"),"Nee")</f>
        <v>Nee</v>
      </c>
      <c r="H68" s="343">
        <f>IF(G68="Ja",D68*0.4*E68,0)</f>
        <v>0</v>
      </c>
    </row>
    <row r="69" spans="1:8" ht="15.5">
      <c r="A69" s="3">
        <v>2</v>
      </c>
      <c r="B69" s="354"/>
      <c r="C69" s="355"/>
      <c r="D69" s="355"/>
      <c r="E69" s="356"/>
      <c r="F69" s="355"/>
      <c r="G69" s="344" t="str">
        <f>IFERROR(IF(AND(COUNTIF(lijst_aggregaten_batterijpakketten,B69),NOT(B69 = "")),"Ja","Nee"),"Nee")</f>
        <v>Nee</v>
      </c>
      <c r="H69" s="345">
        <f>IF(G69="Ja",D69*0.4*E69,0)</f>
        <v>0</v>
      </c>
    </row>
    <row r="70" spans="1:8" ht="15.5">
      <c r="A70" s="3">
        <v>3</v>
      </c>
      <c r="B70" s="354"/>
      <c r="C70" s="355"/>
      <c r="D70" s="355"/>
      <c r="E70" s="356"/>
      <c r="F70" s="355"/>
      <c r="G70" s="344" t="str">
        <f>IFERROR(IF(AND(COUNTIF(lijst_aggregaten_batterijpakketten,B70),NOT(B70 = "")),"Ja","Nee"),"Nee")</f>
        <v>Nee</v>
      </c>
      <c r="H70" s="345">
        <f>IF(G70="Ja",D70*0.4*E70,0)</f>
        <v>0</v>
      </c>
    </row>
    <row r="71" spans="1:8" ht="15.5">
      <c r="A71" s="3">
        <v>4</v>
      </c>
      <c r="B71" s="354"/>
      <c r="C71" s="355"/>
      <c r="D71" s="355"/>
      <c r="E71" s="356"/>
      <c r="F71" s="355"/>
      <c r="G71" s="344" t="str">
        <f>IFERROR(IF(AND(COUNTIF(lijst_aggregaten_batterijpakketten,B71),NOT(B71 = "")),"Ja","Nee"),"Nee")</f>
        <v>Nee</v>
      </c>
      <c r="H71" s="345">
        <f>IF(G71="Ja",D71*0.4*E71,0)</f>
        <v>0</v>
      </c>
    </row>
    <row r="72" spans="1:8" ht="16" thickBot="1">
      <c r="A72" s="3">
        <v>5</v>
      </c>
      <c r="B72" s="357"/>
      <c r="C72" s="358"/>
      <c r="D72" s="358"/>
      <c r="E72" s="359"/>
      <c r="F72" s="358"/>
      <c r="G72" s="346" t="str">
        <f>IFERROR(IF(AND(COUNTIF(lijst_aggregaten_batterijpakketten,B72),NOT(B72 = "")),"Ja","Nee"),"Nee")</f>
        <v>Nee</v>
      </c>
      <c r="H72" s="347">
        <f>IF(G72="Ja",D72*0.4*E72,0)</f>
        <v>0</v>
      </c>
    </row>
    <row r="73" spans="1:8" ht="15" thickBot="1">
      <c r="A73" s="3"/>
      <c r="D73"/>
      <c r="E73"/>
    </row>
    <row r="74" spans="1:8" ht="19" thickBot="1">
      <c r="A74" s="3"/>
      <c r="B74" s="50" t="s">
        <v>244</v>
      </c>
      <c r="C74" s="45"/>
      <c r="D74" s="45"/>
      <c r="E74" s="45"/>
      <c r="F74" s="45"/>
      <c r="G74" s="45"/>
      <c r="H74" s="46"/>
    </row>
    <row r="75" spans="1:8" ht="31.5" thickBot="1">
      <c r="A75" s="3"/>
      <c r="B75" s="341" t="str">
        <f>[1]materieelinzetplan!B78</f>
        <v>omschrijving materieelstuk</v>
      </c>
      <c r="C75" s="57"/>
      <c r="D75" s="57" t="str">
        <f>[1]materieelinzetplan!D78</f>
        <v>belofte uren inzet</v>
      </c>
      <c r="E75" s="350" t="str">
        <f>[1]materieelinzetplan!C78</f>
        <v>vermogensklasse (kW)</v>
      </c>
      <c r="F75" s="57" t="s">
        <v>83</v>
      </c>
      <c r="G75" s="76" t="s">
        <v>84</v>
      </c>
      <c r="H75" s="58" t="s">
        <v>85</v>
      </c>
    </row>
    <row r="76" spans="1:8" ht="15.5">
      <c r="A76" s="3">
        <v>1</v>
      </c>
      <c r="B76" s="351"/>
      <c r="C76" s="352"/>
      <c r="D76" s="352"/>
      <c r="E76" s="353"/>
      <c r="F76" s="352"/>
      <c r="G76" s="342" t="str">
        <f>IFERROR(IF(AND(COUNTIF(lijst_DClaadstation,B76),NOT(B76 = "")),"Ja","Nee"),"Nee")</f>
        <v>Nee</v>
      </c>
      <c r="H76" s="343">
        <f>IF(G76="Ja",_xlfn.XLOOKUP(E76,$N$2:$N$8,$O$2:$O$8)*D76,0)</f>
        <v>0</v>
      </c>
    </row>
    <row r="77" spans="1:8" ht="15.5">
      <c r="A77" s="3">
        <v>2</v>
      </c>
      <c r="B77" s="354"/>
      <c r="C77" s="355"/>
      <c r="D77" s="355"/>
      <c r="E77" s="356"/>
      <c r="F77" s="355"/>
      <c r="G77" s="344" t="str">
        <f>IFERROR(IF(AND(COUNTIF(lijst_DClaadstation,B77),NOT(B77 = "")),"Ja","Nee"),"Nee")</f>
        <v>Nee</v>
      </c>
      <c r="H77" s="345">
        <f>IF(G77="Ja",_xlfn.XLOOKUP(E77,$N$2:$N$8,$O$2:$O$8)*D77,0)</f>
        <v>0</v>
      </c>
    </row>
    <row r="78" spans="1:8" ht="15.5">
      <c r="A78" s="3">
        <v>3</v>
      </c>
      <c r="B78" s="354"/>
      <c r="C78" s="355"/>
      <c r="D78" s="355"/>
      <c r="E78" s="356"/>
      <c r="F78" s="355"/>
      <c r="G78" s="344" t="str">
        <f>IFERROR(IF(AND(COUNTIF(lijst_DClaadstation,B78),NOT(B78 = "")),"Ja","Nee"),"Nee")</f>
        <v>Nee</v>
      </c>
      <c r="H78" s="345">
        <f>IF(G78="Ja",_xlfn.XLOOKUP(E78,$N$2:$N$8,$O$2:$O$8)*D78,0)</f>
        <v>0</v>
      </c>
    </row>
    <row r="79" spans="1:8" ht="15.5">
      <c r="A79" s="3">
        <v>4</v>
      </c>
      <c r="B79" s="354"/>
      <c r="C79" s="355"/>
      <c r="D79" s="355"/>
      <c r="E79" s="356"/>
      <c r="F79" s="355"/>
      <c r="G79" s="344" t="str">
        <f>IFERROR(IF(AND(COUNTIF(lijst_DClaadstation,B79),NOT(B79 = "")),"Ja","Nee"),"Nee")</f>
        <v>Nee</v>
      </c>
      <c r="H79" s="345">
        <f>IF(G79="Ja",_xlfn.XLOOKUP(E79,$N$2:$N$8,$O$2:$O$8)*D79,0)</f>
        <v>0</v>
      </c>
    </row>
    <row r="80" spans="1:8" ht="16" thickBot="1">
      <c r="A80" s="3">
        <v>5</v>
      </c>
      <c r="B80" s="357"/>
      <c r="C80" s="358"/>
      <c r="D80" s="358"/>
      <c r="E80" s="359"/>
      <c r="F80" s="358"/>
      <c r="G80" s="346" t="str">
        <f>IFERROR(IF(AND(COUNTIF(lijst_DClaadstation,B80),NOT(B80 = "")),"Ja","Nee"),"Nee")</f>
        <v>Nee</v>
      </c>
      <c r="H80" s="347">
        <f>IF(G80="Ja",_xlfn.XLOOKUP(E80,$N$2:$N$8,$O$2:$O$8)*D80,0)</f>
        <v>0</v>
      </c>
    </row>
  </sheetData>
  <autoFilter ref="G13:G57" xr:uid="{B68D21A2-68F0-4557-B718-B499D1B44852}"/>
  <mergeCells count="1">
    <mergeCell ref="D2:E3"/>
  </mergeCells>
  <pageMargins left="0.25" right="0.25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D9C2-4BB6-49FF-AA6F-E58C30A347E5}">
  <sheetPr codeName="Blad5">
    <pageSetUpPr fitToPage="1"/>
  </sheetPr>
  <dimension ref="B1:D106"/>
  <sheetViews>
    <sheetView showGridLines="0" zoomScale="80" zoomScaleNormal="80" workbookViewId="0">
      <selection activeCell="B1" sqref="B1"/>
    </sheetView>
  </sheetViews>
  <sheetFormatPr defaultColWidth="8.6328125" defaultRowHeight="21.75" customHeight="1"/>
  <cols>
    <col min="1" max="1" width="2.54296875" style="22" customWidth="1"/>
    <col min="2" max="2" width="19.453125" style="22" customWidth="1"/>
    <col min="3" max="3" width="8.6328125" style="22"/>
    <col min="4" max="4" width="179.36328125" style="22" customWidth="1"/>
    <col min="5" max="16384" width="8.6328125" style="22"/>
  </cols>
  <sheetData>
    <row r="1" spans="2:4" ht="21.75" customHeight="1">
      <c r="B1" s="60" t="s">
        <v>99</v>
      </c>
      <c r="C1" s="27"/>
    </row>
    <row r="2" spans="2:4" ht="21.75" customHeight="1">
      <c r="B2" s="26"/>
      <c r="C2" s="28"/>
    </row>
    <row r="3" spans="2:4" ht="21.75" customHeight="1">
      <c r="B3" s="28" t="s">
        <v>100</v>
      </c>
      <c r="C3" s="29" t="s">
        <v>101</v>
      </c>
      <c r="D3" s="30"/>
    </row>
    <row r="4" spans="2:4" ht="21.75" customHeight="1">
      <c r="D4" s="26" t="s">
        <v>102</v>
      </c>
    </row>
    <row r="5" spans="2:4" ht="21.75" customHeight="1">
      <c r="D5" s="26" t="s">
        <v>103</v>
      </c>
    </row>
    <row r="6" spans="2:4" ht="21.75" customHeight="1">
      <c r="D6" s="26" t="s">
        <v>104</v>
      </c>
    </row>
    <row r="7" spans="2:4" ht="21.75" customHeight="1">
      <c r="D7" s="26" t="s">
        <v>105</v>
      </c>
    </row>
    <row r="8" spans="2:4" ht="21.75" customHeight="1">
      <c r="D8" s="26" t="s">
        <v>106</v>
      </c>
    </row>
    <row r="9" spans="2:4" ht="21.75" customHeight="1">
      <c r="D9" s="26" t="s">
        <v>107</v>
      </c>
    </row>
    <row r="10" spans="2:4" ht="21.75" customHeight="1">
      <c r="D10" s="26" t="s">
        <v>108</v>
      </c>
    </row>
    <row r="11" spans="2:4" ht="21.75" customHeight="1">
      <c r="D11" s="26" t="s">
        <v>109</v>
      </c>
    </row>
    <row r="12" spans="2:4" ht="21.75" customHeight="1">
      <c r="D12" s="26" t="s">
        <v>110</v>
      </c>
    </row>
    <row r="13" spans="2:4" ht="21.75" customHeight="1">
      <c r="D13" s="26" t="s">
        <v>111</v>
      </c>
    </row>
    <row r="14" spans="2:4" ht="21.75" customHeight="1">
      <c r="D14" s="26" t="s">
        <v>112</v>
      </c>
    </row>
    <row r="15" spans="2:4" ht="21.75" customHeight="1">
      <c r="D15" s="136" t="s">
        <v>113</v>
      </c>
    </row>
    <row r="16" spans="2:4" ht="21.75" customHeight="1">
      <c r="D16" s="26" t="s">
        <v>114</v>
      </c>
    </row>
    <row r="17" spans="4:4" ht="21.75" customHeight="1">
      <c r="D17" s="26" t="s">
        <v>115</v>
      </c>
    </row>
    <row r="18" spans="4:4" ht="21.75" customHeight="1">
      <c r="D18" s="26" t="s">
        <v>116</v>
      </c>
    </row>
    <row r="19" spans="4:4" ht="21.75" customHeight="1">
      <c r="D19" s="26" t="s">
        <v>117</v>
      </c>
    </row>
    <row r="20" spans="4:4" ht="21.75" customHeight="1">
      <c r="D20" s="26" t="s">
        <v>118</v>
      </c>
    </row>
    <row r="21" spans="4:4" ht="21.75" customHeight="1">
      <c r="D21" s="26" t="s">
        <v>119</v>
      </c>
    </row>
    <row r="22" spans="4:4" ht="21.75" customHeight="1">
      <c r="D22" s="26" t="s">
        <v>120</v>
      </c>
    </row>
    <row r="23" spans="4:4" ht="21.75" customHeight="1">
      <c r="D23" s="26" t="s">
        <v>121</v>
      </c>
    </row>
    <row r="24" spans="4:4" ht="21.75" customHeight="1">
      <c r="D24" s="26" t="s">
        <v>122</v>
      </c>
    </row>
    <row r="25" spans="4:4" ht="21.75" customHeight="1">
      <c r="D25" s="26" t="s">
        <v>123</v>
      </c>
    </row>
    <row r="26" spans="4:4" ht="21.75" customHeight="1">
      <c r="D26" s="26" t="s">
        <v>124</v>
      </c>
    </row>
    <row r="27" spans="4:4" ht="21.75" customHeight="1">
      <c r="D27" s="26" t="s">
        <v>125</v>
      </c>
    </row>
    <row r="28" spans="4:4" ht="21.75" customHeight="1">
      <c r="D28" s="26" t="s">
        <v>126</v>
      </c>
    </row>
    <row r="29" spans="4:4" ht="21.75" customHeight="1">
      <c r="D29" s="26" t="s">
        <v>127</v>
      </c>
    </row>
    <row r="30" spans="4:4" ht="21.75" customHeight="1">
      <c r="D30" s="26" t="s">
        <v>128</v>
      </c>
    </row>
    <row r="31" spans="4:4" ht="21.75" customHeight="1">
      <c r="D31" s="26" t="s">
        <v>129</v>
      </c>
    </row>
    <row r="32" spans="4:4" ht="21.75" customHeight="1">
      <c r="D32" s="26" t="s">
        <v>130</v>
      </c>
    </row>
    <row r="33" spans="4:4" ht="21.75" customHeight="1">
      <c r="D33" s="26" t="s">
        <v>131</v>
      </c>
    </row>
    <row r="34" spans="4:4" ht="21.75" customHeight="1">
      <c r="D34" s="26" t="s">
        <v>132</v>
      </c>
    </row>
    <row r="35" spans="4:4" ht="21.75" customHeight="1">
      <c r="D35" s="26" t="s">
        <v>133</v>
      </c>
    </row>
    <row r="36" spans="4:4" ht="21.75" customHeight="1">
      <c r="D36" s="26" t="s">
        <v>134</v>
      </c>
    </row>
    <row r="37" spans="4:4" ht="21.75" customHeight="1">
      <c r="D37" s="26" t="s">
        <v>135</v>
      </c>
    </row>
    <row r="38" spans="4:4" ht="21.75" customHeight="1">
      <c r="D38" s="26" t="s">
        <v>136</v>
      </c>
    </row>
    <row r="39" spans="4:4" ht="21.75" customHeight="1">
      <c r="D39" s="26" t="s">
        <v>137</v>
      </c>
    </row>
    <row r="40" spans="4:4" ht="21.75" customHeight="1">
      <c r="D40" s="26" t="s">
        <v>138</v>
      </c>
    </row>
    <row r="41" spans="4:4" ht="21.75" customHeight="1">
      <c r="D41" s="26" t="s">
        <v>139</v>
      </c>
    </row>
    <row r="42" spans="4:4" ht="21.75" customHeight="1">
      <c r="D42" s="26" t="s">
        <v>140</v>
      </c>
    </row>
    <row r="43" spans="4:4" ht="21.75" customHeight="1">
      <c r="D43" s="26" t="s">
        <v>141</v>
      </c>
    </row>
    <row r="44" spans="4:4" ht="21.75" customHeight="1">
      <c r="D44" s="26" t="s">
        <v>142</v>
      </c>
    </row>
    <row r="45" spans="4:4" ht="21.75" customHeight="1">
      <c r="D45" s="26" t="s">
        <v>143</v>
      </c>
    </row>
    <row r="46" spans="4:4" ht="21.75" customHeight="1">
      <c r="D46" s="26" t="s">
        <v>144</v>
      </c>
    </row>
    <row r="47" spans="4:4" ht="21.75" customHeight="1">
      <c r="D47" s="26" t="s">
        <v>145</v>
      </c>
    </row>
    <row r="48" spans="4:4" ht="21.75" customHeight="1">
      <c r="D48" s="26" t="s">
        <v>146</v>
      </c>
    </row>
    <row r="49" spans="3:4" ht="21.75" customHeight="1">
      <c r="D49" s="31" t="s">
        <v>147</v>
      </c>
    </row>
    <row r="50" spans="3:4" ht="21.75" customHeight="1">
      <c r="D50" s="31" t="s">
        <v>148</v>
      </c>
    </row>
    <row r="51" spans="3:4" ht="21.75" customHeight="1">
      <c r="D51" s="31" t="s">
        <v>149</v>
      </c>
    </row>
    <row r="52" spans="3:4" ht="21.75" customHeight="1">
      <c r="D52" s="31" t="s">
        <v>150</v>
      </c>
    </row>
    <row r="53" spans="3:4" ht="21.75" customHeight="1">
      <c r="D53" s="31" t="s">
        <v>151</v>
      </c>
    </row>
    <row r="54" spans="3:4" ht="21.75" customHeight="1">
      <c r="D54" s="31" t="s">
        <v>152</v>
      </c>
    </row>
    <row r="55" spans="3:4" ht="21.75" customHeight="1">
      <c r="D55" s="31" t="s">
        <v>203</v>
      </c>
    </row>
    <row r="56" spans="3:4" ht="21.75" customHeight="1">
      <c r="D56" s="31" t="s">
        <v>153</v>
      </c>
    </row>
    <row r="57" spans="3:4" ht="21.75" customHeight="1">
      <c r="D57" s="31" t="s">
        <v>154</v>
      </c>
    </row>
    <row r="58" spans="3:4" ht="21.75" customHeight="1">
      <c r="D58" s="31" t="s">
        <v>155</v>
      </c>
    </row>
    <row r="59" spans="3:4" ht="21.75" customHeight="1">
      <c r="C59" s="20" t="s">
        <v>156</v>
      </c>
      <c r="D59" s="30"/>
    </row>
    <row r="60" spans="3:4" ht="21.75" customHeight="1">
      <c r="D60" s="26" t="s">
        <v>157</v>
      </c>
    </row>
    <row r="61" spans="3:4" ht="21.75" customHeight="1">
      <c r="D61" s="26" t="s">
        <v>158</v>
      </c>
    </row>
    <row r="62" spans="3:4" ht="21.75" customHeight="1">
      <c r="D62" s="26" t="s">
        <v>159</v>
      </c>
    </row>
    <row r="63" spans="3:4" ht="21.75" customHeight="1">
      <c r="D63" s="26" t="s">
        <v>160</v>
      </c>
    </row>
    <row r="64" spans="3:4" ht="21.75" customHeight="1">
      <c r="D64" s="26" t="s">
        <v>161</v>
      </c>
    </row>
    <row r="65" spans="2:4" ht="21.75" customHeight="1">
      <c r="D65" s="26" t="s">
        <v>162</v>
      </c>
    </row>
    <row r="66" spans="2:4" ht="21.75" customHeight="1">
      <c r="D66" s="26" t="s">
        <v>163</v>
      </c>
    </row>
    <row r="67" spans="2:4" ht="21.75" customHeight="1">
      <c r="C67" s="20" t="s">
        <v>164</v>
      </c>
      <c r="D67" s="26"/>
    </row>
    <row r="68" spans="2:4" ht="21.75" customHeight="1">
      <c r="D68" s="26" t="s">
        <v>165</v>
      </c>
    </row>
    <row r="69" spans="2:4" ht="21.75" customHeight="1">
      <c r="D69" s="26" t="s">
        <v>166</v>
      </c>
    </row>
    <row r="70" spans="2:4" ht="21.75" customHeight="1">
      <c r="D70" s="26" t="s">
        <v>167</v>
      </c>
    </row>
    <row r="71" spans="2:4" ht="21.75" customHeight="1">
      <c r="D71" s="26" t="s">
        <v>168</v>
      </c>
    </row>
    <row r="72" spans="2:4" ht="21.75" customHeight="1">
      <c r="B72" s="28" t="s">
        <v>169</v>
      </c>
      <c r="C72" s="29" t="s">
        <v>170</v>
      </c>
      <c r="D72" s="30"/>
    </row>
    <row r="73" spans="2:4" ht="21.75" customHeight="1">
      <c r="D73" s="7" t="s">
        <v>171</v>
      </c>
    </row>
    <row r="74" spans="2:4" ht="21.75" customHeight="1">
      <c r="D74" s="7" t="s">
        <v>172</v>
      </c>
    </row>
    <row r="75" spans="2:4" ht="21.75" customHeight="1">
      <c r="D75" s="7" t="s">
        <v>173</v>
      </c>
    </row>
    <row r="76" spans="2:4" ht="21.75" customHeight="1">
      <c r="D76" s="7" t="s">
        <v>174</v>
      </c>
    </row>
    <row r="77" spans="2:4" ht="21.75" customHeight="1">
      <c r="D77" s="7" t="s">
        <v>175</v>
      </c>
    </row>
    <row r="78" spans="2:4" ht="21.75" customHeight="1">
      <c r="D78" s="7" t="s">
        <v>176</v>
      </c>
    </row>
    <row r="79" spans="2:4" ht="21.75" customHeight="1">
      <c r="D79" s="7" t="s">
        <v>177</v>
      </c>
    </row>
    <row r="80" spans="2:4" ht="21.75" customHeight="1">
      <c r="D80" s="7" t="s">
        <v>178</v>
      </c>
    </row>
    <row r="81" spans="2:4" ht="21.75" customHeight="1">
      <c r="D81" s="7" t="s">
        <v>179</v>
      </c>
    </row>
    <row r="82" spans="2:4" ht="21.75" customHeight="1">
      <c r="D82" s="7" t="s">
        <v>180</v>
      </c>
    </row>
    <row r="83" spans="2:4" ht="21.75" customHeight="1">
      <c r="D83" s="7" t="s">
        <v>181</v>
      </c>
    </row>
    <row r="84" spans="2:4" ht="21.75" customHeight="1">
      <c r="D84" s="7" t="s">
        <v>182</v>
      </c>
    </row>
    <row r="85" spans="2:4" ht="21.75" customHeight="1">
      <c r="D85" s="7" t="s">
        <v>183</v>
      </c>
    </row>
    <row r="86" spans="2:4" ht="21.75" customHeight="1">
      <c r="D86" s="7" t="s">
        <v>184</v>
      </c>
    </row>
    <row r="87" spans="2:4" ht="21.75" customHeight="1">
      <c r="C87" s="29" t="s">
        <v>185</v>
      </c>
    </row>
    <row r="88" spans="2:4" ht="21.75" customHeight="1">
      <c r="D88" s="26" t="s">
        <v>186</v>
      </c>
    </row>
    <row r="89" spans="2:4" ht="21.75" customHeight="1">
      <c r="D89" s="26" t="s">
        <v>187</v>
      </c>
    </row>
    <row r="90" spans="2:4" ht="21.75" customHeight="1">
      <c r="D90" s="26" t="s">
        <v>188</v>
      </c>
    </row>
    <row r="91" spans="2:4" ht="21.75" customHeight="1">
      <c r="B91" s="28" t="s">
        <v>189</v>
      </c>
      <c r="D91" s="31" t="s">
        <v>190</v>
      </c>
    </row>
    <row r="92" spans="2:4" ht="21.75" customHeight="1">
      <c r="B92" s="28" t="s">
        <v>191</v>
      </c>
      <c r="D92" s="30"/>
    </row>
    <row r="93" spans="2:4" ht="21.75" customHeight="1">
      <c r="D93" s="26" t="s">
        <v>192</v>
      </c>
    </row>
    <row r="94" spans="2:4" ht="21.75" customHeight="1">
      <c r="D94" s="26" t="s">
        <v>193</v>
      </c>
    </row>
    <row r="95" spans="2:4" ht="21.75" customHeight="1">
      <c r="D95" s="26" t="s">
        <v>194</v>
      </c>
    </row>
    <row r="96" spans="2:4" ht="21.75" customHeight="1">
      <c r="D96" s="26" t="s">
        <v>195</v>
      </c>
    </row>
    <row r="97" spans="2:4" ht="21.75" customHeight="1">
      <c r="D97" s="7" t="s">
        <v>196</v>
      </c>
    </row>
    <row r="98" spans="2:4" ht="21.75" customHeight="1">
      <c r="D98" s="7" t="s">
        <v>197</v>
      </c>
    </row>
    <row r="99" spans="2:4" ht="21.75" customHeight="1">
      <c r="D99" s="26" t="s">
        <v>198</v>
      </c>
    </row>
    <row r="100" spans="2:4" ht="21.75" customHeight="1">
      <c r="D100" s="26" t="s">
        <v>199</v>
      </c>
    </row>
    <row r="101" spans="2:4" ht="21.75" customHeight="1">
      <c r="D101" s="31" t="s">
        <v>200</v>
      </c>
    </row>
    <row r="102" spans="2:4" ht="21.75" customHeight="1">
      <c r="D102" s="32" t="s">
        <v>201</v>
      </c>
    </row>
    <row r="103" spans="2:4" ht="21.75" customHeight="1">
      <c r="D103" s="32" t="s">
        <v>202</v>
      </c>
    </row>
    <row r="104" spans="2:4" ht="21.75" customHeight="1">
      <c r="D104" s="32" t="s">
        <v>208</v>
      </c>
    </row>
    <row r="105" spans="2:4" ht="21.75" customHeight="1">
      <c r="D105" s="26" t="s">
        <v>86</v>
      </c>
    </row>
    <row r="106" spans="2:4" ht="21.75" customHeight="1">
      <c r="B106" s="143" t="s">
        <v>205</v>
      </c>
      <c r="C106" s="142" t="s">
        <v>204</v>
      </c>
    </row>
  </sheetData>
  <sheetProtection sheet="1" objects="1" scenarios="1"/>
  <sortState xmlns:xlrd2="http://schemas.microsoft.com/office/spreadsheetml/2017/richdata2" ref="D49:D58">
    <sortCondition ref="D49:D58"/>
  </sortState>
  <dataConsolidate/>
  <hyperlinks>
    <hyperlink ref="C106" r:id="rId1" xr:uid="{F40AB323-714C-4430-B40F-38E4EAD87FB9}"/>
  </hyperlinks>
  <pageMargins left="0.23622047244094488" right="0.23622047244094488" top="0.23622047244094488" bottom="0.23622047244094488" header="0" footer="0"/>
  <pageSetup paperSize="9" scale="47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6889-4B4B-4CA2-B9EE-8F203A87E33A}">
  <sheetPr codeName="Blad7">
    <tabColor rgb="FFFF0000"/>
    <pageSetUpPr fitToPage="1"/>
  </sheetPr>
  <dimension ref="A1:M24"/>
  <sheetViews>
    <sheetView showGridLines="0" zoomScaleNormal="100" workbookViewId="0">
      <selection activeCell="C5" sqref="C5"/>
    </sheetView>
  </sheetViews>
  <sheetFormatPr defaultColWidth="9.08984375" defaultRowHeight="15" customHeight="1"/>
  <cols>
    <col min="1" max="1" width="2.6328125" customWidth="1"/>
    <col min="2" max="2" width="29.36328125" bestFit="1" customWidth="1"/>
    <col min="3" max="3" width="45.90625" style="61" bestFit="1" customWidth="1"/>
    <col min="4" max="4" width="2.54296875" style="52" customWidth="1"/>
    <col min="5" max="5" width="22.90625" customWidth="1"/>
    <col min="6" max="6" width="2.54296875" style="52" customWidth="1"/>
    <col min="7" max="7" width="22.90625" customWidth="1"/>
    <col min="8" max="8" width="2.54296875" style="52" customWidth="1"/>
    <col min="9" max="9" width="22.90625" customWidth="1"/>
    <col min="10" max="10" width="2.54296875" customWidth="1"/>
    <col min="11" max="11" width="22.90625" customWidth="1"/>
    <col min="12" max="12" width="2.54296875" customWidth="1"/>
    <col min="13" max="13" width="22.90625" customWidth="1"/>
  </cols>
  <sheetData>
    <row r="1" spans="1:13" ht="15" customHeight="1">
      <c r="A1" s="52"/>
      <c r="B1" s="52"/>
      <c r="C1" s="147"/>
      <c r="E1" s="52"/>
      <c r="G1" s="52"/>
      <c r="I1" s="52"/>
      <c r="J1" s="52"/>
      <c r="K1" s="52"/>
      <c r="L1" s="52"/>
      <c r="M1" s="52"/>
    </row>
    <row r="2" spans="1:13" s="149" customFormat="1" ht="15" customHeight="1">
      <c r="A2" s="148"/>
      <c r="B2" s="53">
        <f>'fictieve meerwaarde &amp; eisen'!B2</f>
        <v>618182601</v>
      </c>
      <c r="C2" s="53" t="str">
        <f>'fictieve meerwaarde &amp; eisen'!C2</f>
        <v>Bestrijding geelpoothoornaar</v>
      </c>
      <c r="D2" s="148"/>
      <c r="E2" s="148"/>
      <c r="F2" s="148"/>
      <c r="G2" s="148"/>
      <c r="H2" s="148"/>
      <c r="I2" s="148"/>
      <c r="J2" s="148"/>
      <c r="K2" s="148"/>
      <c r="L2" s="148"/>
      <c r="M2" s="148"/>
    </row>
    <row r="3" spans="1:13" s="3" customFormat="1" ht="15" customHeight="1">
      <c r="A3" s="54"/>
      <c r="B3" s="53" t="s">
        <v>87</v>
      </c>
      <c r="C3" s="48"/>
      <c r="D3" s="48"/>
      <c r="E3" s="54"/>
      <c r="F3" s="150"/>
      <c r="G3" s="54"/>
      <c r="H3" s="54"/>
      <c r="I3" s="54"/>
      <c r="J3" s="54"/>
      <c r="K3" s="54"/>
      <c r="L3" s="54"/>
      <c r="M3" s="54"/>
    </row>
    <row r="4" spans="1:13" s="3" customFormat="1" ht="15" customHeight="1" thickBot="1">
      <c r="A4" s="54"/>
      <c r="B4" s="53"/>
      <c r="C4" s="48"/>
      <c r="D4" s="48"/>
      <c r="E4" s="150"/>
      <c r="F4" s="150"/>
      <c r="G4" s="150"/>
      <c r="H4" s="150"/>
      <c r="I4" s="150"/>
      <c r="J4" s="150"/>
      <c r="K4" s="150"/>
      <c r="L4" s="150"/>
      <c r="M4" s="150"/>
    </row>
    <row r="5" spans="1:13" s="156" customFormat="1" ht="24.9" customHeight="1">
      <c r="A5" s="151"/>
      <c r="B5" s="152" t="s">
        <v>88</v>
      </c>
      <c r="C5" s="144"/>
      <c r="D5" s="153"/>
      <c r="E5" s="154" t="s">
        <v>89</v>
      </c>
      <c r="F5" s="155"/>
      <c r="G5" s="154" t="s">
        <v>90</v>
      </c>
      <c r="H5" s="150"/>
      <c r="I5" s="154" t="s">
        <v>91</v>
      </c>
      <c r="J5" s="150"/>
      <c r="K5" s="154" t="s">
        <v>92</v>
      </c>
      <c r="L5" s="150"/>
      <c r="M5" s="154" t="s">
        <v>93</v>
      </c>
    </row>
    <row r="6" spans="1:13" s="151" customFormat="1" ht="15" customHeight="1">
      <c r="D6" s="153"/>
      <c r="E6" s="155"/>
      <c r="F6" s="150"/>
      <c r="G6" s="155"/>
      <c r="H6" s="150"/>
      <c r="I6" s="155"/>
      <c r="J6" s="150"/>
      <c r="K6" s="155"/>
      <c r="L6" s="150"/>
      <c r="M6" s="155"/>
    </row>
    <row r="7" spans="1:13" s="156" customFormat="1" ht="24.9" customHeight="1" thickBot="1">
      <c r="A7" s="151"/>
      <c r="B7" s="151" t="s">
        <v>94</v>
      </c>
      <c r="C7" s="145"/>
      <c r="D7" s="153"/>
      <c r="E7" s="16" t="s">
        <v>95</v>
      </c>
      <c r="F7" s="150"/>
      <c r="G7" s="16" t="s">
        <v>95</v>
      </c>
      <c r="H7" s="150"/>
      <c r="I7" s="16" t="s">
        <v>95</v>
      </c>
      <c r="J7" s="150"/>
      <c r="K7" s="16" t="s">
        <v>95</v>
      </c>
      <c r="L7" s="150"/>
      <c r="M7" s="16" t="s">
        <v>95</v>
      </c>
    </row>
    <row r="8" spans="1:13" s="54" customFormat="1" ht="15" customHeight="1">
      <c r="B8" s="157"/>
      <c r="C8" s="151"/>
      <c r="D8" s="48"/>
      <c r="E8" s="158"/>
      <c r="F8" s="159"/>
      <c r="G8" s="158"/>
      <c r="H8" s="159"/>
      <c r="I8" s="158"/>
      <c r="J8" s="159"/>
      <c r="K8" s="158"/>
      <c r="L8" s="159"/>
      <c r="M8" s="158"/>
    </row>
    <row r="9" spans="1:13" s="49" customFormat="1" ht="24.9" customHeight="1">
      <c r="A9" s="47"/>
      <c r="B9" s="160" t="s">
        <v>96</v>
      </c>
      <c r="C9" s="153" t="str">
        <f>'fictieve meerwaarde &amp; eisen'!B14</f>
        <v>WERKTUIGEN</v>
      </c>
      <c r="D9" s="48"/>
      <c r="E9" s="17">
        <v>0</v>
      </c>
      <c r="F9" s="161"/>
      <c r="G9" s="17">
        <v>0</v>
      </c>
      <c r="H9" s="161"/>
      <c r="I9" s="17">
        <v>0</v>
      </c>
      <c r="J9" s="161"/>
      <c r="K9" s="17">
        <v>0</v>
      </c>
      <c r="L9" s="161"/>
      <c r="M9" s="17">
        <v>0</v>
      </c>
    </row>
    <row r="10" spans="1:13" s="54" customFormat="1" ht="15" customHeight="1">
      <c r="B10" s="360" t="s">
        <v>246</v>
      </c>
      <c r="C10" s="152"/>
      <c r="D10" s="162"/>
      <c r="E10" s="15">
        <f>'fictieve meerwaarde &amp; eisen'!$M$21</f>
        <v>5000</v>
      </c>
      <c r="F10" s="14"/>
      <c r="G10" s="15">
        <f>'fictieve meerwaarde &amp; eisen'!$M$21</f>
        <v>5000</v>
      </c>
      <c r="H10" s="14"/>
      <c r="I10" s="15">
        <f>'fictieve meerwaarde &amp; eisen'!$M$21</f>
        <v>5000</v>
      </c>
      <c r="J10" s="14"/>
      <c r="K10" s="15">
        <f>'fictieve meerwaarde &amp; eisen'!$M$21</f>
        <v>5000</v>
      </c>
      <c r="L10" s="14"/>
      <c r="M10" s="15">
        <f>'fictieve meerwaarde &amp; eisen'!$M$21</f>
        <v>5000</v>
      </c>
    </row>
    <row r="11" spans="1:13" s="54" customFormat="1" ht="15" customHeight="1">
      <c r="B11" s="152"/>
      <c r="C11" s="152"/>
      <c r="D11" s="162"/>
      <c r="E11" s="14"/>
      <c r="F11" s="14"/>
      <c r="G11" s="14"/>
      <c r="H11" s="14"/>
      <c r="I11" s="14"/>
      <c r="J11" s="14"/>
      <c r="K11" s="14"/>
      <c r="L11" s="14"/>
      <c r="M11" s="14"/>
    </row>
    <row r="12" spans="1:13" s="49" customFormat="1" ht="24.9" customHeight="1">
      <c r="A12" s="47"/>
      <c r="B12" s="160" t="s">
        <v>96</v>
      </c>
      <c r="C12" s="153" t="str">
        <f>'fictieve meerwaarde &amp; eisen'!B33</f>
        <v>N2 en N3 TRANSPORTMIDDELEN (vanaf 3.500kg)</v>
      </c>
      <c r="D12" s="48"/>
      <c r="E12" s="17">
        <v>0</v>
      </c>
      <c r="F12" s="161"/>
      <c r="G12" s="17">
        <v>0</v>
      </c>
      <c r="H12" s="161"/>
      <c r="I12" s="17">
        <v>0</v>
      </c>
      <c r="J12" s="161"/>
      <c r="K12" s="17">
        <v>0</v>
      </c>
      <c r="L12" s="161"/>
      <c r="M12" s="17">
        <v>0</v>
      </c>
    </row>
    <row r="13" spans="1:13" s="54" customFormat="1" ht="15" customHeight="1">
      <c r="B13" s="360" t="s">
        <v>246</v>
      </c>
      <c r="C13" s="152"/>
      <c r="D13" s="162"/>
      <c r="E13" s="15">
        <f>'fictieve meerwaarde &amp; eisen'!$M$48</f>
        <v>10000</v>
      </c>
      <c r="F13" s="14"/>
      <c r="G13" s="15">
        <f>'fictieve meerwaarde &amp; eisen'!$M$48</f>
        <v>10000</v>
      </c>
      <c r="H13" s="14"/>
      <c r="I13" s="15">
        <f>'fictieve meerwaarde &amp; eisen'!$M$48</f>
        <v>10000</v>
      </c>
      <c r="J13" s="14"/>
      <c r="K13" s="15">
        <f>'fictieve meerwaarde &amp; eisen'!$M$48</f>
        <v>10000</v>
      </c>
      <c r="L13" s="14"/>
      <c r="M13" s="15">
        <f>'fictieve meerwaarde &amp; eisen'!$M$48</f>
        <v>10000</v>
      </c>
    </row>
    <row r="14" spans="1:13" s="49" customFormat="1" ht="15" customHeight="1">
      <c r="A14" s="47"/>
      <c r="B14" s="160"/>
      <c r="C14" s="153"/>
      <c r="D14" s="48"/>
      <c r="E14" s="14"/>
      <c r="F14" s="48"/>
      <c r="G14" s="14"/>
      <c r="H14" s="48"/>
      <c r="I14" s="14"/>
      <c r="J14" s="48"/>
      <c r="K14" s="14"/>
      <c r="L14" s="48"/>
      <c r="M14" s="14"/>
    </row>
    <row r="15" spans="1:13" s="52" customFormat="1" ht="50.15" customHeight="1">
      <c r="B15" s="160" t="s">
        <v>97</v>
      </c>
      <c r="C15" s="165"/>
      <c r="E15" s="38"/>
      <c r="F15" s="166"/>
      <c r="G15" s="38"/>
      <c r="H15" s="166"/>
      <c r="I15" s="38"/>
      <c r="J15" s="166"/>
      <c r="K15" s="38"/>
      <c r="L15" s="166"/>
      <c r="M15" s="38"/>
    </row>
    <row r="16" spans="1:13" ht="15" customHeight="1">
      <c r="A16" s="52"/>
      <c r="B16" s="164"/>
      <c r="C16" s="165"/>
      <c r="E16" s="52"/>
      <c r="G16" s="52"/>
      <c r="I16" s="52"/>
      <c r="J16" s="52"/>
      <c r="K16" s="52"/>
      <c r="L16" s="52"/>
      <c r="M16" s="52"/>
    </row>
    <row r="17" spans="1:13" ht="15" customHeight="1">
      <c r="A17" s="52"/>
      <c r="B17" s="164" t="s">
        <v>98</v>
      </c>
      <c r="C17" s="18"/>
      <c r="D17" s="163"/>
      <c r="E17" s="163"/>
      <c r="F17" s="163"/>
      <c r="G17" s="52"/>
      <c r="I17" s="52"/>
      <c r="J17" s="52"/>
      <c r="K17" s="52"/>
      <c r="L17" s="52"/>
      <c r="M17" s="52"/>
    </row>
    <row r="18" spans="1:13" ht="15" customHeight="1">
      <c r="A18" s="52"/>
      <c r="B18" s="164"/>
      <c r="C18" s="165"/>
      <c r="E18" s="52"/>
      <c r="G18" s="52"/>
      <c r="I18" s="52"/>
      <c r="J18" s="52"/>
      <c r="K18" s="52"/>
      <c r="L18" s="52"/>
      <c r="M18" s="52"/>
    </row>
    <row r="19" spans="1:13" ht="15" customHeight="1">
      <c r="A19" s="52"/>
      <c r="B19" s="164" t="s">
        <v>10</v>
      </c>
      <c r="C19" s="19"/>
      <c r="E19" s="52"/>
      <c r="G19" s="52"/>
      <c r="I19" s="52"/>
      <c r="J19" s="52"/>
      <c r="K19" s="52"/>
      <c r="L19" s="52"/>
      <c r="M19" s="52"/>
    </row>
    <row r="20" spans="1:13" ht="15" customHeight="1">
      <c r="A20" s="52"/>
      <c r="B20" s="164"/>
      <c r="C20" s="165"/>
      <c r="E20" s="52"/>
      <c r="G20" s="52"/>
      <c r="I20" s="52"/>
      <c r="J20" s="52"/>
      <c r="K20" s="52"/>
      <c r="L20" s="52"/>
      <c r="M20" s="52"/>
    </row>
    <row r="21" spans="1:13" ht="15" customHeight="1">
      <c r="A21" s="52"/>
      <c r="B21" s="52"/>
      <c r="C21" s="147"/>
      <c r="E21" s="52"/>
      <c r="G21" s="52"/>
      <c r="I21" s="52"/>
      <c r="J21" s="52"/>
      <c r="K21" s="52"/>
      <c r="L21" s="52"/>
      <c r="M21" s="52"/>
    </row>
    <row r="22" spans="1:13" ht="15" customHeight="1">
      <c r="A22" s="52"/>
      <c r="B22" s="52"/>
      <c r="C22" s="147"/>
      <c r="E22" s="52"/>
      <c r="G22" s="52"/>
      <c r="I22" s="52"/>
      <c r="J22" s="52"/>
      <c r="K22" s="52"/>
      <c r="L22" s="52"/>
      <c r="M22" s="52"/>
    </row>
    <row r="23" spans="1:13" ht="15" customHeight="1">
      <c r="A23" s="52"/>
      <c r="B23" s="52"/>
      <c r="C23" s="147"/>
      <c r="E23" s="52"/>
      <c r="G23" s="52"/>
      <c r="I23" s="52"/>
      <c r="J23" s="52"/>
      <c r="K23" s="52"/>
      <c r="L23" s="52"/>
      <c r="M23" s="52"/>
    </row>
    <row r="24" spans="1:13" ht="15" customHeight="1">
      <c r="B24" s="52"/>
      <c r="C24" s="147"/>
      <c r="E24" s="52"/>
      <c r="G24" s="52"/>
      <c r="I24" s="52"/>
      <c r="J24" s="52"/>
      <c r="K24" s="52"/>
      <c r="L24" s="52"/>
      <c r="M24" s="52"/>
    </row>
  </sheetData>
  <conditionalFormatting sqref="N15:XFD15 F15 B15:D15 H15 J15 L15">
    <cfRule type="colorScale" priority="1">
      <colorScale>
        <cfvo type="min"/>
        <cfvo type="percent" val="50"/>
        <cfvo type="max"/>
        <color rgb="FF63BE7B"/>
        <color rgb="FFFFEB84"/>
        <color rgb="FFF8696B"/>
      </colorScale>
    </cfRule>
  </conditionalFormatting>
  <pageMargins left="0.25" right="0.25" top="0.75" bottom="0.75" header="0.3" footer="0.3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fff1d0-876d-48ea-a5b9-da24528f4fc4" xsi:nil="true"/>
    <lcf76f155ced4ddcb4097134ff3c332f xmlns="6de8d4d7-79e7-4ddf-94df-4f189e00746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B913DE11535B49A25E6D870EDD2AAE" ma:contentTypeVersion="13" ma:contentTypeDescription="Een nieuw document maken." ma:contentTypeScope="" ma:versionID="e581a6780cdfb2e0f3eb77a30e707d13">
  <xsd:schema xmlns:xsd="http://www.w3.org/2001/XMLSchema" xmlns:xs="http://www.w3.org/2001/XMLSchema" xmlns:p="http://schemas.microsoft.com/office/2006/metadata/properties" xmlns:ns2="6de8d4d7-79e7-4ddf-94df-4f189e007464" xmlns:ns3="37fff1d0-876d-48ea-a5b9-da24528f4fc4" targetNamespace="http://schemas.microsoft.com/office/2006/metadata/properties" ma:root="true" ma:fieldsID="b1f708562850ad6c249a755053778a5d" ns2:_="" ns3:_="">
    <xsd:import namespace="6de8d4d7-79e7-4ddf-94df-4f189e007464"/>
    <xsd:import namespace="37fff1d0-876d-48ea-a5b9-da24528f4f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8d4d7-79e7-4ddf-94df-4f189e007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ff1d0-876d-48ea-a5b9-da24528f4f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286473-a2ad-4bd5-bc66-d4cfc559b4c0}" ma:internalName="TaxCatchAll" ma:showField="CatchAllData" ma:web="37fff1d0-876d-48ea-a5b9-da24528f4f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F29C01-931F-4E9C-B012-4CD8EE32A7C4}">
  <ds:schemaRefs>
    <ds:schemaRef ds:uri="http://purl.org/dc/elements/1.1/"/>
    <ds:schemaRef ds:uri="6de8d4d7-79e7-4ddf-94df-4f189e007464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37fff1d0-876d-48ea-a5b9-da24528f4fc4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BCD7BB-514D-4FDD-8CC8-52E80F3C6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e8d4d7-79e7-4ddf-94df-4f189e007464"/>
    <ds:schemaRef ds:uri="37fff1d0-876d-48ea-a5b9-da24528f4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C4BC82-6445-4A66-806C-B3CCCDBCA8B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3ec39e8-aec4-4585-9457-4b7f7d82af96}" enabled="0" method="" siteId="{f3ec39e8-aec4-4585-9457-4b7f7d82af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31</vt:i4>
      </vt:variant>
    </vt:vector>
  </HeadingPairs>
  <TitlesOfParts>
    <vt:vector size="36" baseType="lpstr">
      <vt:lpstr>fictieve meerwaarde &amp; eisen</vt:lpstr>
      <vt:lpstr>materieelinzetplan</vt:lpstr>
      <vt:lpstr>subsidie</vt:lpstr>
      <vt:lpstr>machinelijst</vt:lpstr>
      <vt:lpstr>beoordeling</vt:lpstr>
      <vt:lpstr>beoordeling!Afdrukbereik</vt:lpstr>
      <vt:lpstr>'fictieve meerwaarde &amp; eisen'!Afdrukbereik_FictieveMeerwaarde</vt:lpstr>
      <vt:lpstr>materieelinzetplan!Afdrukbereik_Materieelinzetplan</vt:lpstr>
      <vt:lpstr>subsidie!Afdrukbereik_Subsidie</vt:lpstr>
      <vt:lpstr>energie_Bedrijfsauto</vt:lpstr>
      <vt:lpstr>energie_Transport</vt:lpstr>
      <vt:lpstr>energie_Werktuigen</vt:lpstr>
      <vt:lpstr>geenToegangZEzone</vt:lpstr>
      <vt:lpstr>groslijsten</vt:lpstr>
      <vt:lpstr>gunning_werktuigen_2027</vt:lpstr>
      <vt:lpstr>gunning_werktuigen_2028</vt:lpstr>
      <vt:lpstr>lijst_aggregaten_batterijpakketten</vt:lpstr>
      <vt:lpstr>lijst_DClaadstation</vt:lpstr>
      <vt:lpstr>lijst_Transport</vt:lpstr>
      <vt:lpstr>lijst_Werktuigen</vt:lpstr>
      <vt:lpstr>motor_Bedrijfsauto</vt:lpstr>
      <vt:lpstr>motor_Transport</vt:lpstr>
      <vt:lpstr>motor_Werktuigen</vt:lpstr>
      <vt:lpstr>stageVmotor</vt:lpstr>
      <vt:lpstr>subsidie_batterijen</vt:lpstr>
      <vt:lpstr>subsidie_gereedschappen</vt:lpstr>
      <vt:lpstr>subsidie_laadstation</vt:lpstr>
      <vt:lpstr>subsidie_Transport</vt:lpstr>
      <vt:lpstr>subsidie_Werktuigen</vt:lpstr>
      <vt:lpstr>vermogenklasse_eisen_2027</vt:lpstr>
      <vt:lpstr>vermogensklasse</vt:lpstr>
      <vt:lpstr>vermogensklasse56tot130kW</vt:lpstr>
      <vt:lpstr>voldoet_geenFM_2027</vt:lpstr>
      <vt:lpstr>voldoet_geenFM_2028</vt:lpstr>
      <vt:lpstr>voldoet_niet</vt:lpstr>
      <vt:lpstr>voldoet_niet_2028</vt:lpstr>
    </vt:vector>
  </TitlesOfParts>
  <Manager/>
  <Company>Gemeente Eindhoven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Vieve Smulders</dc:creator>
  <cp:keywords/>
  <dc:description/>
  <cp:lastModifiedBy>Jan Ottens</cp:lastModifiedBy>
  <cp:revision/>
  <cp:lastPrinted>2026-09-21T15:38:06Z</cp:lastPrinted>
  <dcterms:created xsi:type="dcterms:W3CDTF">2020-05-26T14:06:55Z</dcterms:created>
  <dcterms:modified xsi:type="dcterms:W3CDTF">2026-10-26T14:52:36Z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0x01010015B913DE11535B49A25E6D870EDD2AAE</vt:lpwstr>
  </property>
  <property fmtid="{D5CDD505-2E9C-101B-9397-08002B2CF9AE}" pid="3" name="MediaServiceImageTags">
    <vt:lpwstr/>
  </property>
</Properties>
</file>