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DATA\EXTERN\Waterschap Vallei &amp; Veluwe\Aanbesteding schoonmaak 2026\Uitlever\"/>
    </mc:Choice>
  </mc:AlternateContent>
  <xr:revisionPtr revIDLastSave="0" documentId="8_{E58DF46C-911E-4823-B65A-325DE2585F31}" xr6:coauthVersionLast="47" xr6:coauthVersionMax="47" xr10:uidLastSave="{00000000-0000-0000-0000-000000000000}"/>
  <bookViews>
    <workbookView xWindow="32505" yWindow="2340" windowWidth="21600" windowHeight="11295" firstSheet="5" activeTab="14" xr2:uid="{084033A1-956D-4688-A1A2-02B7C1AC6853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dditioneel werk per locatie" sheetId="10" r:id="rId10"/>
    <sheet name="Afroep incidenteel" sheetId="11" r:id="rId11"/>
    <sheet name="Regiewerk" sheetId="12" r:id="rId12"/>
    <sheet name="Glas" sheetId="13" r:id="rId13"/>
    <sheet name="Glas per locatie" sheetId="14" r:id="rId14"/>
    <sheet name="Totaal" sheetId="15" r:id="rId15"/>
  </sheets>
  <definedNames>
    <definedName name="_xlnm._FilterDatabase" localSheetId="4" hidden="1">'Ruimten werkdag'!$A$3:$T$894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'Afroep incidenteel'!$1:$3</definedName>
    <definedName name="_xlnm.Print_Titles" localSheetId="2">Categorienormen!$1:$3</definedName>
    <definedName name="_xlnm.Print_Titles" localSheetId="12">Glas!$1:$3</definedName>
    <definedName name="_xlnm.Print_Titles" localSheetId="13">'Glas per locatie'!$1:$3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11">Regiewerk!$1:$3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4">Totaal!$1:$3</definedName>
    <definedName name="_xlnm.Print_Titles" localSheetId="7">'Totaalblad Objecten'!$1:$3</definedName>
    <definedName name="catdw_1_BBHV_12">Categorienormen!$F$20</definedName>
    <definedName name="catdw_1_BCHB_1">Categorienormen!$F$6</definedName>
    <definedName name="catdw_1_BCHV_51">Categorienormen!$F$7</definedName>
    <definedName name="catdw_1_BKHB_1">Categorienormen!$F$8</definedName>
    <definedName name="catdw_1_BKHV_51">Categorienormen!$F$9</definedName>
    <definedName name="catdw_1_BKZB_1">Categorienormen!$F$10</definedName>
    <definedName name="catdw_1_BKZV_51">Categorienormen!$F$11</definedName>
    <definedName name="catdw_1_BRHB_1">Categorienormen!$F$12</definedName>
    <definedName name="catdw_1_BRHV_51">Categorienormen!$F$13</definedName>
    <definedName name="catdw_1_BVHB_1">Categorienormen!$F$14</definedName>
    <definedName name="catdw_1_BVHV_51">Categorienormen!$F$15</definedName>
    <definedName name="catdw_1_BVZB_1">Categorienormen!$F$16</definedName>
    <definedName name="catdw_1_BVZV_51">Categorienormen!$F$17</definedName>
    <definedName name="catdw_1_EAHB_1">Categorienormen!$F$34</definedName>
    <definedName name="catdw_1_EAHV_51">Categorienormen!$F$35</definedName>
    <definedName name="catdw_1_ERHV_1">Categorienormen!$F$36</definedName>
    <definedName name="catdw_1_LAHB_1">Categorienormen!$F$18</definedName>
    <definedName name="catdw_1_LAHV_51">Categorienormen!$F$19</definedName>
    <definedName name="catdw_1_MAHB_1">Categorienormen!$F$37</definedName>
    <definedName name="catdw_1_MAHV_51">Categorienormen!$F$38</definedName>
    <definedName name="catdw_1_MAZV_1">Categorienormen!$F$39</definedName>
    <definedName name="catdw_1_MAZV_12">Categorienormen!$F$40</definedName>
    <definedName name="catdw_1_MAZV_51">Categorienormen!$F$41</definedName>
    <definedName name="catdw_1_RKHB_1">Categorienormen!$F$42</definedName>
    <definedName name="catdw_1_RKHV_51">Categorienormen!$F$43</definedName>
    <definedName name="catdw_1_RPHB_1">Categorienormen!$F$44</definedName>
    <definedName name="catdw_1_RPHV_2">Categorienormen!$F$45</definedName>
    <definedName name="catdw_1_RPHV_4">Categorienormen!$F$46</definedName>
    <definedName name="catdw_1_RPHV_51">Categorienormen!$F$47</definedName>
    <definedName name="catdw_1_RRHB_1">Categorienormen!$F$48</definedName>
    <definedName name="catdw_1_RRHV_4">Categorienormen!$F$49</definedName>
    <definedName name="catdw_1_RRHV_51">Categorienormen!$F$50</definedName>
    <definedName name="catdw_1_RRZB_1">Categorienormen!$F$51</definedName>
    <definedName name="catdw_1_RRZV_51">Categorienormen!$F$52</definedName>
    <definedName name="catdw_1_SDHB_1">Categorienormen!$F$22</definedName>
    <definedName name="catdw_1_SDHV_51">Categorienormen!$F$23</definedName>
    <definedName name="catdw_1_SKHB_1">Categorienormen!$F$24</definedName>
    <definedName name="catdw_1_SKHV_51">Categorienormen!$F$25</definedName>
    <definedName name="catdw_1_STHB_1">Categorienormen!$F$26</definedName>
    <definedName name="catdw_1_STHV_12">Categorienormen!$F$29</definedName>
    <definedName name="catdw_1_STHV_2">Categorienormen!$F$27</definedName>
    <definedName name="catdw_1_STHV_26">Categorienormen!$F$30</definedName>
    <definedName name="catdw_1_STHV_4">Categorienormen!$F$28</definedName>
    <definedName name="catdw_1_STHV_51">Categorienormen!$F$31</definedName>
    <definedName name="catdw_1_SWHB_1">Categorienormen!$F$32</definedName>
    <definedName name="catdw_1_SWHV_51">Categorienormen!$F$33</definedName>
    <definedName name="catdw_1_VAHB_1">Categorienormen!$F$53</definedName>
    <definedName name="catdw_1_VAHV_2">Categorienormen!$F$54</definedName>
    <definedName name="catdw_1_VAHV_51">Categorienormen!$F$55</definedName>
    <definedName name="catdw_1_VAZB_1">Categorienormen!$F$56</definedName>
    <definedName name="catdw_1_VAZV_51">Categorienormen!$F$57</definedName>
    <definedName name="catdw_1_VBHV_10">Categorienormen!$F$21</definedName>
    <definedName name="catdw_1_VEHB_1">Categorienormen!$F$58</definedName>
    <definedName name="catdw_1_VEHV_51">Categorienormen!$F$59</definedName>
    <definedName name="catdw_1_VEZB_1">Categorienormen!$F$60</definedName>
    <definedName name="catdw_1_VEZV_51">Categorienormen!$F$61</definedName>
    <definedName name="catdw_1_VLHB_1">Categorienormen!$F$62</definedName>
    <definedName name="catdw_1_VLHV_51">Categorienormen!$F$63</definedName>
    <definedName name="catdw_1_VOHB_1">Categorienormen!$F$64</definedName>
    <definedName name="catdw_1_VOHV_12">Categorienormen!$F$65</definedName>
    <definedName name="catdw_1_VOHV_51">Categorienormen!$F$66</definedName>
    <definedName name="catdw_1_VOZB_1">Categorienormen!$F$67</definedName>
    <definedName name="catdw_1_VOZV_51">Categorienormen!$F$68</definedName>
    <definedName name="catdw_1_VRHV_4">Categorienormen!$F$69</definedName>
    <definedName name="catdw_1_VTHB_1">Categorienormen!$F$70</definedName>
    <definedName name="catdw_1_VTHV_12">Categorienormen!$F$73</definedName>
    <definedName name="catdw_1_VTHV_2">Categorienormen!$F$71</definedName>
    <definedName name="catdw_1_VTHV_4">Categorienormen!$F$72</definedName>
    <definedName name="catdw_1_VTHV_51">Categorienormen!$F$74</definedName>
    <definedName name="catdw_1_VTZB_1">Categorienormen!$F$75</definedName>
    <definedName name="catdw_1_VTZV_51">Categorienormen!$F$76</definedName>
    <definedName name="catfd_1_BBHV_12">Categorienormen!$C$20</definedName>
    <definedName name="catfd_1_BCHB_1">Categorienormen!$C$6</definedName>
    <definedName name="catfd_1_BCHV_51">Categorienormen!$C$7</definedName>
    <definedName name="catfd_1_BKHB_1">Categorienormen!$C$8</definedName>
    <definedName name="catfd_1_BKHV_51">Categorienormen!$C$9</definedName>
    <definedName name="catfd_1_BKZB_1">Categorienormen!$C$10</definedName>
    <definedName name="catfd_1_BKZV_51">Categorienormen!$C$11</definedName>
    <definedName name="catfd_1_BRHB_1">Categorienormen!$C$12</definedName>
    <definedName name="catfd_1_BRHV_51">Categorienormen!$C$13</definedName>
    <definedName name="catfd_1_BVHB_1">Categorienormen!$C$14</definedName>
    <definedName name="catfd_1_BVHV_51">Categorienormen!$C$15</definedName>
    <definedName name="catfd_1_BVZB_1">Categorienormen!$C$16</definedName>
    <definedName name="catfd_1_BVZV_51">Categorienormen!$C$17</definedName>
    <definedName name="catfd_1_EAHB_1">Categorienormen!$C$34</definedName>
    <definedName name="catfd_1_EAHV_51">Categorienormen!$C$35</definedName>
    <definedName name="catfd_1_ERHV_1">Categorienormen!$C$36</definedName>
    <definedName name="catfd_1_LAHB_1">Categorienormen!$C$18</definedName>
    <definedName name="catfd_1_LAHV_51">Categorienormen!$C$19</definedName>
    <definedName name="catfd_1_MAHB_1">Categorienormen!$C$37</definedName>
    <definedName name="catfd_1_MAHV_51">Categorienormen!$C$38</definedName>
    <definedName name="catfd_1_MAZV_1">Categorienormen!$C$39</definedName>
    <definedName name="catfd_1_MAZV_12">Categorienormen!$C$40</definedName>
    <definedName name="catfd_1_MAZV_51">Categorienormen!$C$41</definedName>
    <definedName name="catfd_1_RKHB_1">Categorienormen!$C$42</definedName>
    <definedName name="catfd_1_RKHV_51">Categorienormen!$C$43</definedName>
    <definedName name="catfd_1_RPHB_1">Categorienormen!$C$44</definedName>
    <definedName name="catfd_1_RPHV_2">Categorienormen!$C$45</definedName>
    <definedName name="catfd_1_RPHV_4">Categorienormen!$C$46</definedName>
    <definedName name="catfd_1_RPHV_51">Categorienormen!$C$47</definedName>
    <definedName name="catfd_1_RRHB_1">Categorienormen!$C$48</definedName>
    <definedName name="catfd_1_RRHV_4">Categorienormen!$C$49</definedName>
    <definedName name="catfd_1_RRHV_51">Categorienormen!$C$50</definedName>
    <definedName name="catfd_1_RRZB_1">Categorienormen!$C$51</definedName>
    <definedName name="catfd_1_RRZV_51">Categorienormen!$C$52</definedName>
    <definedName name="catfd_1_SDHB_1">Categorienormen!$C$22</definedName>
    <definedName name="catfd_1_SDHV_51">Categorienormen!$C$23</definedName>
    <definedName name="catfd_1_SKHB_1">Categorienormen!$C$24</definedName>
    <definedName name="catfd_1_SKHV_51">Categorienormen!$C$25</definedName>
    <definedName name="catfd_1_STHB_1">Categorienormen!$C$26</definedName>
    <definedName name="catfd_1_STHV_12">Categorienormen!$C$29</definedName>
    <definedName name="catfd_1_STHV_2">Categorienormen!$C$27</definedName>
    <definedName name="catfd_1_STHV_26">Categorienormen!$C$30</definedName>
    <definedName name="catfd_1_STHV_4">Categorienormen!$C$28</definedName>
    <definedName name="catfd_1_STHV_51">Categorienormen!$C$31</definedName>
    <definedName name="catfd_1_SWHB_1">Categorienormen!$C$32</definedName>
    <definedName name="catfd_1_SWHV_51">Categorienormen!$C$33</definedName>
    <definedName name="catfd_1_VAHB_1">Categorienormen!$C$53</definedName>
    <definedName name="catfd_1_VAHV_2">Categorienormen!$C$54</definedName>
    <definedName name="catfd_1_VAHV_51">Categorienormen!$C$55</definedName>
    <definedName name="catfd_1_VAZB_1">Categorienormen!$C$56</definedName>
    <definedName name="catfd_1_VAZV_51">Categorienormen!$C$57</definedName>
    <definedName name="catfd_1_VBHV_10">Categorienormen!$C$21</definedName>
    <definedName name="catfd_1_VEHB_1">Categorienormen!$C$58</definedName>
    <definedName name="catfd_1_VEHV_51">Categorienormen!$C$59</definedName>
    <definedName name="catfd_1_VEZB_1">Categorienormen!$C$60</definedName>
    <definedName name="catfd_1_VEZV_51">Categorienormen!$C$61</definedName>
    <definedName name="catfd_1_VLHB_1">Categorienormen!$C$62</definedName>
    <definedName name="catfd_1_VLHV_51">Categorienormen!$C$63</definedName>
    <definedName name="catfd_1_VOHB_1">Categorienormen!$C$64</definedName>
    <definedName name="catfd_1_VOHV_12">Categorienormen!$C$65</definedName>
    <definedName name="catfd_1_VOHV_51">Categorienormen!$C$66</definedName>
    <definedName name="catfd_1_VOZB_1">Categorienormen!$C$67</definedName>
    <definedName name="catfd_1_VOZV_51">Categorienormen!$C$68</definedName>
    <definedName name="catfd_1_VRHV_4">Categorienormen!$C$69</definedName>
    <definedName name="catfd_1_VTHB_1">Categorienormen!$C$70</definedName>
    <definedName name="catfd_1_VTHV_12">Categorienormen!$C$73</definedName>
    <definedName name="catfd_1_VTHV_2">Categorienormen!$C$71</definedName>
    <definedName name="catfd_1_VTHV_4">Categorienormen!$C$72</definedName>
    <definedName name="catfd_1_VTHV_51">Categorienormen!$C$74</definedName>
    <definedName name="catfd_1_VTZB_1">Categorienormen!$C$75</definedName>
    <definedName name="catfd_1_VTZV_51">Categorienormen!$C$76</definedName>
    <definedName name="catpn_1_BBHV_12">Categorienormen!$E$20</definedName>
    <definedName name="catpn_1_BCHB_1">Categorienormen!$E$6</definedName>
    <definedName name="catpn_1_BCHV_51">Categorienormen!$E$7</definedName>
    <definedName name="catpn_1_BKHB_1">Categorienormen!$E$8</definedName>
    <definedName name="catpn_1_BKHV_51">Categorienormen!$E$9</definedName>
    <definedName name="catpn_1_BKZB_1">Categorienormen!$E$10</definedName>
    <definedName name="catpn_1_BKZV_51">Categorienormen!$E$11</definedName>
    <definedName name="catpn_1_BRHB_1">Categorienormen!$E$12</definedName>
    <definedName name="catpn_1_BRHV_51">Categorienormen!$E$13</definedName>
    <definedName name="catpn_1_BVHB_1">Categorienormen!$E$14</definedName>
    <definedName name="catpn_1_BVHV_51">Categorienormen!$E$15</definedName>
    <definedName name="catpn_1_BVZB_1">Categorienormen!$E$16</definedName>
    <definedName name="catpn_1_BVZV_51">Categorienormen!$E$17</definedName>
    <definedName name="catpn_1_EAHB_1">Categorienormen!$E$34</definedName>
    <definedName name="catpn_1_EAHV_51">Categorienormen!$E$35</definedName>
    <definedName name="catpn_1_ERHV_1">Categorienormen!$E$36</definedName>
    <definedName name="catpn_1_LAHB_1">Categorienormen!$E$18</definedName>
    <definedName name="catpn_1_LAHV_51">Categorienormen!$E$19</definedName>
    <definedName name="catpn_1_MAHB_1">Categorienormen!$E$37</definedName>
    <definedName name="catpn_1_MAHV_51">Categorienormen!$E$38</definedName>
    <definedName name="catpn_1_MAZV_1">Categorienormen!$E$39</definedName>
    <definedName name="catpn_1_MAZV_12">Categorienormen!$E$40</definedName>
    <definedName name="catpn_1_MAZV_51">Categorienormen!$E$41</definedName>
    <definedName name="catpn_1_RKHB_1">Categorienormen!$E$42</definedName>
    <definedName name="catpn_1_RKHV_51">Categorienormen!$E$43</definedName>
    <definedName name="catpn_1_RPHB_1">Categorienormen!$E$44</definedName>
    <definedName name="catpn_1_RPHV_2">Categorienormen!$E$45</definedName>
    <definedName name="catpn_1_RPHV_4">Categorienormen!$E$46</definedName>
    <definedName name="catpn_1_RPHV_51">Categorienormen!$E$47</definedName>
    <definedName name="catpn_1_RRHB_1">Categorienormen!$E$48</definedName>
    <definedName name="catpn_1_RRHV_4">Categorienormen!$E$49</definedName>
    <definedName name="catpn_1_RRHV_51">Categorienormen!$E$50</definedName>
    <definedName name="catpn_1_RRZB_1">Categorienormen!$E$51</definedName>
    <definedName name="catpn_1_RRZV_51">Categorienormen!$E$52</definedName>
    <definedName name="catpn_1_SDHB_1">Categorienormen!$E$22</definedName>
    <definedName name="catpn_1_SDHV_51">Categorienormen!$E$23</definedName>
    <definedName name="catpn_1_SKHB_1">Categorienormen!$E$24</definedName>
    <definedName name="catpn_1_SKHV_51">Categorienormen!$E$25</definedName>
    <definedName name="catpn_1_STHB_1">Categorienormen!$E$26</definedName>
    <definedName name="catpn_1_STHV_12">Categorienormen!$E$29</definedName>
    <definedName name="catpn_1_STHV_2">Categorienormen!$E$27</definedName>
    <definedName name="catpn_1_STHV_26">Categorienormen!$E$30</definedName>
    <definedName name="catpn_1_STHV_4">Categorienormen!$E$28</definedName>
    <definedName name="catpn_1_STHV_51">Categorienormen!$E$31</definedName>
    <definedName name="catpn_1_SWHB_1">Categorienormen!$E$32</definedName>
    <definedName name="catpn_1_SWHV_51">Categorienormen!$E$33</definedName>
    <definedName name="catpn_1_VAHB_1">Categorienormen!$E$53</definedName>
    <definedName name="catpn_1_VAHV_2">Categorienormen!$E$54</definedName>
    <definedName name="catpn_1_VAHV_51">Categorienormen!$E$55</definedName>
    <definedName name="catpn_1_VAZB_1">Categorienormen!$E$56</definedName>
    <definedName name="catpn_1_VAZV_51">Categorienormen!$E$57</definedName>
    <definedName name="catpn_1_VBHV_10">Categorienormen!$E$21</definedName>
    <definedName name="catpn_1_VEHB_1">Categorienormen!$E$58</definedName>
    <definedName name="catpn_1_VEHV_51">Categorienormen!$E$59</definedName>
    <definedName name="catpn_1_VEZB_1">Categorienormen!$E$60</definedName>
    <definedName name="catpn_1_VEZV_51">Categorienormen!$E$61</definedName>
    <definedName name="catpn_1_VLHB_1">Categorienormen!$E$62</definedName>
    <definedName name="catpn_1_VLHV_51">Categorienormen!$E$63</definedName>
    <definedName name="catpn_1_VOHB_1">Categorienormen!$E$64</definedName>
    <definedName name="catpn_1_VOHV_12">Categorienormen!$E$65</definedName>
    <definedName name="catpn_1_VOHV_51">Categorienormen!$E$66</definedName>
    <definedName name="catpn_1_VOZB_1">Categorienormen!$E$67</definedName>
    <definedName name="catpn_1_VOZV_51">Categorienormen!$E$68</definedName>
    <definedName name="catpn_1_VRHV_4">Categorienormen!$E$69</definedName>
    <definedName name="catpn_1_VTHB_1">Categorienormen!$E$70</definedName>
    <definedName name="catpn_1_VTHV_12">Categorienormen!$E$73</definedName>
    <definedName name="catpn_1_VTHV_2">Categorienormen!$E$71</definedName>
    <definedName name="catpn_1_VTHV_4">Categorienormen!$E$72</definedName>
    <definedName name="catpn_1_VTHV_51">Categorienormen!$E$74</definedName>
    <definedName name="catpn_1_VTZB_1">Categorienormen!$E$75</definedName>
    <definedName name="catpn_1_VTZV_51">Categorienormen!$E$76</definedName>
    <definedName name="cattf_1_BBHV_12">Categorienormen!$H$20</definedName>
    <definedName name="cattf_1_BCHB_1">Categorienormen!$H$6</definedName>
    <definedName name="cattf_1_BCHV_51">Categorienormen!$H$7</definedName>
    <definedName name="cattf_1_BKHB_1">Categorienormen!$H$8</definedName>
    <definedName name="cattf_1_BKHV_51">Categorienormen!$H$9</definedName>
    <definedName name="cattf_1_BKZB_1">Categorienormen!$H$10</definedName>
    <definedName name="cattf_1_BKZV_51">Categorienormen!$H$11</definedName>
    <definedName name="cattf_1_BRHB_1">Categorienormen!$H$12</definedName>
    <definedName name="cattf_1_BRHV_51">Categorienormen!$H$13</definedName>
    <definedName name="cattf_1_BVHB_1">Categorienormen!$H$14</definedName>
    <definedName name="cattf_1_BVHV_51">Categorienormen!$H$15</definedName>
    <definedName name="cattf_1_BVZB_1">Categorienormen!$H$16</definedName>
    <definedName name="cattf_1_BVZV_51">Categorienormen!$H$17</definedName>
    <definedName name="cattf_1_EAHB_1">Categorienormen!$H$34</definedName>
    <definedName name="cattf_1_EAHV_51">Categorienormen!$H$35</definedName>
    <definedName name="cattf_1_ERHV_1">Categorienormen!$H$36</definedName>
    <definedName name="cattf_1_LAHB_1">Categorienormen!$H$18</definedName>
    <definedName name="cattf_1_LAHV_51">Categorienormen!$H$19</definedName>
    <definedName name="cattf_1_MAHB_1">Categorienormen!$H$37</definedName>
    <definedName name="cattf_1_MAHV_51">Categorienormen!$H$38</definedName>
    <definedName name="cattf_1_MAZV_1">Categorienormen!$H$39</definedName>
    <definedName name="cattf_1_MAZV_12">Categorienormen!$H$40</definedName>
    <definedName name="cattf_1_MAZV_51">Categorienormen!$H$41</definedName>
    <definedName name="cattf_1_RKHB_1">Categorienormen!$H$42</definedName>
    <definedName name="cattf_1_RKHV_51">Categorienormen!$H$43</definedName>
    <definedName name="cattf_1_RPHB_1">Categorienormen!$H$44</definedName>
    <definedName name="cattf_1_RPHV_2">Categorienormen!$H$45</definedName>
    <definedName name="cattf_1_RPHV_4">Categorienormen!$H$46</definedName>
    <definedName name="cattf_1_RPHV_51">Categorienormen!$H$47</definedName>
    <definedName name="cattf_1_RRHB_1">Categorienormen!$H$48</definedName>
    <definedName name="cattf_1_RRHV_4">Categorienormen!$H$49</definedName>
    <definedName name="cattf_1_RRHV_51">Categorienormen!$H$50</definedName>
    <definedName name="cattf_1_RRZB_1">Categorienormen!$H$51</definedName>
    <definedName name="cattf_1_RRZV_51">Categorienormen!$H$52</definedName>
    <definedName name="cattf_1_SDHB_1">Categorienormen!$H$22</definedName>
    <definedName name="cattf_1_SDHV_51">Categorienormen!$H$23</definedName>
    <definedName name="cattf_1_SKHB_1">Categorienormen!$H$24</definedName>
    <definedName name="cattf_1_SKHV_51">Categorienormen!$H$25</definedName>
    <definedName name="cattf_1_STHB_1">Categorienormen!$H$26</definedName>
    <definedName name="cattf_1_STHV_12">Categorienormen!$H$29</definedName>
    <definedName name="cattf_1_STHV_2">Categorienormen!$H$27</definedName>
    <definedName name="cattf_1_STHV_26">Categorienormen!$H$30</definedName>
    <definedName name="cattf_1_STHV_4">Categorienormen!$H$28</definedName>
    <definedName name="cattf_1_STHV_51">Categorienormen!$H$31</definedName>
    <definedName name="cattf_1_SWHB_1">Categorienormen!$H$32</definedName>
    <definedName name="cattf_1_SWHV_51">Categorienormen!$H$33</definedName>
    <definedName name="cattf_1_VAHB_1">Categorienormen!$H$53</definedName>
    <definedName name="cattf_1_VAHV_2">Categorienormen!$H$54</definedName>
    <definedName name="cattf_1_VAHV_51">Categorienormen!$H$55</definedName>
    <definedName name="cattf_1_VAZB_1">Categorienormen!$H$56</definedName>
    <definedName name="cattf_1_VAZV_51">Categorienormen!$H$57</definedName>
    <definedName name="cattf_1_VBHV_10">Categorienormen!$H$21</definedName>
    <definedName name="cattf_1_VEHB_1">Categorienormen!$H$58</definedName>
    <definedName name="cattf_1_VEHV_51">Categorienormen!$H$59</definedName>
    <definedName name="cattf_1_VEZB_1">Categorienormen!$H$60</definedName>
    <definedName name="cattf_1_VEZV_51">Categorienormen!$H$61</definedName>
    <definedName name="cattf_1_VLHB_1">Categorienormen!$H$62</definedName>
    <definedName name="cattf_1_VLHV_51">Categorienormen!$H$63</definedName>
    <definedName name="cattf_1_VOHB_1">Categorienormen!$H$64</definedName>
    <definedName name="cattf_1_VOHV_12">Categorienormen!$H$65</definedName>
    <definedName name="cattf_1_VOHV_51">Categorienormen!$H$66</definedName>
    <definedName name="cattf_1_VOZB_1">Categorienormen!$H$67</definedName>
    <definedName name="cattf_1_VOZV_51">Categorienormen!$H$68</definedName>
    <definedName name="cattf_1_VRHV_4">Categorienormen!$H$69</definedName>
    <definedName name="cattf_1_VTHB_1">Categorienormen!$H$70</definedName>
    <definedName name="cattf_1_VTHV_12">Categorienormen!$H$73</definedName>
    <definedName name="cattf_1_VTHV_2">Categorienormen!$H$71</definedName>
    <definedName name="cattf_1_VTHV_4">Categorienormen!$H$72</definedName>
    <definedName name="cattf_1_VTHV_51">Categorienormen!$H$74</definedName>
    <definedName name="cattf_1_VTZB_1">Categorienormen!$H$75</definedName>
    <definedName name="cattf_1_VTZV_51">Categorienormen!$H$76</definedName>
    <definedName name="dagenperjaar1">Omreken!$B$9</definedName>
    <definedName name="dagenperweek1">Omreken!$B$10</definedName>
    <definedName name="dagsoorttabel1">Omreken!$A$13:$B$27</definedName>
    <definedName name="gemuurtarief1">'Regulier werk'!$I$139</definedName>
    <definedName name="kengetaltabel1">Objectinformatie!$G$5:$G$135</definedName>
    <definedName name="object1_gemuurtarief1">'Ruimten werkdag'!$P$199</definedName>
    <definedName name="object1_opptabel1">Objectinformatie!$I$5:$I$135</definedName>
    <definedName name="object1_prijsdag1">'Ruimten werkdag'!$R$199</definedName>
    <definedName name="object1_prijsjaar1">'Ruimten werkdag'!$T$199</definedName>
    <definedName name="object1_urendag1">'Ruimten werkdag'!$Q$199</definedName>
    <definedName name="object1_urenjaar1">'Ruimten werkdag'!$S$199</definedName>
    <definedName name="object10_gemuurtarief1">'Ruimten werkdag'!$P$371</definedName>
    <definedName name="object10_opptabel1">Objectinformatie!$R$5:$R$135</definedName>
    <definedName name="object10_prijsdag1">'Ruimten werkdag'!$R$371</definedName>
    <definedName name="object10_prijsjaar1">'Ruimten werkdag'!$T$371</definedName>
    <definedName name="object10_urendag1">'Ruimten werkdag'!$Q$371</definedName>
    <definedName name="object10_urenjaar1">'Ruimten werkdag'!$S$371</definedName>
    <definedName name="object11_gemuurtarief1">'Ruimten werkdag'!$P$386</definedName>
    <definedName name="object11_opptabel1">Objectinformatie!$S$5:$S$135</definedName>
    <definedName name="object11_prijsdag1">'Ruimten werkdag'!$R$386</definedName>
    <definedName name="object11_prijsjaar1">'Ruimten werkdag'!$T$386</definedName>
    <definedName name="object11_urendag1">'Ruimten werkdag'!$Q$386</definedName>
    <definedName name="object11_urenjaar1">'Ruimten werkdag'!$S$386</definedName>
    <definedName name="object12_gemuurtarief1">'Ruimten werkdag'!$P$401</definedName>
    <definedName name="object12_opptabel1">Objectinformatie!$T$5:$T$135</definedName>
    <definedName name="object12_prijsdag1">'Ruimten werkdag'!$R$401</definedName>
    <definedName name="object12_prijsjaar1">'Ruimten werkdag'!$T$401</definedName>
    <definedName name="object12_urendag1">'Ruimten werkdag'!$Q$401</definedName>
    <definedName name="object12_urenjaar1">'Ruimten werkdag'!$S$401</definedName>
    <definedName name="object13_gemuurtarief1">'Ruimten werkdag'!$P$424</definedName>
    <definedName name="object13_opptabel1">Objectinformatie!$U$5:$U$135</definedName>
    <definedName name="object13_prijsdag1">'Ruimten werkdag'!$R$424</definedName>
    <definedName name="object13_prijsjaar1">'Ruimten werkdag'!$T$424</definedName>
    <definedName name="object13_urendag1">'Ruimten werkdag'!$Q$424</definedName>
    <definedName name="object13_urenjaar1">'Ruimten werkdag'!$S$424</definedName>
    <definedName name="object14_gemuurtarief1">'Ruimten werkdag'!$P$455</definedName>
    <definedName name="object14_opptabel1">Objectinformatie!$V$5:$V$135</definedName>
    <definedName name="object14_prijsdag1">'Ruimten werkdag'!$R$455</definedName>
    <definedName name="object14_prijsjaar1">'Ruimten werkdag'!$T$455</definedName>
    <definedName name="object14_urendag1">'Ruimten werkdag'!$Q$455</definedName>
    <definedName name="object14_urenjaar1">'Ruimten werkdag'!$S$455</definedName>
    <definedName name="object15_gemuurtarief1">'Ruimten werkdag'!$P$469</definedName>
    <definedName name="object15_opptabel1">Objectinformatie!$W$5:$W$135</definedName>
    <definedName name="object15_prijsdag1">'Ruimten werkdag'!$R$469</definedName>
    <definedName name="object15_prijsjaar1">'Ruimten werkdag'!$T$469</definedName>
    <definedName name="object15_urendag1">'Ruimten werkdag'!$Q$469</definedName>
    <definedName name="object15_urenjaar1">'Ruimten werkdag'!$S$469</definedName>
    <definedName name="object16_gemuurtarief1">'Ruimten werkdag'!$P$477</definedName>
    <definedName name="object16_opptabel1">Objectinformatie!$X$5:$X$135</definedName>
    <definedName name="object16_prijsdag1">'Ruimten werkdag'!$R$477</definedName>
    <definedName name="object16_prijsjaar1">'Ruimten werkdag'!$T$477</definedName>
    <definedName name="object16_urendag1">'Ruimten werkdag'!$Q$477</definedName>
    <definedName name="object16_urenjaar1">'Ruimten werkdag'!$S$477</definedName>
    <definedName name="object17_gemuurtarief1">'Ruimten werkdag'!$P$495</definedName>
    <definedName name="object17_opptabel1">Objectinformatie!$Y$5:$Y$135</definedName>
    <definedName name="object17_prijsdag1">'Ruimten werkdag'!$R$495</definedName>
    <definedName name="object17_prijsjaar1">'Ruimten werkdag'!$T$495</definedName>
    <definedName name="object17_urendag1">'Ruimten werkdag'!$Q$495</definedName>
    <definedName name="object17_urenjaar1">'Ruimten werkdag'!$S$495</definedName>
    <definedName name="object18_gemuurtarief1">'Ruimten werkdag'!$P$508</definedName>
    <definedName name="object18_opptabel1">Objectinformatie!$Z$5:$Z$135</definedName>
    <definedName name="object18_prijsdag1">'Ruimten werkdag'!$R$508</definedName>
    <definedName name="object18_prijsjaar1">'Ruimten werkdag'!$T$508</definedName>
    <definedName name="object18_urendag1">'Ruimten werkdag'!$Q$508</definedName>
    <definedName name="object18_urenjaar1">'Ruimten werkdag'!$S$508</definedName>
    <definedName name="object19_gemuurtarief1">'Ruimten werkdag'!$P$531</definedName>
    <definedName name="object19_opptabel1">Objectinformatie!$AA$5:$AA$135</definedName>
    <definedName name="object19_prijsdag1">'Ruimten werkdag'!$R$531</definedName>
    <definedName name="object19_prijsjaar1">'Ruimten werkdag'!$T$531</definedName>
    <definedName name="object19_urendag1">'Ruimten werkdag'!$Q$531</definedName>
    <definedName name="object19_urenjaar1">'Ruimten werkdag'!$S$531</definedName>
    <definedName name="object2_gemuurtarief1">'Ruimten werkdag'!$P$251</definedName>
    <definedName name="object2_opptabel1">Objectinformatie!$J$5:$J$135</definedName>
    <definedName name="object2_prijsdag1">'Ruimten werkdag'!$R$251</definedName>
    <definedName name="object2_prijsjaar1">'Ruimten werkdag'!$T$251</definedName>
    <definedName name="object2_urendag1">'Ruimten werkdag'!$Q$251</definedName>
    <definedName name="object2_urenjaar1">'Ruimten werkdag'!$S$251</definedName>
    <definedName name="object20_gemuurtarief1">'Ruimten werkdag'!$P$546</definedName>
    <definedName name="object20_opptabel1">Objectinformatie!$AB$5:$AB$135</definedName>
    <definedName name="object20_prijsdag1">'Ruimten werkdag'!$R$546</definedName>
    <definedName name="object20_prijsjaar1">'Ruimten werkdag'!$T$546</definedName>
    <definedName name="object20_urendag1">'Ruimten werkdag'!$Q$546</definedName>
    <definedName name="object20_urenjaar1">'Ruimten werkdag'!$S$546</definedName>
    <definedName name="object21_gemuurtarief1">'Ruimten werkdag'!$P$580</definedName>
    <definedName name="object21_opptabel1">Objectinformatie!$AC$5:$AC$135</definedName>
    <definedName name="object21_prijsdag1">'Ruimten werkdag'!$R$580</definedName>
    <definedName name="object21_prijsjaar1">'Ruimten werkdag'!$T$580</definedName>
    <definedName name="object21_urendag1">'Ruimten werkdag'!$Q$580</definedName>
    <definedName name="object21_urenjaar1">'Ruimten werkdag'!$S$580</definedName>
    <definedName name="object22_gemuurtarief1">'Ruimten werkdag'!$P$594</definedName>
    <definedName name="object22_opptabel1">Objectinformatie!$AD$5:$AD$135</definedName>
    <definedName name="object22_prijsdag1">'Ruimten werkdag'!$R$594</definedName>
    <definedName name="object22_prijsjaar1">'Ruimten werkdag'!$T$594</definedName>
    <definedName name="object22_urendag1">'Ruimten werkdag'!$Q$594</definedName>
    <definedName name="object22_urenjaar1">'Ruimten werkdag'!$S$594</definedName>
    <definedName name="object23_gemuurtarief1">'Ruimten werkdag'!$P$613</definedName>
    <definedName name="object23_opptabel1">Objectinformatie!$AE$5:$AE$135</definedName>
    <definedName name="object23_prijsdag1">'Ruimten werkdag'!$R$613</definedName>
    <definedName name="object23_prijsjaar1">'Ruimten werkdag'!$T$613</definedName>
    <definedName name="object23_urendag1">'Ruimten werkdag'!$Q$613</definedName>
    <definedName name="object23_urenjaar1">'Ruimten werkdag'!$S$613</definedName>
    <definedName name="object24_opptabel1">Objectinformatie!$AF$5:$AF$135</definedName>
    <definedName name="object25_opptabel1">Objectinformatie!$AG$5:$AG$135</definedName>
    <definedName name="object26_opptabel1">Objectinformatie!$AH$5:$AH$135</definedName>
    <definedName name="object27_opptabel1">Objectinformatie!$AI$5:$AI$135</definedName>
    <definedName name="object28_gemuurtarief1">'Ruimten werkdag'!$P$625</definedName>
    <definedName name="object28_opptabel1">Objectinformatie!$AJ$5:$AJ$135</definedName>
    <definedName name="object28_prijsdag1">'Ruimten werkdag'!$R$625</definedName>
    <definedName name="object28_prijsjaar1">'Ruimten werkdag'!$T$625</definedName>
    <definedName name="object28_urendag1">'Ruimten werkdag'!$Q$625</definedName>
    <definedName name="object28_urenjaar1">'Ruimten werkdag'!$S$625</definedName>
    <definedName name="object29_gemuurtarief1">'Ruimten werkdag'!$P$633</definedName>
    <definedName name="object29_opptabel1">Objectinformatie!$AK$5:$AK$135</definedName>
    <definedName name="object29_prijsdag1">'Ruimten werkdag'!$R$633</definedName>
    <definedName name="object29_prijsjaar1">'Ruimten werkdag'!$T$633</definedName>
    <definedName name="object29_urendag1">'Ruimten werkdag'!$Q$633</definedName>
    <definedName name="object29_urenjaar1">'Ruimten werkdag'!$S$633</definedName>
    <definedName name="object3_gemuurtarief1">'Ruimten werkdag'!$P$283</definedName>
    <definedName name="object3_opptabel1">Objectinformatie!$K$5:$K$135</definedName>
    <definedName name="object3_prijsdag1">'Ruimten werkdag'!$R$283</definedName>
    <definedName name="object3_prijsjaar1">'Ruimten werkdag'!$T$283</definedName>
    <definedName name="object3_urendag1">'Ruimten werkdag'!$Q$283</definedName>
    <definedName name="object3_urenjaar1">'Ruimten werkdag'!$S$283</definedName>
    <definedName name="object30_gemuurtarief1">'Ruimten werkdag'!$P$642</definedName>
    <definedName name="object30_opptabel1">Objectinformatie!$AL$5:$AL$135</definedName>
    <definedName name="object30_prijsdag1">'Ruimten werkdag'!$R$642</definedName>
    <definedName name="object30_prijsjaar1">'Ruimten werkdag'!$T$642</definedName>
    <definedName name="object30_urendag1">'Ruimten werkdag'!$Q$642</definedName>
    <definedName name="object30_urenjaar1">'Ruimten werkdag'!$S$642</definedName>
    <definedName name="object31_gemuurtarief1">'Ruimten werkdag'!$P$646</definedName>
    <definedName name="object31_opptabel1">Objectinformatie!$AM$5:$AM$135</definedName>
    <definedName name="object31_prijsdag1">'Ruimten werkdag'!$R$646</definedName>
    <definedName name="object31_prijsjaar1">'Ruimten werkdag'!$T$646</definedName>
    <definedName name="object31_urendag1">'Ruimten werkdag'!$Q$646</definedName>
    <definedName name="object31_urenjaar1">'Ruimten werkdag'!$S$646</definedName>
    <definedName name="object32_opptabel1">Objectinformatie!$AN$5:$AN$135</definedName>
    <definedName name="object33_gemuurtarief1">'Ruimten werkdag'!$P$655</definedName>
    <definedName name="object33_opptabel1">Objectinformatie!$AO$5:$AO$135</definedName>
    <definedName name="object33_prijsdag1">'Ruimten werkdag'!$R$655</definedName>
    <definedName name="object33_prijsjaar1">'Ruimten werkdag'!$T$655</definedName>
    <definedName name="object33_urendag1">'Ruimten werkdag'!$Q$655</definedName>
    <definedName name="object33_urenjaar1">'Ruimten werkdag'!$S$655</definedName>
    <definedName name="object34_gemuurtarief1">'Ruimten werkdag'!$P$673</definedName>
    <definedName name="object34_opptabel1">Objectinformatie!$AP$5:$AP$135</definedName>
    <definedName name="object34_prijsdag1">'Ruimten werkdag'!$R$673</definedName>
    <definedName name="object34_prijsjaar1">'Ruimten werkdag'!$T$673</definedName>
    <definedName name="object34_urendag1">'Ruimten werkdag'!$Q$673</definedName>
    <definedName name="object34_urenjaar1">'Ruimten werkdag'!$S$673</definedName>
    <definedName name="object35_gemuurtarief1">'Ruimten werkdag'!$P$681</definedName>
    <definedName name="object35_opptabel1">Objectinformatie!$AQ$5:$AQ$135</definedName>
    <definedName name="object35_prijsdag1">'Ruimten werkdag'!$R$681</definedName>
    <definedName name="object35_prijsjaar1">'Ruimten werkdag'!$T$681</definedName>
    <definedName name="object35_urendag1">'Ruimten werkdag'!$Q$681</definedName>
    <definedName name="object35_urenjaar1">'Ruimten werkdag'!$S$681</definedName>
    <definedName name="object36_gemuurtarief1">'Ruimten werkdag'!$P$701</definedName>
    <definedName name="object36_opptabel1">Objectinformatie!$AR$5:$AR$135</definedName>
    <definedName name="object36_prijsdag1">'Ruimten werkdag'!$R$701</definedName>
    <definedName name="object36_prijsjaar1">'Ruimten werkdag'!$T$701</definedName>
    <definedName name="object36_urendag1">'Ruimten werkdag'!$Q$701</definedName>
    <definedName name="object36_urenjaar1">'Ruimten werkdag'!$S$701</definedName>
    <definedName name="object37_gemuurtarief1">'Ruimten werkdag'!$P$722</definedName>
    <definedName name="object37_opptabel1">Objectinformatie!$AS$5:$AS$135</definedName>
    <definedName name="object37_prijsdag1">'Ruimten werkdag'!$R$722</definedName>
    <definedName name="object37_prijsjaar1">'Ruimten werkdag'!$T$722</definedName>
    <definedName name="object37_urendag1">'Ruimten werkdag'!$Q$722</definedName>
    <definedName name="object37_urenjaar1">'Ruimten werkdag'!$S$722</definedName>
    <definedName name="object38_gemuurtarief1">'Ruimten werkdag'!$P$727</definedName>
    <definedName name="object38_opptabel1">Objectinformatie!$AT$5:$AT$135</definedName>
    <definedName name="object38_prijsdag1">'Ruimten werkdag'!$R$727</definedName>
    <definedName name="object38_prijsjaar1">'Ruimten werkdag'!$T$727</definedName>
    <definedName name="object38_urendag1">'Ruimten werkdag'!$Q$727</definedName>
    <definedName name="object38_urenjaar1">'Ruimten werkdag'!$S$727</definedName>
    <definedName name="object39_gemuurtarief1">'Ruimten werkdag'!$P$751</definedName>
    <definedName name="object39_opptabel1">Objectinformatie!$AU$5:$AU$135</definedName>
    <definedName name="object39_prijsdag1">'Ruimten werkdag'!$R$751</definedName>
    <definedName name="object39_prijsjaar1">'Ruimten werkdag'!$T$751</definedName>
    <definedName name="object39_urendag1">'Ruimten werkdag'!$Q$751</definedName>
    <definedName name="object39_urenjaar1">'Ruimten werkdag'!$S$751</definedName>
    <definedName name="object4_gemuurtarief1">'Ruimten werkdag'!$P$303</definedName>
    <definedName name="object4_opptabel1">Objectinformatie!$L$5:$L$135</definedName>
    <definedName name="object4_prijsdag1">'Ruimten werkdag'!$R$303</definedName>
    <definedName name="object4_prijsjaar1">'Ruimten werkdag'!$T$303</definedName>
    <definedName name="object4_urendag1">'Ruimten werkdag'!$Q$303</definedName>
    <definedName name="object4_urenjaar1">'Ruimten werkdag'!$S$303</definedName>
    <definedName name="object40_opptabel1">Objectinformatie!$AV$5:$AV$135</definedName>
    <definedName name="object41_gemuurtarief1">'Ruimten werkdag'!$P$758</definedName>
    <definedName name="object41_opptabel1">Objectinformatie!$AW$5:$AW$135</definedName>
    <definedName name="object41_prijsdag1">'Ruimten werkdag'!$R$758</definedName>
    <definedName name="object41_prijsjaar1">'Ruimten werkdag'!$T$758</definedName>
    <definedName name="object41_urendag1">'Ruimten werkdag'!$Q$758</definedName>
    <definedName name="object41_urenjaar1">'Ruimten werkdag'!$S$758</definedName>
    <definedName name="object42_gemuurtarief1">'Ruimten werkdag'!$P$765</definedName>
    <definedName name="object42_opptabel1">Objectinformatie!$AX$5:$AX$135</definedName>
    <definedName name="object42_prijsdag1">'Ruimten werkdag'!$R$765</definedName>
    <definedName name="object42_prijsjaar1">'Ruimten werkdag'!$T$765</definedName>
    <definedName name="object42_urendag1">'Ruimten werkdag'!$Q$765</definedName>
    <definedName name="object42_urenjaar1">'Ruimten werkdag'!$S$765</definedName>
    <definedName name="object43_gemuurtarief1">'Ruimten werkdag'!$P$772</definedName>
    <definedName name="object43_opptabel1">Objectinformatie!$AY$5:$AY$135</definedName>
    <definedName name="object43_prijsdag1">'Ruimten werkdag'!$R$772</definedName>
    <definedName name="object43_prijsjaar1">'Ruimten werkdag'!$T$772</definedName>
    <definedName name="object43_urendag1">'Ruimten werkdag'!$Q$772</definedName>
    <definedName name="object43_urenjaar1">'Ruimten werkdag'!$S$772</definedName>
    <definedName name="object44_opptabel1">Objectinformatie!$AZ$5:$AZ$135</definedName>
    <definedName name="object45_opptabel1">Objectinformatie!$BA$5:$BA$135</definedName>
    <definedName name="object46_gemuurtarief1">'Ruimten werkdag'!$P$781</definedName>
    <definedName name="object46_opptabel1">Objectinformatie!$BB$5:$BB$135</definedName>
    <definedName name="object46_prijsdag1">'Ruimten werkdag'!$R$781</definedName>
    <definedName name="object46_prijsjaar1">'Ruimten werkdag'!$T$781</definedName>
    <definedName name="object46_urendag1">'Ruimten werkdag'!$Q$781</definedName>
    <definedName name="object46_urenjaar1">'Ruimten werkdag'!$S$781</definedName>
    <definedName name="object47_opptabel1">Objectinformatie!$BC$5:$BC$135</definedName>
    <definedName name="object48_gemuurtarief1">'Ruimten werkdag'!$P$794</definedName>
    <definedName name="object48_opptabel1">Objectinformatie!$BD$5:$BD$135</definedName>
    <definedName name="object48_prijsdag1">'Ruimten werkdag'!$R$794</definedName>
    <definedName name="object48_prijsjaar1">'Ruimten werkdag'!$T$794</definedName>
    <definedName name="object48_urendag1">'Ruimten werkdag'!$Q$794</definedName>
    <definedName name="object48_urenjaar1">'Ruimten werkdag'!$S$794</definedName>
    <definedName name="object49_opptabel1">Objectinformatie!$BE$5:$BE$135</definedName>
    <definedName name="object5_gemuurtarief1">'Ruimten werkdag'!$P$323</definedName>
    <definedName name="object5_opptabel1">Objectinformatie!$M$5:$M$135</definedName>
    <definedName name="object5_prijsdag1">'Ruimten werkdag'!$R$323</definedName>
    <definedName name="object5_prijsjaar1">'Ruimten werkdag'!$T$323</definedName>
    <definedName name="object5_urendag1">'Ruimten werkdag'!$Q$323</definedName>
    <definedName name="object5_urenjaar1">'Ruimten werkdag'!$S$323</definedName>
    <definedName name="object50_opptabel1">Objectinformatie!$BF$5:$BF$135</definedName>
    <definedName name="object51_gemuurtarief1">'Ruimten werkdag'!$P$806</definedName>
    <definedName name="object51_opptabel1">Objectinformatie!$BG$5:$BG$135</definedName>
    <definedName name="object51_prijsdag1">'Ruimten werkdag'!$R$806</definedName>
    <definedName name="object51_prijsjaar1">'Ruimten werkdag'!$T$806</definedName>
    <definedName name="object51_urendag1">'Ruimten werkdag'!$Q$806</definedName>
    <definedName name="object51_urenjaar1">'Ruimten werkdag'!$S$806</definedName>
    <definedName name="object52_gemuurtarief1">'Ruimten werkdag'!$P$812</definedName>
    <definedName name="object52_opptabel1">Objectinformatie!$BH$5:$BH$135</definedName>
    <definedName name="object52_prijsdag1">'Ruimten werkdag'!$R$812</definedName>
    <definedName name="object52_prijsjaar1">'Ruimten werkdag'!$T$812</definedName>
    <definedName name="object52_urendag1">'Ruimten werkdag'!$Q$812</definedName>
    <definedName name="object52_urenjaar1">'Ruimten werkdag'!$S$812</definedName>
    <definedName name="object53_opptabel1">Objectinformatie!$BI$5:$BI$135</definedName>
    <definedName name="object54_gemuurtarief1">'Ruimten werkdag'!$P$818</definedName>
    <definedName name="object54_opptabel1">Objectinformatie!$BJ$5:$BJ$135</definedName>
    <definedName name="object54_prijsdag1">'Ruimten werkdag'!$R$818</definedName>
    <definedName name="object54_prijsjaar1">'Ruimten werkdag'!$T$818</definedName>
    <definedName name="object54_urendag1">'Ruimten werkdag'!$Q$818</definedName>
    <definedName name="object54_urenjaar1">'Ruimten werkdag'!$S$818</definedName>
    <definedName name="object55_gemuurtarief1">'Ruimten werkdag'!$P$823</definedName>
    <definedName name="object55_opptabel1">Objectinformatie!$BK$5:$BK$135</definedName>
    <definedName name="object55_prijsdag1">'Ruimten werkdag'!$R$823</definedName>
    <definedName name="object55_prijsjaar1">'Ruimten werkdag'!$T$823</definedName>
    <definedName name="object55_urendag1">'Ruimten werkdag'!$Q$823</definedName>
    <definedName name="object55_urenjaar1">'Ruimten werkdag'!$S$823</definedName>
    <definedName name="object56_gemuurtarief1">'Ruimten werkdag'!$P$829</definedName>
    <definedName name="object56_opptabel1">Objectinformatie!$BL$5:$BL$135</definedName>
    <definedName name="object56_prijsdag1">'Ruimten werkdag'!$R$829</definedName>
    <definedName name="object56_prijsjaar1">'Ruimten werkdag'!$T$829</definedName>
    <definedName name="object56_urendag1">'Ruimten werkdag'!$Q$829</definedName>
    <definedName name="object56_urenjaar1">'Ruimten werkdag'!$S$829</definedName>
    <definedName name="object57_opptabel1">Objectinformatie!$BM$5:$BM$135</definedName>
    <definedName name="object58_opptabel1">Objectinformatie!$BN$5:$BN$135</definedName>
    <definedName name="object59_gemuurtarief1">'Ruimten werkdag'!$P$838</definedName>
    <definedName name="object59_opptabel1">Objectinformatie!$BO$5:$BO$135</definedName>
    <definedName name="object59_prijsdag1">'Ruimten werkdag'!$R$838</definedName>
    <definedName name="object59_prijsjaar1">'Ruimten werkdag'!$T$838</definedName>
    <definedName name="object59_urendag1">'Ruimten werkdag'!$Q$838</definedName>
    <definedName name="object59_urenjaar1">'Ruimten werkdag'!$S$838</definedName>
    <definedName name="object6_gemuurtarief1">'Ruimten werkdag'!$P$329</definedName>
    <definedName name="object6_opptabel1">Objectinformatie!$N$5:$N$135</definedName>
    <definedName name="object6_prijsdag1">'Ruimten werkdag'!$R$329</definedName>
    <definedName name="object6_prijsjaar1">'Ruimten werkdag'!$T$329</definedName>
    <definedName name="object6_urendag1">'Ruimten werkdag'!$Q$329</definedName>
    <definedName name="object6_urenjaar1">'Ruimten werkdag'!$S$329</definedName>
    <definedName name="object60_gemuurtarief1">'Ruimten werkdag'!$P$845</definedName>
    <definedName name="object60_opptabel1">Objectinformatie!$BP$5:$BP$135</definedName>
    <definedName name="object60_prijsdag1">'Ruimten werkdag'!$R$845</definedName>
    <definedName name="object60_prijsjaar1">'Ruimten werkdag'!$T$845</definedName>
    <definedName name="object60_urendag1">'Ruimten werkdag'!$Q$845</definedName>
    <definedName name="object60_urenjaar1">'Ruimten werkdag'!$S$845</definedName>
    <definedName name="object61_gemuurtarief1">'Ruimten werkdag'!$P$852</definedName>
    <definedName name="object61_opptabel1">Objectinformatie!$BQ$5:$BQ$135</definedName>
    <definedName name="object61_prijsdag1">'Ruimten werkdag'!$R$852</definedName>
    <definedName name="object61_prijsjaar1">'Ruimten werkdag'!$T$852</definedName>
    <definedName name="object61_urendag1">'Ruimten werkdag'!$Q$852</definedName>
    <definedName name="object61_urenjaar1">'Ruimten werkdag'!$S$852</definedName>
    <definedName name="object62_opptabel1">Objectinformatie!$BR$5:$BR$135</definedName>
    <definedName name="object63_gemuurtarief1">'Ruimten werkdag'!$P$858</definedName>
    <definedName name="object63_opptabel1">Objectinformatie!$BS$5:$BS$135</definedName>
    <definedName name="object63_prijsdag1">'Ruimten werkdag'!$R$858</definedName>
    <definedName name="object63_prijsjaar1">'Ruimten werkdag'!$T$858</definedName>
    <definedName name="object63_urendag1">'Ruimten werkdag'!$Q$858</definedName>
    <definedName name="object63_urenjaar1">'Ruimten werkdag'!$S$858</definedName>
    <definedName name="object64_gemuurtarief1">'Ruimten werkdag'!$P$866</definedName>
    <definedName name="object64_opptabel1">Objectinformatie!$BT$5:$BT$135</definedName>
    <definedName name="object64_prijsdag1">'Ruimten werkdag'!$R$866</definedName>
    <definedName name="object64_prijsjaar1">'Ruimten werkdag'!$T$866</definedName>
    <definedName name="object64_urendag1">'Ruimten werkdag'!$Q$866</definedName>
    <definedName name="object64_urenjaar1">'Ruimten werkdag'!$S$866</definedName>
    <definedName name="object65_gemuurtarief1">'Ruimten werkdag'!$P$873</definedName>
    <definedName name="object65_opptabel1">Objectinformatie!$BU$5:$BU$135</definedName>
    <definedName name="object65_prijsdag1">'Ruimten werkdag'!$R$873</definedName>
    <definedName name="object65_prijsjaar1">'Ruimten werkdag'!$T$873</definedName>
    <definedName name="object65_urendag1">'Ruimten werkdag'!$Q$873</definedName>
    <definedName name="object65_urenjaar1">'Ruimten werkdag'!$S$873</definedName>
    <definedName name="object66_gemuurtarief1">'Ruimten werkdag'!$P$885</definedName>
    <definedName name="object66_opptabel1">Objectinformatie!$BV$5:$BV$135</definedName>
    <definedName name="object66_prijsdag1">'Ruimten werkdag'!$R$885</definedName>
    <definedName name="object66_prijsjaar1">'Ruimten werkdag'!$T$885</definedName>
    <definedName name="object66_urendag1">'Ruimten werkdag'!$Q$885</definedName>
    <definedName name="object66_urenjaar1">'Ruimten werkdag'!$S$885</definedName>
    <definedName name="object67_opptabel1">Objectinformatie!$BW$5:$BW$135</definedName>
    <definedName name="object68_opptabel1">Objectinformatie!$BX$5:$BX$135</definedName>
    <definedName name="object69_opptabel1">Objectinformatie!$BY$5:$BY$135</definedName>
    <definedName name="object7_gemuurtarief1">'Ruimten werkdag'!$P$333</definedName>
    <definedName name="object7_opptabel1">Objectinformatie!$O$5:$O$135</definedName>
    <definedName name="object7_prijsdag1">'Ruimten werkdag'!$R$333</definedName>
    <definedName name="object7_prijsjaar1">'Ruimten werkdag'!$T$333</definedName>
    <definedName name="object7_urendag1">'Ruimten werkdag'!$Q$333</definedName>
    <definedName name="object7_urenjaar1">'Ruimten werkdag'!$S$333</definedName>
    <definedName name="object70_gemuurtarief1">'Ruimten werkdag'!$P$894</definedName>
    <definedName name="object70_opptabel1">Objectinformatie!$BZ$5:$BZ$135</definedName>
    <definedName name="object70_prijsdag1">'Ruimten werkdag'!$R$894</definedName>
    <definedName name="object70_prijsjaar1">'Ruimten werkdag'!$T$894</definedName>
    <definedName name="object70_urendag1">'Ruimten werkdag'!$Q$894</definedName>
    <definedName name="object70_urenjaar1">'Ruimten werkdag'!$S$894</definedName>
    <definedName name="object8_gemuurtarief1">'Ruimten werkdag'!$P$343</definedName>
    <definedName name="object8_opptabel1">Objectinformatie!$P$5:$P$135</definedName>
    <definedName name="object8_prijsdag1">'Ruimten werkdag'!$R$343</definedName>
    <definedName name="object8_prijsjaar1">'Ruimten werkdag'!$T$343</definedName>
    <definedName name="object8_urendag1">'Ruimten werkdag'!$Q$343</definedName>
    <definedName name="object8_urenjaar1">'Ruimten werkdag'!$S$343</definedName>
    <definedName name="object9_gemuurtarief1">'Ruimten werkdag'!$P$351</definedName>
    <definedName name="object9_opptabel1">Objectinformatie!$Q$5:$Q$135</definedName>
    <definedName name="object9_prijsdag1">'Ruimten werkdag'!$R$351</definedName>
    <definedName name="object9_prijsjaar1">'Ruimten werkdag'!$T$351</definedName>
    <definedName name="object9_urendag1">'Ruimten werkdag'!$Q$351</definedName>
    <definedName name="object9_urenjaar1">'Ruimten werkdag'!$S$351</definedName>
    <definedName name="objectprijs1_1">Objecten!$N$6</definedName>
    <definedName name="objectprijs10_1">Objecten!$N$15</definedName>
    <definedName name="objectprijs11_1">Objecten!$N$16</definedName>
    <definedName name="objectprijs12_1">Objecten!$N$17</definedName>
    <definedName name="objectprijs13_1">Objecten!$N$18</definedName>
    <definedName name="objectprijs14_1">Objecten!$N$19</definedName>
    <definedName name="objectprijs15_1">Objecten!$N$20</definedName>
    <definedName name="objectprijs16_1">Objecten!$N$21</definedName>
    <definedName name="objectprijs17_1">Objecten!$N$22</definedName>
    <definedName name="objectprijs18_1">Objecten!$N$23</definedName>
    <definedName name="objectprijs19_1">Objecten!$N$24</definedName>
    <definedName name="objectprijs2_1">Objecten!$N$7</definedName>
    <definedName name="objectprijs20_1">Objecten!$N$25</definedName>
    <definedName name="objectprijs21_1">Objecten!$N$26</definedName>
    <definedName name="objectprijs22_1">Objecten!$N$27</definedName>
    <definedName name="objectprijs23_1">Objecten!$N$28</definedName>
    <definedName name="objectprijs24_1">Objecten!$N$29</definedName>
    <definedName name="objectprijs25_1">Objecten!$N$30</definedName>
    <definedName name="objectprijs26_1">Objecten!$N$31</definedName>
    <definedName name="objectprijs27_1">Objecten!$N$32</definedName>
    <definedName name="objectprijs28_1">Objecten!$N$33</definedName>
    <definedName name="objectprijs29_1">Objecten!$N$34</definedName>
    <definedName name="objectprijs3_1">Objecten!$N$8</definedName>
    <definedName name="objectprijs30_1">Objecten!$N$35</definedName>
    <definedName name="objectprijs31_1">Objecten!$N$36</definedName>
    <definedName name="objectprijs32_1">Objecten!$N$37</definedName>
    <definedName name="objectprijs33_1">Objecten!$N$38</definedName>
    <definedName name="objectprijs34_1">Objecten!$N$39</definedName>
    <definedName name="objectprijs35_1">Objecten!$N$40</definedName>
    <definedName name="objectprijs36_1">Objecten!$N$41</definedName>
    <definedName name="objectprijs37_1">Objecten!$N$42</definedName>
    <definedName name="objectprijs38_1">Objecten!$N$43</definedName>
    <definedName name="objectprijs39_1">Objecten!$N$44</definedName>
    <definedName name="objectprijs4_1">Objecten!$N$9</definedName>
    <definedName name="objectprijs40_1">Objecten!$N$45</definedName>
    <definedName name="objectprijs41_1">Objecten!$N$46</definedName>
    <definedName name="objectprijs42_1">Objecten!$N$47</definedName>
    <definedName name="objectprijs43_1">Objecten!$N$48</definedName>
    <definedName name="objectprijs44_1">Objecten!$N$49</definedName>
    <definedName name="objectprijs45_1">Objecten!$N$50</definedName>
    <definedName name="objectprijs46_1">Objecten!$N$51</definedName>
    <definedName name="objectprijs47_1">Objecten!$N$52</definedName>
    <definedName name="objectprijs48_1">Objecten!$N$53</definedName>
    <definedName name="objectprijs49_1">Objecten!$N$54</definedName>
    <definedName name="objectprijs5_1">Objecten!$N$10</definedName>
    <definedName name="objectprijs50_1">Objecten!$N$55</definedName>
    <definedName name="objectprijs51_1">Objecten!$N$56</definedName>
    <definedName name="objectprijs52_1">Objecten!$N$57</definedName>
    <definedName name="objectprijs53_1">Objecten!$N$58</definedName>
    <definedName name="objectprijs54_1">Objecten!$N$59</definedName>
    <definedName name="objectprijs55_1">Objecten!$N$60</definedName>
    <definedName name="objectprijs56_1">Objecten!$N$61</definedName>
    <definedName name="objectprijs57_1">Objecten!$N$62</definedName>
    <definedName name="objectprijs58_1">Objecten!$N$63</definedName>
    <definedName name="objectprijs59_1">Objecten!$N$64</definedName>
    <definedName name="objectprijs6_1">Objecten!$N$11</definedName>
    <definedName name="objectprijs60_1">Objecten!$N$65</definedName>
    <definedName name="objectprijs61_1">Objecten!$N$66</definedName>
    <definedName name="objectprijs62_1">Objecten!$N$67</definedName>
    <definedName name="objectprijs63_1">Objecten!$N$68</definedName>
    <definedName name="objectprijs64_1">Objecten!$N$69</definedName>
    <definedName name="objectprijs65_1">Objecten!$N$70</definedName>
    <definedName name="objectprijs66_1">Objecten!$N$71</definedName>
    <definedName name="objectprijs67_1">Objecten!$N$72</definedName>
    <definedName name="objectprijs68_1">Objecten!$N$73</definedName>
    <definedName name="objectprijs69_1">Objecten!$N$74</definedName>
    <definedName name="objectprijs7_1">Objecten!$N$12</definedName>
    <definedName name="objectprijs70_1">Objecten!$N$75</definedName>
    <definedName name="objectprijs8_1">Objecten!$N$13</definedName>
    <definedName name="objectprijs9_1">Objecten!$N$14</definedName>
    <definedName name="objecturen1_1">Objecten!$M$6</definedName>
    <definedName name="objecturen10_1">Objecten!$M$15</definedName>
    <definedName name="objecturen11_1">Objecten!$M$16</definedName>
    <definedName name="objecturen12_1">Objecten!$M$17</definedName>
    <definedName name="objecturen13_1">Objecten!$M$18</definedName>
    <definedName name="objecturen14_1">Objecten!$M$19</definedName>
    <definedName name="objecturen15_1">Objecten!$M$20</definedName>
    <definedName name="objecturen16_1">Objecten!$M$21</definedName>
    <definedName name="objecturen17_1">Objecten!$M$22</definedName>
    <definedName name="objecturen18_1">Objecten!$M$23</definedName>
    <definedName name="objecturen19_1">Objecten!$M$24</definedName>
    <definedName name="objecturen2_1">Objecten!$M$7</definedName>
    <definedName name="objecturen20_1">Objecten!$M$25</definedName>
    <definedName name="objecturen21_1">Objecten!$M$26</definedName>
    <definedName name="objecturen22_1">Objecten!$M$27</definedName>
    <definedName name="objecturen23_1">Objecten!$M$28</definedName>
    <definedName name="objecturen24_1">Objecten!$M$29</definedName>
    <definedName name="objecturen25_1">Objecten!$M$30</definedName>
    <definedName name="objecturen26_1">Objecten!$M$31</definedName>
    <definedName name="objecturen27_1">Objecten!$M$32</definedName>
    <definedName name="objecturen28_1">Objecten!$M$33</definedName>
    <definedName name="objecturen29_1">Objecten!$M$34</definedName>
    <definedName name="objecturen3_1">Objecten!$M$8</definedName>
    <definedName name="objecturen30_1">Objecten!$M$35</definedName>
    <definedName name="objecturen31_1">Objecten!$M$36</definedName>
    <definedName name="objecturen32_1">Objecten!$M$37</definedName>
    <definedName name="objecturen33_1">Objecten!$M$38</definedName>
    <definedName name="objecturen34_1">Objecten!$M$39</definedName>
    <definedName name="objecturen35_1">Objecten!$M$40</definedName>
    <definedName name="objecturen36_1">Objecten!$M$41</definedName>
    <definedName name="objecturen37_1">Objecten!$M$42</definedName>
    <definedName name="objecturen38_1">Objecten!$M$43</definedName>
    <definedName name="objecturen39_1">Objecten!$M$44</definedName>
    <definedName name="objecturen4_1">Objecten!$M$9</definedName>
    <definedName name="objecturen40_1">Objecten!$M$45</definedName>
    <definedName name="objecturen41_1">Objecten!$M$46</definedName>
    <definedName name="objecturen42_1">Objecten!$M$47</definedName>
    <definedName name="objecturen43_1">Objecten!$M$48</definedName>
    <definedName name="objecturen44_1">Objecten!$M$49</definedName>
    <definedName name="objecturen45_1">Objecten!$M$50</definedName>
    <definedName name="objecturen46_1">Objecten!$M$51</definedName>
    <definedName name="objecturen47_1">Objecten!$M$52</definedName>
    <definedName name="objecturen48_1">Objecten!$M$53</definedName>
    <definedName name="objecturen49_1">Objecten!$M$54</definedName>
    <definedName name="objecturen5_1">Objecten!$M$10</definedName>
    <definedName name="objecturen50_1">Objecten!$M$55</definedName>
    <definedName name="objecturen51_1">Objecten!$M$56</definedName>
    <definedName name="objecturen52_1">Objecten!$M$57</definedName>
    <definedName name="objecturen53_1">Objecten!$M$58</definedName>
    <definedName name="objecturen54_1">Objecten!$M$59</definedName>
    <definedName name="objecturen55_1">Objecten!$M$60</definedName>
    <definedName name="objecturen56_1">Objecten!$M$61</definedName>
    <definedName name="objecturen57_1">Objecten!$M$62</definedName>
    <definedName name="objecturen58_1">Objecten!$M$63</definedName>
    <definedName name="objecturen59_1">Objecten!$M$64</definedName>
    <definedName name="objecturen6_1">Objecten!$M$11</definedName>
    <definedName name="objecturen60_1">Objecten!$M$65</definedName>
    <definedName name="objecturen61_1">Objecten!$M$66</definedName>
    <definedName name="objecturen62_1">Objecten!$M$67</definedName>
    <definedName name="objecturen63_1">Objecten!$M$68</definedName>
    <definedName name="objecturen64_1">Objecten!$M$69</definedName>
    <definedName name="objecturen65_1">Objecten!$M$70</definedName>
    <definedName name="objecturen66_1">Objecten!$M$71</definedName>
    <definedName name="objecturen67_1">Objecten!$M$72</definedName>
    <definedName name="objecturen68_1">Objecten!$M$73</definedName>
    <definedName name="objecturen69_1">Objecten!$M$74</definedName>
    <definedName name="objecturen7_1">Objecten!$M$12</definedName>
    <definedName name="objecturen70_1">Objecten!$M$75</definedName>
    <definedName name="objecturen8_1">Objecten!$M$13</definedName>
    <definedName name="objecturen9_1">Objecten!$M$14</definedName>
    <definedName name="prijsdag1">'Regulier werk'!$K$137</definedName>
    <definedName name="prijsjaar">'Regulier werk'!$M$142</definedName>
    <definedName name="prijsjaar1">'Regulier werk'!$M$137</definedName>
    <definedName name="prijsjaaradditioneel">'Additioneel werk'!$K$13</definedName>
    <definedName name="prijsjaaradditioneel1">'Additioneel werk'!$K$11</definedName>
    <definedName name="prijsjaarglas">Glas!$K$22</definedName>
    <definedName name="prijsjaarglas1">Glas!$K$20</definedName>
    <definedName name="prijsjaarregie">Regiewerk!$K$12</definedName>
    <definedName name="prijsjaarregie1">Regiewerk!$K$10</definedName>
    <definedName name="prijsjaartotaal">Objecten!$N$79</definedName>
    <definedName name="prijsjaartotaal1">Objecten!$N$76</definedName>
    <definedName name="prijsjaartotaaloverzicht">'Totaalblad Objecten'!$G$75</definedName>
    <definedName name="prijsmaandtotaal1">Objecten!$O$76</definedName>
    <definedName name="prodnorm0">Glas!$H$17</definedName>
    <definedName name="prodnorm1">'Glas per locatie'!$I$142</definedName>
    <definedName name="prodnorm10">'Glas per locatie'!$I$129</definedName>
    <definedName name="prodnorm100">'Regulier werk'!$G$74</definedName>
    <definedName name="prodnorm101">'Regulier werk'!$G$75</definedName>
    <definedName name="prodnorm102">'Regulier werk'!$G$76</definedName>
    <definedName name="prodnorm103">'Regulier werk'!$G$77</definedName>
    <definedName name="prodnorm104">'Regulier werk'!$G$78</definedName>
    <definedName name="prodnorm105">'Regulier werk'!$G$79</definedName>
    <definedName name="prodnorm106">'Regulier werk'!$G$80</definedName>
    <definedName name="prodnorm107">'Regulier werk'!$G$81</definedName>
    <definedName name="prodnorm108">'Regulier werk'!$G$82</definedName>
    <definedName name="prodnorm109">'Regulier werk'!$G$83</definedName>
    <definedName name="prodnorm110">'Regulier werk'!$G$84</definedName>
    <definedName name="prodnorm111">'Regulier werk'!$G$85</definedName>
    <definedName name="prodnorm112">'Regulier werk'!$G$86</definedName>
    <definedName name="prodnorm113">'Regulier werk'!$G$87</definedName>
    <definedName name="prodnorm114">'Regulier werk'!$G$88</definedName>
    <definedName name="prodnorm115">'Regulier werk'!$G$89</definedName>
    <definedName name="prodnorm116">'Regulier werk'!$G$90</definedName>
    <definedName name="prodnorm117">'Regulier werk'!$G$91</definedName>
    <definedName name="prodnorm118">'Regulier werk'!$G$92</definedName>
    <definedName name="prodnorm119">'Regulier werk'!$G$93</definedName>
    <definedName name="prodnorm12">'Glas per locatie'!$I$52</definedName>
    <definedName name="prodnorm120">'Regulier werk'!$G$94</definedName>
    <definedName name="prodnorm121">'Regulier werk'!$G$95</definedName>
    <definedName name="prodnorm122">'Regulier werk'!$G$96</definedName>
    <definedName name="prodnorm123">'Regulier werk'!$G$97</definedName>
    <definedName name="prodnorm124">'Regulier werk'!$G$98</definedName>
    <definedName name="prodnorm125">'Regulier werk'!$G$99</definedName>
    <definedName name="prodnorm126">'Regulier werk'!$G$100</definedName>
    <definedName name="prodnorm127">'Regulier werk'!$G$101</definedName>
    <definedName name="prodnorm128">'Regulier werk'!$G$102</definedName>
    <definedName name="prodnorm129">'Regulier werk'!$G$103</definedName>
    <definedName name="prodnorm13">'Glas per locatie'!$I$115</definedName>
    <definedName name="prodnorm130">'Regulier werk'!$G$104</definedName>
    <definedName name="prodnorm131">'Regulier werk'!$G$105</definedName>
    <definedName name="prodnorm132">'Regulier werk'!$G$106</definedName>
    <definedName name="prodnorm133">'Regulier werk'!$G$107</definedName>
    <definedName name="prodnorm134">'Regulier werk'!$G$108</definedName>
    <definedName name="prodnorm135">'Regulier werk'!$G$109</definedName>
    <definedName name="prodnorm136">'Regulier werk'!$G$110</definedName>
    <definedName name="prodnorm137">'Regulier werk'!$G$111</definedName>
    <definedName name="prodnorm138">'Regulier werk'!$G$112</definedName>
    <definedName name="prodnorm139">'Regulier werk'!$G$113</definedName>
    <definedName name="prodnorm14">'Glas per locatie'!$I$23</definedName>
    <definedName name="prodnorm140">'Regulier werk'!$G$114</definedName>
    <definedName name="prodnorm141">'Regulier werk'!$G$115</definedName>
    <definedName name="prodnorm142">'Regulier werk'!$G$116</definedName>
    <definedName name="prodnorm143">'Regulier werk'!$G$117</definedName>
    <definedName name="prodnorm144">'Regulier werk'!$G$118</definedName>
    <definedName name="prodnorm145">'Regulier werk'!$G$119</definedName>
    <definedName name="prodnorm146">'Regulier werk'!$G$120</definedName>
    <definedName name="prodnorm147">'Regulier werk'!$G$121</definedName>
    <definedName name="prodnorm148">'Regulier werk'!$G$122</definedName>
    <definedName name="prodnorm149">'Regulier werk'!$G$123</definedName>
    <definedName name="prodnorm150">'Regulier werk'!$G$124</definedName>
    <definedName name="prodnorm151">'Regulier werk'!$G$125</definedName>
    <definedName name="prodnorm152">'Regulier werk'!$G$126</definedName>
    <definedName name="prodnorm17">'Glas per locatie'!$I$8</definedName>
    <definedName name="prodnorm18">'Glas per locatie'!$I$9</definedName>
    <definedName name="prodnorm20">'Additioneel werk per locatie'!$I$86</definedName>
    <definedName name="prodnorm21">'Regulier werk'!$G$127</definedName>
    <definedName name="prodnorm22">'Regulier werk'!$G$128</definedName>
    <definedName name="prodnorm24">'Regulier werk'!$G$129</definedName>
    <definedName name="prodnorm25">'Regulier werk'!$G$130</definedName>
    <definedName name="prodnorm26">'Regulier werk'!$G$131</definedName>
    <definedName name="prodnorm27">'Regulier werk'!$G$132</definedName>
    <definedName name="prodnorm28">'Regulier werk'!$G$133</definedName>
    <definedName name="prodnorm29">'Regulier werk'!$G$134</definedName>
    <definedName name="prodnorm3">'Glas per locatie'!$I$50</definedName>
    <definedName name="prodnorm30">'Regulier werk'!$G$135</definedName>
    <definedName name="prodnorm31">'Regulier werk'!$G$136</definedName>
    <definedName name="prodnorm32">'Regulier werk'!$G$6</definedName>
    <definedName name="prodnorm33">'Regulier werk'!$G$7</definedName>
    <definedName name="prodnorm34">'Regulier werk'!$G$8</definedName>
    <definedName name="prodnorm35">'Regulier werk'!$G$9</definedName>
    <definedName name="prodnorm36">'Regulier werk'!$G$10</definedName>
    <definedName name="prodnorm37">'Regulier werk'!$G$11</definedName>
    <definedName name="prodnorm38">'Regulier werk'!$G$12</definedName>
    <definedName name="prodnorm39">'Regulier werk'!$G$13</definedName>
    <definedName name="prodnorm4">'Glas per locatie'!$I$20</definedName>
    <definedName name="prodnorm40">'Regulier werk'!$G$14</definedName>
    <definedName name="prodnorm41">'Regulier werk'!$G$15</definedName>
    <definedName name="prodnorm42">'Regulier werk'!$G$16</definedName>
    <definedName name="prodnorm43">'Regulier werk'!$G$17</definedName>
    <definedName name="prodnorm44">'Regulier werk'!$G$18</definedName>
    <definedName name="prodnorm45">'Regulier werk'!$G$19</definedName>
    <definedName name="prodnorm46">'Regulier werk'!$G$20</definedName>
    <definedName name="prodnorm47">'Regulier werk'!$G$21</definedName>
    <definedName name="prodnorm48">'Regulier werk'!$G$22</definedName>
    <definedName name="prodnorm49">'Regulier werk'!$G$23</definedName>
    <definedName name="prodnorm5">'Glas per locatie'!$I$143</definedName>
    <definedName name="prodnorm50">'Regulier werk'!$G$24</definedName>
    <definedName name="prodnorm51">'Regulier werk'!$G$25</definedName>
    <definedName name="prodnorm52">'Regulier werk'!$G$26</definedName>
    <definedName name="prodnorm53">'Regulier werk'!$G$27</definedName>
    <definedName name="prodnorm54">'Regulier werk'!$G$28</definedName>
    <definedName name="prodnorm55">'Regulier werk'!$G$29</definedName>
    <definedName name="prodnorm56">'Regulier werk'!$G$30</definedName>
    <definedName name="prodnorm57">'Regulier werk'!$G$31</definedName>
    <definedName name="prodnorm58">'Regulier werk'!$G$32</definedName>
    <definedName name="prodnorm59">'Regulier werk'!$G$33</definedName>
    <definedName name="prodnorm60">'Regulier werk'!$G$34</definedName>
    <definedName name="prodnorm61">'Regulier werk'!$G$35</definedName>
    <definedName name="prodnorm62">'Regulier werk'!$G$36</definedName>
    <definedName name="prodnorm63">'Regulier werk'!$G$37</definedName>
    <definedName name="prodnorm64">'Regulier werk'!$G$38</definedName>
    <definedName name="prodnorm65">'Regulier werk'!$G$39</definedName>
    <definedName name="prodnorm66">'Regulier werk'!$G$40</definedName>
    <definedName name="prodnorm67">'Regulier werk'!$G$41</definedName>
    <definedName name="prodnorm68">'Regulier werk'!$G$42</definedName>
    <definedName name="prodnorm69">'Regulier werk'!$G$43</definedName>
    <definedName name="prodnorm7">'Glas per locatie'!$I$51</definedName>
    <definedName name="prodnorm70">'Regulier werk'!$G$44</definedName>
    <definedName name="prodnorm71">'Regulier werk'!$G$45</definedName>
    <definedName name="prodnorm72">'Regulier werk'!$G$46</definedName>
    <definedName name="prodnorm73">'Regulier werk'!$G$47</definedName>
    <definedName name="prodnorm74">'Regulier werk'!$G$48</definedName>
    <definedName name="prodnorm75">'Regulier werk'!$G$49</definedName>
    <definedName name="prodnorm76">'Regulier werk'!$G$50</definedName>
    <definedName name="prodnorm77">'Regulier werk'!$G$51</definedName>
    <definedName name="prodnorm78">'Regulier werk'!$G$52</definedName>
    <definedName name="prodnorm79">'Regulier werk'!$G$53</definedName>
    <definedName name="prodnorm8">'Glas per locatie'!$I$114</definedName>
    <definedName name="prodnorm80">'Regulier werk'!$G$54</definedName>
    <definedName name="prodnorm81">'Regulier werk'!$G$55</definedName>
    <definedName name="prodnorm82">'Regulier werk'!$G$56</definedName>
    <definedName name="prodnorm83">'Regulier werk'!$G$57</definedName>
    <definedName name="prodnorm84">'Regulier werk'!$G$58</definedName>
    <definedName name="prodnorm85">'Regulier werk'!$G$59</definedName>
    <definedName name="prodnorm86">'Regulier werk'!$G$60</definedName>
    <definedName name="prodnorm87">'Regulier werk'!$G$61</definedName>
    <definedName name="prodnorm88">'Regulier werk'!$G$62</definedName>
    <definedName name="prodnorm89">'Regulier werk'!$G$63</definedName>
    <definedName name="prodnorm9">'Glas per locatie'!$I$22</definedName>
    <definedName name="prodnorm90">'Regulier werk'!$G$64</definedName>
    <definedName name="prodnorm91">'Regulier werk'!$G$65</definedName>
    <definedName name="prodnorm92">'Regulier werk'!$G$66</definedName>
    <definedName name="prodnorm93">'Regulier werk'!$G$67</definedName>
    <definedName name="prodnorm94">'Regulier werk'!$G$68</definedName>
    <definedName name="prodnorm95">'Regulier werk'!$G$69</definedName>
    <definedName name="prodnorm96">'Regulier werk'!$G$70</definedName>
    <definedName name="prodnorm97">'Regulier werk'!$G$71</definedName>
    <definedName name="prodnorm98">'Regulier werk'!$G$72</definedName>
    <definedName name="prodnorm99">'Regulier werk'!$G$73</definedName>
    <definedName name="taakfreqtabel1">Objectinformatie!$E$5:$E$135</definedName>
    <definedName name="tabeltype">Omreken!$B$5:$B$5</definedName>
    <definedName name="Tariefopbouw1">Tariefopbouw!$B$53</definedName>
    <definedName name="Tariefopbouw2">Tariefopbouw!$B$61</definedName>
    <definedName name="Tariefopbouw3">Tariefopbouw!$D$61</definedName>
    <definedName name="Tariefopbouw4">Tariefopbouw!$F$61</definedName>
    <definedName name="Tariefopbouw5">Tariefopbouw!$H$61</definedName>
    <definedName name="Tariefopbouw6">Tariefopbouw!$J$61</definedName>
    <definedName name="Tariefopbouw7">Tariefopbouw!$L$61</definedName>
    <definedName name="Tariefopbouw8">Tariefopbouw!$D$53</definedName>
    <definedName name="Tariefopbouw9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Basisloon8">Tariefopbouw!$P$9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DirecteKosten8">Tariefopbouw!$P$26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Ervaring8">Tariefopbouw!$P$6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IndirecteKosten8">Tariefopbouw!$P$35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Naam8">Tariefopbouw!$P$5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8">Tariefopbouw!$Q$37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RisicoWinstPercentage8">Tariefopbouw!$P$37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arief8">Tariefopbouw!$P$39</definedName>
    <definedName name="TariefOpbouwTarief8DN">Tariefopbouw!$Q$41</definedName>
    <definedName name="TariefOpbouwTarief8W">Tariefopbouw!$Q$42</definedName>
    <definedName name="TariefOpbouwTarief8X">Tariefopbouw!$Q$43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TotaalLoonkosten8">Tariefopbouw!$P$19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8">Tariefopbouw!$P$12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OpbouwUurloonkosten8">Tariefopbouw!$P$14</definedName>
    <definedName name="tarieftabel1">Objectinformatie!$H$5:$H$135</definedName>
    <definedName name="TariefUitvoering1">Tariefopbouw!$C$50</definedName>
    <definedName name="TariefUitvoering2">Tariefopbouw!$C$59</definedName>
    <definedName name="TariefUitvoering3">Tariefopbouw!$E$59</definedName>
    <definedName name="TariefUitvoering4">Tariefopbouw!$G$59</definedName>
    <definedName name="TariefUitvoering5">Tariefopbouw!$I$59</definedName>
    <definedName name="TariefUitvoering6">Tariefopbouw!$K$59</definedName>
    <definedName name="TariefUitvoering7">Tariefopbouw!$M$59</definedName>
    <definedName name="TariefUitvoering8">Tariefopbouw!$E$50</definedName>
    <definedName name="TariefUitvoering9">Tariefopbouw!$G$50</definedName>
    <definedName name="urendag1">'Regulier werk'!$J$137</definedName>
    <definedName name="urenjaar">'Regulier werk'!$L$142</definedName>
    <definedName name="urenjaar1">'Regulier werk'!$L$137</definedName>
    <definedName name="urenjaartotaal">Objecten!$M$79</definedName>
    <definedName name="urenjaartotaal1">Objecten!$M$76</definedName>
    <definedName name="urenjaartotaaloverzicht">'Totaalblad Objecten'!$F$75</definedName>
    <definedName name="uurfactortabel1">Objectinformatie!$F$5:$F$135</definedName>
    <definedName name="uurtarief0">Glas!$I$17</definedName>
    <definedName name="uurtarief1">'Glas per locatie'!$J$142</definedName>
    <definedName name="uurtarief10">'Glas per locatie'!$J$129</definedName>
    <definedName name="uurtarief100">'Regulier werk'!$I$74</definedName>
    <definedName name="uurtarief101">'Regulier werk'!$I$75</definedName>
    <definedName name="uurtarief102">'Regulier werk'!$I$76</definedName>
    <definedName name="uurtarief103">'Regulier werk'!$I$77</definedName>
    <definedName name="uurtarief104">'Regulier werk'!$I$78</definedName>
    <definedName name="uurtarief105">'Regulier werk'!$I$79</definedName>
    <definedName name="uurtarief106">'Regulier werk'!$I$80</definedName>
    <definedName name="uurtarief107">'Regulier werk'!$I$81</definedName>
    <definedName name="uurtarief108">'Regulier werk'!$I$82</definedName>
    <definedName name="uurtarief109">'Regulier werk'!$I$83</definedName>
    <definedName name="uurtarief110">'Regulier werk'!$I$84</definedName>
    <definedName name="uurtarief111">'Regulier werk'!$I$85</definedName>
    <definedName name="uurtarief112">'Regulier werk'!$I$86</definedName>
    <definedName name="uurtarief113">'Regulier werk'!$I$87</definedName>
    <definedName name="uurtarief114">'Regulier werk'!$I$88</definedName>
    <definedName name="uurtarief115">'Regulier werk'!$I$89</definedName>
    <definedName name="uurtarief116">'Regulier werk'!$I$90</definedName>
    <definedName name="uurtarief117">'Regulier werk'!$I$91</definedName>
    <definedName name="uurtarief118">'Regulier werk'!$I$92</definedName>
    <definedName name="uurtarief119">'Regulier werk'!$I$93</definedName>
    <definedName name="uurtarief12">'Glas per locatie'!$J$52</definedName>
    <definedName name="uurtarief120">'Regulier werk'!$I$94</definedName>
    <definedName name="uurtarief121">'Regulier werk'!$I$95</definedName>
    <definedName name="uurtarief122">'Regulier werk'!$I$96</definedName>
    <definedName name="uurtarief123">'Regulier werk'!$I$97</definedName>
    <definedName name="uurtarief124">'Regulier werk'!$I$98</definedName>
    <definedName name="uurtarief125">'Regulier werk'!$I$99</definedName>
    <definedName name="uurtarief126">'Regulier werk'!$I$100</definedName>
    <definedName name="uurtarief127">'Regulier werk'!$I$101</definedName>
    <definedName name="uurtarief128">'Regulier werk'!$I$102</definedName>
    <definedName name="uurtarief129">'Regulier werk'!$I$103</definedName>
    <definedName name="uurtarief13">'Glas per locatie'!$J$115</definedName>
    <definedName name="uurtarief130">'Regulier werk'!$I$104</definedName>
    <definedName name="uurtarief131">'Regulier werk'!$I$105</definedName>
    <definedName name="uurtarief132">'Regulier werk'!$I$106</definedName>
    <definedName name="uurtarief133">'Regulier werk'!$I$107</definedName>
    <definedName name="uurtarief134">'Regulier werk'!$I$108</definedName>
    <definedName name="uurtarief135">'Regulier werk'!$I$109</definedName>
    <definedName name="uurtarief136">'Regulier werk'!$I$110</definedName>
    <definedName name="uurtarief137">'Regulier werk'!$I$111</definedName>
    <definedName name="uurtarief138">'Regulier werk'!$I$112</definedName>
    <definedName name="uurtarief139">'Regulier werk'!$I$113</definedName>
    <definedName name="uurtarief14">'Glas per locatie'!$J$23</definedName>
    <definedName name="uurtarief140">'Regulier werk'!$I$114</definedName>
    <definedName name="uurtarief141">'Regulier werk'!$I$115</definedName>
    <definedName name="uurtarief142">'Regulier werk'!$I$116</definedName>
    <definedName name="uurtarief143">'Regulier werk'!$I$117</definedName>
    <definedName name="uurtarief144">'Regulier werk'!$I$118</definedName>
    <definedName name="uurtarief145">'Regulier werk'!$I$119</definedName>
    <definedName name="uurtarief146">'Regulier werk'!$I$120</definedName>
    <definedName name="uurtarief147">'Regulier werk'!$I$121</definedName>
    <definedName name="uurtarief148">'Regulier werk'!$I$122</definedName>
    <definedName name="uurtarief149">'Regulier werk'!$I$123</definedName>
    <definedName name="uurtarief150">'Regulier werk'!$I$124</definedName>
    <definedName name="uurtarief151">'Regulier werk'!$I$125</definedName>
    <definedName name="uurtarief152">'Regulier werk'!$I$126</definedName>
    <definedName name="uurtarief17">'Glas per locatie'!$J$8</definedName>
    <definedName name="uurtarief18">'Glas per locatie'!$J$9</definedName>
    <definedName name="uurtarief20">'Additioneel werk per locatie'!$H$86</definedName>
    <definedName name="uurtarief21">'Regulier werk'!$I$127</definedName>
    <definedName name="uurtarief22">'Regulier werk'!$I$128</definedName>
    <definedName name="uurtarief24">'Regulier werk'!$I$129</definedName>
    <definedName name="uurtarief25">'Regulier werk'!$I$130</definedName>
    <definedName name="uurtarief26">'Regulier werk'!$I$131</definedName>
    <definedName name="uurtarief27">'Regulier werk'!$I$132</definedName>
    <definedName name="uurtarief28">'Regulier werk'!$I$133</definedName>
    <definedName name="uurtarief29">'Regulier werk'!$I$134</definedName>
    <definedName name="uurtarief3">'Glas per locatie'!$J$50</definedName>
    <definedName name="uurtarief30">'Regulier werk'!$I$135</definedName>
    <definedName name="uurtarief31">'Regulier werk'!$I$136</definedName>
    <definedName name="uurtarief32">'Regulier werk'!$I$6</definedName>
    <definedName name="uurtarief33">'Regulier werk'!$I$7</definedName>
    <definedName name="uurtarief34">'Regulier werk'!$I$8</definedName>
    <definedName name="uurtarief35">'Regulier werk'!$I$9</definedName>
    <definedName name="uurtarief36">'Regulier werk'!$I$10</definedName>
    <definedName name="uurtarief37">'Regulier werk'!$I$11</definedName>
    <definedName name="uurtarief38">'Regulier werk'!$I$12</definedName>
    <definedName name="uurtarief39">'Regulier werk'!$I$13</definedName>
    <definedName name="uurtarief4">'Glas per locatie'!$J$20</definedName>
    <definedName name="uurtarief40">'Regulier werk'!$I$14</definedName>
    <definedName name="uurtarief41">'Regulier werk'!$I$15</definedName>
    <definedName name="uurtarief42">'Regulier werk'!$I$16</definedName>
    <definedName name="uurtarief43">'Regulier werk'!$I$17</definedName>
    <definedName name="uurtarief44">'Regulier werk'!$I$18</definedName>
    <definedName name="uurtarief45">'Regulier werk'!$I$19</definedName>
    <definedName name="uurtarief46">'Regulier werk'!$I$20</definedName>
    <definedName name="uurtarief47">'Regulier werk'!$I$21</definedName>
    <definedName name="uurtarief48">'Regulier werk'!$I$22</definedName>
    <definedName name="uurtarief49">'Regulier werk'!$I$23</definedName>
    <definedName name="uurtarief5">'Glas per locatie'!$J$143</definedName>
    <definedName name="uurtarief50">'Regulier werk'!$I$24</definedName>
    <definedName name="uurtarief51">'Regulier werk'!$I$25</definedName>
    <definedName name="uurtarief52">'Regulier werk'!$I$26</definedName>
    <definedName name="uurtarief53">'Regulier werk'!$I$27</definedName>
    <definedName name="uurtarief54">'Regulier werk'!$I$28</definedName>
    <definedName name="uurtarief55">'Regulier werk'!$I$29</definedName>
    <definedName name="uurtarief56">'Regulier werk'!$I$30</definedName>
    <definedName name="uurtarief57">'Regulier werk'!$I$31</definedName>
    <definedName name="uurtarief58">'Regulier werk'!$I$32</definedName>
    <definedName name="uurtarief59">'Regulier werk'!$I$33</definedName>
    <definedName name="uurtarief60">'Regulier werk'!$I$34</definedName>
    <definedName name="uurtarief61">'Regulier werk'!$I$35</definedName>
    <definedName name="uurtarief62">'Regulier werk'!$I$36</definedName>
    <definedName name="uurtarief63">'Regulier werk'!$I$37</definedName>
    <definedName name="uurtarief64">'Regulier werk'!$I$38</definedName>
    <definedName name="uurtarief65">'Regulier werk'!$I$39</definedName>
    <definedName name="uurtarief66">'Regulier werk'!$I$40</definedName>
    <definedName name="uurtarief67">'Regulier werk'!$I$41</definedName>
    <definedName name="uurtarief68">'Regulier werk'!$I$42</definedName>
    <definedName name="uurtarief69">'Regulier werk'!$I$43</definedName>
    <definedName name="uurtarief7">'Glas per locatie'!$J$51</definedName>
    <definedName name="uurtarief70">'Regulier werk'!$I$44</definedName>
    <definedName name="uurtarief71">'Regulier werk'!$I$45</definedName>
    <definedName name="uurtarief72">'Regulier werk'!$I$46</definedName>
    <definedName name="uurtarief73">'Regulier werk'!$I$47</definedName>
    <definedName name="uurtarief74">'Regulier werk'!$I$48</definedName>
    <definedName name="uurtarief75">'Regulier werk'!$I$49</definedName>
    <definedName name="uurtarief76">'Regulier werk'!$I$50</definedName>
    <definedName name="uurtarief77">'Regulier werk'!$I$51</definedName>
    <definedName name="uurtarief78">'Regulier werk'!$I$52</definedName>
    <definedName name="uurtarief79">'Regulier werk'!$I$53</definedName>
    <definedName name="uurtarief8">'Glas per locatie'!$J$114</definedName>
    <definedName name="uurtarief80">'Regulier werk'!$I$54</definedName>
    <definedName name="uurtarief81">'Regulier werk'!$I$55</definedName>
    <definedName name="uurtarief82">'Regulier werk'!$I$56</definedName>
    <definedName name="uurtarief83">'Regulier werk'!$I$57</definedName>
    <definedName name="uurtarief84">'Regulier werk'!$I$58</definedName>
    <definedName name="uurtarief85">'Regulier werk'!$I$59</definedName>
    <definedName name="uurtarief86">'Regulier werk'!$I$60</definedName>
    <definedName name="uurtarief87">'Regulier werk'!$I$61</definedName>
    <definedName name="uurtarief88">'Regulier werk'!$I$62</definedName>
    <definedName name="uurtarief89">'Regulier werk'!$I$63</definedName>
    <definedName name="uurtarief9">'Glas per locatie'!$J$22</definedName>
    <definedName name="uurtarief90">'Regulier werk'!$I$64</definedName>
    <definedName name="uurtarief91">'Regulier werk'!$I$65</definedName>
    <definedName name="uurtarief92">'Regulier werk'!$I$66</definedName>
    <definedName name="uurtarief93">'Regulier werk'!$I$67</definedName>
    <definedName name="uurtarief94">'Regulier werk'!$I$68</definedName>
    <definedName name="uurtarief95">'Regulier werk'!$I$69</definedName>
    <definedName name="uurtarief96">'Regulier werk'!$I$70</definedName>
    <definedName name="uurtarief97">'Regulier werk'!$I$71</definedName>
    <definedName name="uurtarief98">'Regulier werk'!$I$72</definedName>
    <definedName name="uurtarief99">'Regulier werk'!$I$73</definedName>
    <definedName name="vp_additioneel">Totaal!$C$5</definedName>
    <definedName name="vp_glas">Totaal!$C$7</definedName>
    <definedName name="vp_regie">Totaal!$C$6</definedName>
    <definedName name="vp_variant">Totaal!$C$16</definedName>
    <definedName name="vu_variant">Totaal!$B$9</definedName>
    <definedName name="wib_prijs_budget">Totaal!$C$13</definedName>
    <definedName name="wib_regulier">Totaal!$C$4</definedName>
    <definedName name="wib_variant">Totaal!$C$12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" i="15" l="1"/>
  <c r="J143" i="14"/>
  <c r="K143" i="14" s="1"/>
  <c r="J142" i="14"/>
  <c r="K142" i="14" s="1"/>
  <c r="K144" i="14" s="1"/>
  <c r="J138" i="14"/>
  <c r="K138" i="14" s="1"/>
  <c r="J137" i="14"/>
  <c r="K137" i="14" s="1"/>
  <c r="K139" i="14" s="1"/>
  <c r="J133" i="14"/>
  <c r="K133" i="14" s="1"/>
  <c r="K134" i="14" s="1"/>
  <c r="J129" i="14"/>
  <c r="K129" i="14" s="1"/>
  <c r="K130" i="14" s="1"/>
  <c r="J125" i="14"/>
  <c r="K125" i="14" s="1"/>
  <c r="J124" i="14"/>
  <c r="K124" i="14" s="1"/>
  <c r="K126" i="14" s="1"/>
  <c r="J120" i="14"/>
  <c r="K120" i="14" s="1"/>
  <c r="J119" i="14"/>
  <c r="K119" i="14" s="1"/>
  <c r="K121" i="14" s="1"/>
  <c r="J115" i="14"/>
  <c r="K115" i="14" s="1"/>
  <c r="J114" i="14"/>
  <c r="K114" i="14" s="1"/>
  <c r="K116" i="14" s="1"/>
  <c r="J110" i="14"/>
  <c r="K110" i="14" s="1"/>
  <c r="J109" i="14"/>
  <c r="K109" i="14" s="1"/>
  <c r="J108" i="14"/>
  <c r="K108" i="14" s="1"/>
  <c r="K111" i="14" s="1"/>
  <c r="J104" i="14"/>
  <c r="K104" i="14" s="1"/>
  <c r="J103" i="14"/>
  <c r="K103" i="14" s="1"/>
  <c r="K105" i="14" s="1"/>
  <c r="J99" i="14"/>
  <c r="K99" i="14" s="1"/>
  <c r="J98" i="14"/>
  <c r="K98" i="14" s="1"/>
  <c r="K100" i="14" s="1"/>
  <c r="J94" i="14"/>
  <c r="K94" i="14" s="1"/>
  <c r="J93" i="14"/>
  <c r="K93" i="14" s="1"/>
  <c r="K95" i="14" s="1"/>
  <c r="J89" i="14"/>
  <c r="K89" i="14" s="1"/>
  <c r="J88" i="14"/>
  <c r="K88" i="14" s="1"/>
  <c r="J87" i="14"/>
  <c r="K87" i="14" s="1"/>
  <c r="K90" i="14" s="1"/>
  <c r="J83" i="14"/>
  <c r="K83" i="14" s="1"/>
  <c r="J82" i="14"/>
  <c r="K82" i="14" s="1"/>
  <c r="J81" i="14"/>
  <c r="K81" i="14" s="1"/>
  <c r="K84" i="14" s="1"/>
  <c r="J77" i="14"/>
  <c r="K77" i="14" s="1"/>
  <c r="J76" i="14"/>
  <c r="K76" i="14" s="1"/>
  <c r="K78" i="14" s="1"/>
  <c r="J72" i="14"/>
  <c r="K72" i="14" s="1"/>
  <c r="J71" i="14"/>
  <c r="K71" i="14" s="1"/>
  <c r="K73" i="14" s="1"/>
  <c r="J67" i="14"/>
  <c r="K67" i="14" s="1"/>
  <c r="J66" i="14"/>
  <c r="K66" i="14" s="1"/>
  <c r="K68" i="14" s="1"/>
  <c r="J62" i="14"/>
  <c r="K62" i="14" s="1"/>
  <c r="J61" i="14"/>
  <c r="K61" i="14" s="1"/>
  <c r="K63" i="14" s="1"/>
  <c r="J57" i="14"/>
  <c r="K57" i="14" s="1"/>
  <c r="J56" i="14"/>
  <c r="K56" i="14" s="1"/>
  <c r="K58" i="14" s="1"/>
  <c r="J52" i="14"/>
  <c r="K52" i="14" s="1"/>
  <c r="J51" i="14"/>
  <c r="K51" i="14" s="1"/>
  <c r="J50" i="14"/>
  <c r="K50" i="14" s="1"/>
  <c r="K53" i="14" s="1"/>
  <c r="J46" i="14"/>
  <c r="K46" i="14" s="1"/>
  <c r="J45" i="14"/>
  <c r="K45" i="14" s="1"/>
  <c r="J44" i="14"/>
  <c r="K44" i="14" s="1"/>
  <c r="K47" i="14" s="1"/>
  <c r="J40" i="14"/>
  <c r="K40" i="14" s="1"/>
  <c r="J39" i="14"/>
  <c r="K39" i="14" s="1"/>
  <c r="J38" i="14"/>
  <c r="K38" i="14" s="1"/>
  <c r="K41" i="14" s="1"/>
  <c r="J34" i="14"/>
  <c r="K34" i="14" s="1"/>
  <c r="J33" i="14"/>
  <c r="K33" i="14" s="1"/>
  <c r="J32" i="14"/>
  <c r="K32" i="14" s="1"/>
  <c r="K35" i="14" s="1"/>
  <c r="J28" i="14"/>
  <c r="K28" i="14" s="1"/>
  <c r="J27" i="14"/>
  <c r="K27" i="14" s="1"/>
  <c r="K29" i="14" s="1"/>
  <c r="J23" i="14"/>
  <c r="K23" i="14" s="1"/>
  <c r="J22" i="14"/>
  <c r="K22" i="14" s="1"/>
  <c r="J21" i="14"/>
  <c r="K21" i="14" s="1"/>
  <c r="J20" i="14"/>
  <c r="K20" i="14" s="1"/>
  <c r="J19" i="14"/>
  <c r="K19" i="14" s="1"/>
  <c r="K24" i="14" s="1"/>
  <c r="J15" i="14"/>
  <c r="K15" i="14" s="1"/>
  <c r="J14" i="14"/>
  <c r="K14" i="14" s="1"/>
  <c r="J13" i="14"/>
  <c r="K13" i="14" s="1"/>
  <c r="K16" i="14" s="1"/>
  <c r="J9" i="14"/>
  <c r="K9" i="14" s="1"/>
  <c r="J8" i="14"/>
  <c r="K8" i="14" s="1"/>
  <c r="J7" i="14"/>
  <c r="K7" i="14" s="1"/>
  <c r="J6" i="14"/>
  <c r="K6" i="14" s="1"/>
  <c r="K10" i="14" s="1"/>
  <c r="A1" i="14"/>
  <c r="J19" i="13"/>
  <c r="J18" i="13"/>
  <c r="J17" i="13"/>
  <c r="J16" i="13"/>
  <c r="J15" i="13"/>
  <c r="J14" i="13"/>
  <c r="J13" i="13"/>
  <c r="J12" i="13"/>
  <c r="J11" i="13"/>
  <c r="J10" i="13"/>
  <c r="J9" i="13"/>
  <c r="J8" i="13"/>
  <c r="J7" i="13"/>
  <c r="J6" i="13"/>
  <c r="A1" i="13"/>
  <c r="A1" i="12"/>
  <c r="A1" i="11"/>
  <c r="I86" i="10"/>
  <c r="I82" i="10"/>
  <c r="I78" i="10"/>
  <c r="I74" i="10"/>
  <c r="I70" i="10"/>
  <c r="I66" i="10"/>
  <c r="I62" i="10"/>
  <c r="I58" i="10"/>
  <c r="I54" i="10"/>
  <c r="I50" i="10"/>
  <c r="I46" i="10"/>
  <c r="I42" i="10"/>
  <c r="I38" i="10"/>
  <c r="I34" i="10"/>
  <c r="I30" i="10"/>
  <c r="I26" i="10"/>
  <c r="I22" i="10"/>
  <c r="I18" i="10"/>
  <c r="I14" i="10"/>
  <c r="I10" i="10"/>
  <c r="I6" i="10"/>
  <c r="A1" i="10"/>
  <c r="J10" i="9"/>
  <c r="J9" i="9"/>
  <c r="J8" i="9"/>
  <c r="J7" i="9"/>
  <c r="J6" i="9"/>
  <c r="A1" i="9"/>
  <c r="A1" i="8"/>
  <c r="A1" i="7"/>
  <c r="G135" i="6"/>
  <c r="G134" i="6"/>
  <c r="G133" i="6"/>
  <c r="G132" i="6"/>
  <c r="G131" i="6"/>
  <c r="G130" i="6"/>
  <c r="G129" i="6"/>
  <c r="G128" i="6"/>
  <c r="G127" i="6"/>
  <c r="G126" i="6"/>
  <c r="G125" i="6"/>
  <c r="G124" i="6"/>
  <c r="N893" i="5"/>
  <c r="N891" i="5"/>
  <c r="N889" i="5"/>
  <c r="N887" i="5"/>
  <c r="N883" i="5"/>
  <c r="N882" i="5"/>
  <c r="N877" i="5"/>
  <c r="N872" i="5"/>
  <c r="N870" i="5"/>
  <c r="N868" i="5"/>
  <c r="N861" i="5"/>
  <c r="N860" i="5"/>
  <c r="N856" i="5"/>
  <c r="N854" i="5"/>
  <c r="N850" i="5"/>
  <c r="N848" i="5"/>
  <c r="N847" i="5"/>
  <c r="N841" i="5"/>
  <c r="N837" i="5"/>
  <c r="N835" i="5"/>
  <c r="N833" i="5"/>
  <c r="N831" i="5"/>
  <c r="N826" i="5"/>
  <c r="N820" i="5"/>
  <c r="N817" i="5"/>
  <c r="N814" i="5"/>
  <c r="N810" i="5"/>
  <c r="N809" i="5"/>
  <c r="N808" i="5"/>
  <c r="N801" i="5"/>
  <c r="N798" i="5"/>
  <c r="N796" i="5"/>
  <c r="N783" i="5"/>
  <c r="N779" i="5"/>
  <c r="N778" i="5"/>
  <c r="N776" i="5"/>
  <c r="N774" i="5"/>
  <c r="N769" i="5"/>
  <c r="N768" i="5"/>
  <c r="N761" i="5"/>
  <c r="N760" i="5"/>
  <c r="N757" i="5"/>
  <c r="N753" i="5"/>
  <c r="N750" i="5"/>
  <c r="N749" i="5"/>
  <c r="N748" i="5"/>
  <c r="N721" i="5"/>
  <c r="N720" i="5"/>
  <c r="N700" i="5"/>
  <c r="N680" i="5"/>
  <c r="N672" i="5"/>
  <c r="N671" i="5"/>
  <c r="N670" i="5"/>
  <c r="N654" i="5"/>
  <c r="N648" i="5"/>
  <c r="N645" i="5"/>
  <c r="N640" i="5"/>
  <c r="N624" i="5"/>
  <c r="N623" i="5"/>
  <c r="N621" i="5"/>
  <c r="N619" i="5"/>
  <c r="N617" i="5"/>
  <c r="N615" i="5"/>
  <c r="N612" i="5"/>
  <c r="N593" i="5"/>
  <c r="N584" i="5"/>
  <c r="N579" i="5"/>
  <c r="N564" i="5"/>
  <c r="N563" i="5"/>
  <c r="N545" i="5"/>
  <c r="N530" i="5"/>
  <c r="N529" i="5"/>
  <c r="N507" i="5"/>
  <c r="N506" i="5"/>
  <c r="N494" i="5"/>
  <c r="N493" i="5"/>
  <c r="N468" i="5"/>
  <c r="N454" i="5"/>
  <c r="N453" i="5"/>
  <c r="N423" i="5"/>
  <c r="N422" i="5"/>
  <c r="N400" i="5"/>
  <c r="N399" i="5"/>
  <c r="N385" i="5"/>
  <c r="N384" i="5"/>
  <c r="N383" i="5"/>
  <c r="N370" i="5"/>
  <c r="N369" i="5"/>
  <c r="N363" i="5"/>
  <c r="N350" i="5"/>
  <c r="N322" i="5"/>
  <c r="N321" i="5"/>
  <c r="N302" i="5"/>
  <c r="N301" i="5"/>
  <c r="N280" i="5"/>
  <c r="N279" i="5"/>
  <c r="Q255" i="5"/>
  <c r="N198" i="5"/>
  <c r="N34" i="5"/>
  <c r="N32" i="5"/>
  <c r="N31" i="5"/>
  <c r="A1" i="5"/>
  <c r="J136" i="4"/>
  <c r="L136" i="4" s="1"/>
  <c r="J135" i="4"/>
  <c r="L135" i="4" s="1"/>
  <c r="J134" i="4"/>
  <c r="L134" i="4" s="1"/>
  <c r="J133" i="4"/>
  <c r="L133" i="4" s="1"/>
  <c r="J132" i="4"/>
  <c r="L132" i="4" s="1"/>
  <c r="J131" i="4"/>
  <c r="L131" i="4" s="1"/>
  <c r="J126" i="4"/>
  <c r="L126" i="4" s="1"/>
  <c r="J125" i="4"/>
  <c r="L125" i="4" s="1"/>
  <c r="I124" i="4"/>
  <c r="G124" i="4"/>
  <c r="I123" i="4"/>
  <c r="G123" i="4"/>
  <c r="I122" i="4"/>
  <c r="G122" i="4"/>
  <c r="I121" i="4"/>
  <c r="G121" i="4"/>
  <c r="I120" i="4"/>
  <c r="G120" i="4"/>
  <c r="G119" i="4"/>
  <c r="I118" i="4"/>
  <c r="G118" i="4"/>
  <c r="I117" i="4"/>
  <c r="G117" i="4"/>
  <c r="G116" i="4"/>
  <c r="G115" i="4"/>
  <c r="I114" i="4"/>
  <c r="G114" i="4"/>
  <c r="G113" i="4"/>
  <c r="G112" i="4"/>
  <c r="G111" i="4"/>
  <c r="I110" i="4"/>
  <c r="G110" i="4"/>
  <c r="I109" i="4"/>
  <c r="G109" i="4"/>
  <c r="I108" i="4"/>
  <c r="G108" i="4"/>
  <c r="I107" i="4"/>
  <c r="G107" i="4"/>
  <c r="G106" i="4"/>
  <c r="I105" i="4"/>
  <c r="G105" i="4"/>
  <c r="I104" i="4"/>
  <c r="G104" i="4"/>
  <c r="I103" i="4"/>
  <c r="G103" i="4"/>
  <c r="I102" i="4"/>
  <c r="G102" i="4"/>
  <c r="I101" i="4"/>
  <c r="G101" i="4"/>
  <c r="I100" i="4"/>
  <c r="G100" i="4"/>
  <c r="I99" i="4"/>
  <c r="G99" i="4"/>
  <c r="I98" i="4"/>
  <c r="G98" i="4"/>
  <c r="I97" i="4"/>
  <c r="G97" i="4"/>
  <c r="I96" i="4"/>
  <c r="G96" i="4"/>
  <c r="G95" i="4"/>
  <c r="I94" i="4"/>
  <c r="G94" i="4"/>
  <c r="G93" i="4"/>
  <c r="I92" i="4"/>
  <c r="G92" i="4"/>
  <c r="I91" i="4"/>
  <c r="G91" i="4"/>
  <c r="I90" i="4"/>
  <c r="G90" i="4"/>
  <c r="I89" i="4"/>
  <c r="G89" i="4"/>
  <c r="I88" i="4"/>
  <c r="G88" i="4"/>
  <c r="I87" i="4"/>
  <c r="G87" i="4"/>
  <c r="I86" i="4"/>
  <c r="G86" i="4"/>
  <c r="G85" i="4"/>
  <c r="I84" i="4"/>
  <c r="G84" i="4"/>
  <c r="I83" i="4"/>
  <c r="G83" i="4"/>
  <c r="G82" i="4"/>
  <c r="G81" i="4"/>
  <c r="I80" i="4"/>
  <c r="G80" i="4"/>
  <c r="I79" i="4"/>
  <c r="G79" i="4"/>
  <c r="I78" i="4"/>
  <c r="G78" i="4"/>
  <c r="G77" i="4"/>
  <c r="G76" i="4"/>
  <c r="I75" i="4"/>
  <c r="G75" i="4"/>
  <c r="I74" i="4"/>
  <c r="G74" i="4"/>
  <c r="G73" i="4"/>
  <c r="I72" i="4"/>
  <c r="G72" i="4"/>
  <c r="I71" i="4"/>
  <c r="G71" i="4"/>
  <c r="G70" i="4"/>
  <c r="G69" i="4"/>
  <c r="I68" i="4"/>
  <c r="G68" i="4"/>
  <c r="G67" i="4"/>
  <c r="I66" i="4"/>
  <c r="G66" i="4"/>
  <c r="I65" i="4"/>
  <c r="G65" i="4"/>
  <c r="I64" i="4"/>
  <c r="G64" i="4"/>
  <c r="G63" i="4"/>
  <c r="I62" i="4"/>
  <c r="G62" i="4"/>
  <c r="G61" i="4"/>
  <c r="I60" i="4"/>
  <c r="G60" i="4"/>
  <c r="I59" i="4"/>
  <c r="G59" i="4"/>
  <c r="I58" i="4"/>
  <c r="G58" i="4"/>
  <c r="I57" i="4"/>
  <c r="G57" i="4"/>
  <c r="I56" i="4"/>
  <c r="G56" i="4"/>
  <c r="I55" i="4"/>
  <c r="G55" i="4"/>
  <c r="I54" i="4"/>
  <c r="G54" i="4"/>
  <c r="I53" i="4"/>
  <c r="G53" i="4"/>
  <c r="G52" i="4"/>
  <c r="I51" i="4"/>
  <c r="G51" i="4"/>
  <c r="I50" i="4"/>
  <c r="G50" i="4"/>
  <c r="G49" i="4"/>
  <c r="I48" i="4"/>
  <c r="G48" i="4"/>
  <c r="I47" i="4"/>
  <c r="G47" i="4"/>
  <c r="I46" i="4"/>
  <c r="G46" i="4"/>
  <c r="G45" i="4"/>
  <c r="G44" i="4"/>
  <c r="I43" i="4"/>
  <c r="G43" i="4"/>
  <c r="I42" i="4"/>
  <c r="G42" i="4"/>
  <c r="I41" i="4"/>
  <c r="G41" i="4"/>
  <c r="G40" i="4"/>
  <c r="I39" i="4"/>
  <c r="G39" i="4"/>
  <c r="I38" i="4"/>
  <c r="G38" i="4"/>
  <c r="G37" i="4"/>
  <c r="I36" i="4"/>
  <c r="G36" i="4"/>
  <c r="G35" i="4"/>
  <c r="I34" i="4"/>
  <c r="G34" i="4"/>
  <c r="G33" i="4"/>
  <c r="I32" i="4"/>
  <c r="G32" i="4"/>
  <c r="I31" i="4"/>
  <c r="G31" i="4"/>
  <c r="I30" i="4"/>
  <c r="G30" i="4"/>
  <c r="I29" i="4"/>
  <c r="G29" i="4"/>
  <c r="G28" i="4"/>
  <c r="I27" i="4"/>
  <c r="G27" i="4"/>
  <c r="I26" i="4"/>
  <c r="G26" i="4"/>
  <c r="I25" i="4"/>
  <c r="G25" i="4"/>
  <c r="I24" i="4"/>
  <c r="G24" i="4"/>
  <c r="I23" i="4"/>
  <c r="G23" i="4"/>
  <c r="I22" i="4"/>
  <c r="G22" i="4"/>
  <c r="I21" i="4"/>
  <c r="G21" i="4"/>
  <c r="I20" i="4"/>
  <c r="G20" i="4"/>
  <c r="I19" i="4"/>
  <c r="G19" i="4"/>
  <c r="I18" i="4"/>
  <c r="G18" i="4"/>
  <c r="I17" i="4"/>
  <c r="G17" i="4"/>
  <c r="I16" i="4"/>
  <c r="G16" i="4"/>
  <c r="I15" i="4"/>
  <c r="G15" i="4"/>
  <c r="I14" i="4"/>
  <c r="G14" i="4"/>
  <c r="I13" i="4"/>
  <c r="G13" i="4"/>
  <c r="G12" i="4"/>
  <c r="I11" i="4"/>
  <c r="G11" i="4"/>
  <c r="G10" i="4"/>
  <c r="I9" i="4"/>
  <c r="G9" i="4"/>
  <c r="I8" i="4"/>
  <c r="G8" i="4"/>
  <c r="I7" i="4"/>
  <c r="G7" i="4"/>
  <c r="G6" i="4"/>
  <c r="A1" i="4"/>
  <c r="A1" i="3"/>
  <c r="A60" i="2"/>
  <c r="L59" i="2"/>
  <c r="J59" i="2"/>
  <c r="H59" i="2"/>
  <c r="F59" i="2"/>
  <c r="D59" i="2"/>
  <c r="B59" i="2"/>
  <c r="A58" i="2"/>
  <c r="A57" i="2"/>
  <c r="A52" i="2"/>
  <c r="A51" i="2"/>
  <c r="F50" i="2"/>
  <c r="D50" i="2"/>
  <c r="B50" i="2"/>
  <c r="A49" i="2"/>
  <c r="A48" i="2"/>
  <c r="A47" i="2"/>
  <c r="P9" i="2"/>
  <c r="N9" i="2"/>
  <c r="L9" i="2"/>
  <c r="J9" i="2"/>
  <c r="H9" i="2"/>
  <c r="F9" i="2"/>
  <c r="D9" i="2"/>
  <c r="B9" i="2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S255" i="5" l="1"/>
  <c r="T255" i="5" s="1"/>
  <c r="R255" i="5"/>
  <c r="P71" i="5"/>
  <c r="P80" i="5"/>
  <c r="P129" i="5"/>
  <c r="P116" i="5"/>
  <c r="H123" i="6"/>
  <c r="P16" i="5"/>
  <c r="J124" i="4"/>
  <c r="N16" i="5"/>
  <c r="N116" i="5"/>
  <c r="G123" i="6"/>
  <c r="N71" i="5"/>
  <c r="N80" i="5"/>
  <c r="N129" i="5"/>
  <c r="P249" i="5"/>
  <c r="P244" i="5"/>
  <c r="P208" i="5"/>
  <c r="P211" i="5"/>
  <c r="H122" i="6"/>
  <c r="P233" i="5"/>
  <c r="P228" i="5"/>
  <c r="N244" i="5"/>
  <c r="N211" i="5"/>
  <c r="N233" i="5"/>
  <c r="N228" i="5"/>
  <c r="N208" i="5"/>
  <c r="G122" i="6"/>
  <c r="N249" i="5"/>
  <c r="J123" i="4"/>
  <c r="P687" i="5"/>
  <c r="P686" i="5"/>
  <c r="H121" i="6"/>
  <c r="G121" i="6"/>
  <c r="N686" i="5"/>
  <c r="N687" i="5"/>
  <c r="J122" i="4"/>
  <c r="H120" i="6"/>
  <c r="P597" i="5"/>
  <c r="G120" i="6"/>
  <c r="N597" i="5"/>
  <c r="J121" i="4"/>
  <c r="P305" i="5"/>
  <c r="P79" i="5"/>
  <c r="P48" i="5"/>
  <c r="P23" i="5"/>
  <c r="P364" i="5"/>
  <c r="P104" i="5"/>
  <c r="H119" i="6"/>
  <c r="P128" i="5"/>
  <c r="P152" i="5"/>
  <c r="P144" i="5"/>
  <c r="P267" i="5"/>
  <c r="P69" i="5"/>
  <c r="G119" i="6"/>
  <c r="N48" i="5"/>
  <c r="N128" i="5"/>
  <c r="N364" i="5"/>
  <c r="N23" i="5"/>
  <c r="N305" i="5"/>
  <c r="N69" i="5"/>
  <c r="N267" i="5"/>
  <c r="N104" i="5"/>
  <c r="N152" i="5"/>
  <c r="N79" i="5"/>
  <c r="N144" i="5"/>
  <c r="J120" i="4"/>
  <c r="N632" i="5"/>
  <c r="N793" i="5"/>
  <c r="N638" i="5"/>
  <c r="G118" i="6"/>
  <c r="N725" i="5"/>
  <c r="J119" i="4"/>
  <c r="L119" i="4" s="1"/>
  <c r="N791" i="5"/>
  <c r="H117" i="6"/>
  <c r="P573" i="5"/>
  <c r="P561" i="5"/>
  <c r="P730" i="5"/>
  <c r="P731" i="5"/>
  <c r="P487" i="5"/>
  <c r="N561" i="5"/>
  <c r="J118" i="4"/>
  <c r="N730" i="5"/>
  <c r="N731" i="5"/>
  <c r="N487" i="5"/>
  <c r="N573" i="5"/>
  <c r="G117" i="6"/>
  <c r="H116" i="6"/>
  <c r="P410" i="5"/>
  <c r="P408" i="5"/>
  <c r="P713" i="5"/>
  <c r="P668" i="5"/>
  <c r="P706" i="5"/>
  <c r="P685" i="5"/>
  <c r="P660" i="5"/>
  <c r="N660" i="5"/>
  <c r="N713" i="5"/>
  <c r="N685" i="5"/>
  <c r="G116" i="6"/>
  <c r="N668" i="5"/>
  <c r="N408" i="5"/>
  <c r="J117" i="4"/>
  <c r="N410" i="5"/>
  <c r="N706" i="5"/>
  <c r="N843" i="5"/>
  <c r="N770" i="5"/>
  <c r="N756" i="5"/>
  <c r="N827" i="5"/>
  <c r="N821" i="5"/>
  <c r="G115" i="6"/>
  <c r="N862" i="5"/>
  <c r="N762" i="5"/>
  <c r="N802" i="5"/>
  <c r="N804" i="5"/>
  <c r="N851" i="5"/>
  <c r="J116" i="4"/>
  <c r="L116" i="4" s="1"/>
  <c r="N842" i="5"/>
  <c r="N472" i="5"/>
  <c r="J115" i="4"/>
  <c r="L115" i="4" s="1"/>
  <c r="G114" i="6"/>
  <c r="H113" i="6"/>
  <c r="P341" i="5"/>
  <c r="P677" i="5"/>
  <c r="N677" i="5"/>
  <c r="N341" i="5"/>
  <c r="G113" i="6"/>
  <c r="J114" i="4"/>
  <c r="N881" i="5"/>
  <c r="N884" i="5"/>
  <c r="G112" i="6"/>
  <c r="J113" i="4"/>
  <c r="L113" i="4" s="1"/>
  <c r="N549" i="5"/>
  <c r="N550" i="5"/>
  <c r="N636" i="5"/>
  <c r="N878" i="5"/>
  <c r="N644" i="5"/>
  <c r="N548" i="5"/>
  <c r="G111" i="6"/>
  <c r="N875" i="5"/>
  <c r="N637" i="5"/>
  <c r="N520" i="5"/>
  <c r="J112" i="4"/>
  <c r="L112" i="4" s="1"/>
  <c r="N876" i="5"/>
  <c r="N844" i="5"/>
  <c r="N767" i="5"/>
  <c r="N785" i="5"/>
  <c r="G110" i="6"/>
  <c r="N755" i="5"/>
  <c r="N800" i="5"/>
  <c r="N840" i="5"/>
  <c r="J111" i="4"/>
  <c r="L111" i="4" s="1"/>
  <c r="P272" i="5"/>
  <c r="H109" i="6"/>
  <c r="N272" i="5"/>
  <c r="G109" i="6"/>
  <c r="J110" i="4"/>
  <c r="H108" i="6"/>
  <c r="P541" i="5"/>
  <c r="P740" i="5"/>
  <c r="N740" i="5"/>
  <c r="N541" i="5"/>
  <c r="J109" i="4"/>
  <c r="G108" i="6"/>
  <c r="H107" i="6"/>
  <c r="P714" i="5"/>
  <c r="J108" i="4"/>
  <c r="G107" i="6"/>
  <c r="N714" i="5"/>
  <c r="H106" i="6"/>
  <c r="P869" i="5"/>
  <c r="J107" i="4"/>
  <c r="N869" i="5"/>
  <c r="G106" i="6"/>
  <c r="J106" i="4"/>
  <c r="L106" i="4" s="1"/>
  <c r="G105" i="6"/>
  <c r="N880" i="5"/>
  <c r="P26" i="5"/>
  <c r="P49" i="5"/>
  <c r="H104" i="6"/>
  <c r="J105" i="4"/>
  <c r="N26" i="5"/>
  <c r="N49" i="5"/>
  <c r="G104" i="6"/>
  <c r="P205" i="5"/>
  <c r="H103" i="6"/>
  <c r="N205" i="5"/>
  <c r="J104" i="4"/>
  <c r="G103" i="6"/>
  <c r="H102" i="6"/>
  <c r="P373" i="5"/>
  <c r="P6" i="5"/>
  <c r="P294" i="5"/>
  <c r="P265" i="5"/>
  <c r="P353" i="5"/>
  <c r="N373" i="5"/>
  <c r="N294" i="5"/>
  <c r="G102" i="6"/>
  <c r="J103" i="4"/>
  <c r="N353" i="5"/>
  <c r="N265" i="5"/>
  <c r="N6" i="5"/>
  <c r="P201" i="5"/>
  <c r="H101" i="6"/>
  <c r="J102" i="4"/>
  <c r="G101" i="6"/>
  <c r="N201" i="5"/>
  <c r="P479" i="5"/>
  <c r="H100" i="6"/>
  <c r="P551" i="5"/>
  <c r="P542" i="5"/>
  <c r="P434" i="5"/>
  <c r="P497" i="5"/>
  <c r="N551" i="5"/>
  <c r="N542" i="5"/>
  <c r="N497" i="5"/>
  <c r="N434" i="5"/>
  <c r="J101" i="4"/>
  <c r="G100" i="6"/>
  <c r="N479" i="5"/>
  <c r="P404" i="5"/>
  <c r="H99" i="6"/>
  <c r="P684" i="5"/>
  <c r="G99" i="6"/>
  <c r="N404" i="5"/>
  <c r="J100" i="4"/>
  <c r="N684" i="5"/>
  <c r="P339" i="5"/>
  <c r="H98" i="6"/>
  <c r="J99" i="4"/>
  <c r="G98" i="6"/>
  <c r="N339" i="5"/>
  <c r="P354" i="5"/>
  <c r="H97" i="6"/>
  <c r="P317" i="5"/>
  <c r="P378" i="5"/>
  <c r="N317" i="5"/>
  <c r="G97" i="6"/>
  <c r="N378" i="5"/>
  <c r="N354" i="5"/>
  <c r="J98" i="4"/>
  <c r="H96" i="6"/>
  <c r="P436" i="5"/>
  <c r="P729" i="5"/>
  <c r="J97" i="4"/>
  <c r="G96" i="6"/>
  <c r="N436" i="5"/>
  <c r="N729" i="5"/>
  <c r="P403" i="5"/>
  <c r="P657" i="5"/>
  <c r="H95" i="6"/>
  <c r="P325" i="5"/>
  <c r="P703" i="5"/>
  <c r="G95" i="6"/>
  <c r="J96" i="4"/>
  <c r="N657" i="5"/>
  <c r="N403" i="5"/>
  <c r="N325" i="5"/>
  <c r="N703" i="5"/>
  <c r="G94" i="6"/>
  <c r="J95" i="4"/>
  <c r="L95" i="4" s="1"/>
  <c r="N471" i="5"/>
  <c r="N650" i="5"/>
  <c r="P582" i="5"/>
  <c r="P461" i="5"/>
  <c r="H93" i="6"/>
  <c r="P457" i="5"/>
  <c r="P675" i="5"/>
  <c r="P590" i="5"/>
  <c r="P596" i="5"/>
  <c r="N590" i="5"/>
  <c r="N461" i="5"/>
  <c r="N582" i="5"/>
  <c r="N457" i="5"/>
  <c r="G93" i="6"/>
  <c r="N675" i="5"/>
  <c r="J94" i="4"/>
  <c r="N596" i="5"/>
  <c r="G92" i="6"/>
  <c r="N510" i="5"/>
  <c r="J93" i="4"/>
  <c r="L93" i="4" s="1"/>
  <c r="N521" i="5"/>
  <c r="P124" i="5"/>
  <c r="P96" i="5"/>
  <c r="P40" i="5"/>
  <c r="P278" i="5"/>
  <c r="H91" i="6"/>
  <c r="P78" i="5"/>
  <c r="P46" i="5"/>
  <c r="P153" i="5"/>
  <c r="P72" i="5"/>
  <c r="P74" i="5"/>
  <c r="P141" i="5"/>
  <c r="P76" i="5"/>
  <c r="P67" i="5"/>
  <c r="P77" i="5"/>
  <c r="P115" i="5"/>
  <c r="P130" i="5"/>
  <c r="P70" i="5"/>
  <c r="P127" i="5"/>
  <c r="P60" i="5"/>
  <c r="P143" i="5"/>
  <c r="P356" i="5"/>
  <c r="P14" i="5"/>
  <c r="P105" i="5"/>
  <c r="N77" i="5"/>
  <c r="N78" i="5"/>
  <c r="N141" i="5"/>
  <c r="J92" i="4"/>
  <c r="N278" i="5"/>
  <c r="N356" i="5"/>
  <c r="N153" i="5"/>
  <c r="N143" i="5"/>
  <c r="N130" i="5"/>
  <c r="N127" i="5"/>
  <c r="N124" i="5"/>
  <c r="N96" i="5"/>
  <c r="N115" i="5"/>
  <c r="G91" i="6"/>
  <c r="N14" i="5"/>
  <c r="N40" i="5"/>
  <c r="N46" i="5"/>
  <c r="N60" i="5"/>
  <c r="N67" i="5"/>
  <c r="N70" i="5"/>
  <c r="N72" i="5"/>
  <c r="N74" i="5"/>
  <c r="N76" i="5"/>
  <c r="N105" i="5"/>
  <c r="P247" i="5"/>
  <c r="P167" i="5"/>
  <c r="P161" i="5"/>
  <c r="P250" i="5"/>
  <c r="P234" i="5"/>
  <c r="P231" i="5"/>
  <c r="P192" i="5"/>
  <c r="H90" i="6"/>
  <c r="P202" i="5"/>
  <c r="P245" i="5"/>
  <c r="P160" i="5"/>
  <c r="P173" i="5"/>
  <c r="P183" i="5"/>
  <c r="P203" i="5"/>
  <c r="P229" i="5"/>
  <c r="P168" i="5"/>
  <c r="N229" i="5"/>
  <c r="N203" i="5"/>
  <c r="N167" i="5"/>
  <c r="N247" i="5"/>
  <c r="N250" i="5"/>
  <c r="N173" i="5"/>
  <c r="N202" i="5"/>
  <c r="N168" i="5"/>
  <c r="N231" i="5"/>
  <c r="G90" i="6"/>
  <c r="N183" i="5"/>
  <c r="N160" i="5"/>
  <c r="N192" i="5"/>
  <c r="N161" i="5"/>
  <c r="J91" i="4"/>
  <c r="N245" i="5"/>
  <c r="N234" i="5"/>
  <c r="P572" i="5"/>
  <c r="H89" i="6"/>
  <c r="P505" i="5"/>
  <c r="N572" i="5"/>
  <c r="G89" i="6"/>
  <c r="N505" i="5"/>
  <c r="J90" i="4"/>
  <c r="H88" i="6"/>
  <c r="P417" i="5"/>
  <c r="G88" i="6"/>
  <c r="J89" i="4"/>
  <c r="N417" i="5"/>
  <c r="P607" i="5"/>
  <c r="H87" i="6"/>
  <c r="N607" i="5"/>
  <c r="G87" i="6"/>
  <c r="J88" i="4"/>
  <c r="P296" i="5"/>
  <c r="P318" i="5"/>
  <c r="P9" i="5"/>
  <c r="P10" i="5"/>
  <c r="P13" i="5"/>
  <c r="P357" i="5"/>
  <c r="P12" i="5"/>
  <c r="H86" i="6"/>
  <c r="P374" i="5"/>
  <c r="P277" i="5"/>
  <c r="P314" i="5"/>
  <c r="P315" i="5"/>
  <c r="P269" i="5"/>
  <c r="P298" i="5"/>
  <c r="P316" i="5"/>
  <c r="P307" i="5"/>
  <c r="P7" i="5"/>
  <c r="P361" i="5"/>
  <c r="P151" i="5"/>
  <c r="P362" i="5"/>
  <c r="P103" i="5"/>
  <c r="P47" i="5"/>
  <c r="P22" i="5"/>
  <c r="P20" i="5"/>
  <c r="P266" i="5"/>
  <c r="P15" i="5"/>
  <c r="P367" i="5"/>
  <c r="P268" i="5"/>
  <c r="N7" i="5"/>
  <c r="N318" i="5"/>
  <c r="N315" i="5"/>
  <c r="N357" i="5"/>
  <c r="N296" i="5"/>
  <c r="N316" i="5"/>
  <c r="G86" i="6"/>
  <c r="N298" i="5"/>
  <c r="N367" i="5"/>
  <c r="N103" i="5"/>
  <c r="N307" i="5"/>
  <c r="J87" i="4"/>
  <c r="N151" i="5"/>
  <c r="N13" i="5"/>
  <c r="N374" i="5"/>
  <c r="N12" i="5"/>
  <c r="N10" i="5"/>
  <c r="N22" i="5"/>
  <c r="N266" i="5"/>
  <c r="N362" i="5"/>
  <c r="N277" i="5"/>
  <c r="N20" i="5"/>
  <c r="N47" i="5"/>
  <c r="N15" i="5"/>
  <c r="N268" i="5"/>
  <c r="N9" i="5"/>
  <c r="N314" i="5"/>
  <c r="N269" i="5"/>
  <c r="N361" i="5"/>
  <c r="P207" i="5"/>
  <c r="P213" i="5"/>
  <c r="P185" i="5"/>
  <c r="P191" i="5"/>
  <c r="P215" i="5"/>
  <c r="H85" i="6"/>
  <c r="P227" i="5"/>
  <c r="P242" i="5"/>
  <c r="P216" i="5"/>
  <c r="N242" i="5"/>
  <c r="N215" i="5"/>
  <c r="N213" i="5"/>
  <c r="N185" i="5"/>
  <c r="N191" i="5"/>
  <c r="N216" i="5"/>
  <c r="J86" i="4"/>
  <c r="N227" i="5"/>
  <c r="G85" i="6"/>
  <c r="N207" i="5"/>
  <c r="N627" i="5"/>
  <c r="N639" i="5"/>
  <c r="N792" i="5"/>
  <c r="J85" i="4"/>
  <c r="L85" i="4" s="1"/>
  <c r="G84" i="6"/>
  <c r="N786" i="5"/>
  <c r="N790" i="5"/>
  <c r="N635" i="5"/>
  <c r="P437" i="5"/>
  <c r="P444" i="5"/>
  <c r="P445" i="5"/>
  <c r="P446" i="5"/>
  <c r="P447" i="5"/>
  <c r="P480" i="5"/>
  <c r="P552" i="5"/>
  <c r="P482" i="5"/>
  <c r="P741" i="5"/>
  <c r="P483" i="5"/>
  <c r="P488" i="5"/>
  <c r="P498" i="5"/>
  <c r="P443" i="5"/>
  <c r="P559" i="5"/>
  <c r="P511" i="5"/>
  <c r="P388" i="5"/>
  <c r="P528" i="5"/>
  <c r="P540" i="5"/>
  <c r="P553" i="5"/>
  <c r="P554" i="5"/>
  <c r="P565" i="5"/>
  <c r="H83" i="6"/>
  <c r="P438" i="5"/>
  <c r="N511" i="5"/>
  <c r="J84" i="4"/>
  <c r="N482" i="5"/>
  <c r="N437" i="5"/>
  <c r="N741" i="5"/>
  <c r="N444" i="5"/>
  <c r="N388" i="5"/>
  <c r="N553" i="5"/>
  <c r="N480" i="5"/>
  <c r="N443" i="5"/>
  <c r="N528" i="5"/>
  <c r="N447" i="5"/>
  <c r="N565" i="5"/>
  <c r="N498" i="5"/>
  <c r="N488" i="5"/>
  <c r="N540" i="5"/>
  <c r="N438" i="5"/>
  <c r="G83" i="6"/>
  <c r="N446" i="5"/>
  <c r="N554" i="5"/>
  <c r="N552" i="5"/>
  <c r="N445" i="5"/>
  <c r="N483" i="5"/>
  <c r="N559" i="5"/>
  <c r="P411" i="5"/>
  <c r="H82" i="6"/>
  <c r="P695" i="5"/>
  <c r="P696" i="5"/>
  <c r="P421" i="5"/>
  <c r="P415" i="5"/>
  <c r="P712" i="5"/>
  <c r="P409" i="5"/>
  <c r="P414" i="5"/>
  <c r="P407" i="5"/>
  <c r="J83" i="4"/>
  <c r="N407" i="5"/>
  <c r="N695" i="5"/>
  <c r="N409" i="5"/>
  <c r="N414" i="5"/>
  <c r="N696" i="5"/>
  <c r="N415" i="5"/>
  <c r="G82" i="6"/>
  <c r="N411" i="5"/>
  <c r="N421" i="5"/>
  <c r="N712" i="5"/>
  <c r="J82" i="4"/>
  <c r="L82" i="4" s="1"/>
  <c r="N863" i="5"/>
  <c r="G81" i="6"/>
  <c r="N803" i="5"/>
  <c r="N574" i="5"/>
  <c r="G80" i="6"/>
  <c r="J81" i="4"/>
  <c r="L81" i="4" s="1"/>
  <c r="P598" i="5"/>
  <c r="P589" i="5"/>
  <c r="P467" i="5"/>
  <c r="P347" i="5"/>
  <c r="P451" i="5"/>
  <c r="P340" i="5"/>
  <c r="P586" i="5"/>
  <c r="H79" i="6"/>
  <c r="P450" i="5"/>
  <c r="N347" i="5"/>
  <c r="N451" i="5"/>
  <c r="N589" i="5"/>
  <c r="N340" i="5"/>
  <c r="N586" i="5"/>
  <c r="N598" i="5"/>
  <c r="N450" i="5"/>
  <c r="N467" i="5"/>
  <c r="J80" i="4"/>
  <c r="G79" i="6"/>
  <c r="H78" i="6"/>
  <c r="P662" i="5"/>
  <c r="J79" i="4"/>
  <c r="N662" i="5"/>
  <c r="G78" i="6"/>
  <c r="H77" i="6"/>
  <c r="P601" i="5"/>
  <c r="G77" i="6"/>
  <c r="N601" i="5"/>
  <c r="J78" i="4"/>
  <c r="N109" i="5"/>
  <c r="N107" i="5"/>
  <c r="N53" i="5"/>
  <c r="N30" i="5"/>
  <c r="N157" i="5"/>
  <c r="N155" i="5"/>
  <c r="N28" i="5"/>
  <c r="G76" i="6"/>
  <c r="N82" i="5"/>
  <c r="N25" i="5"/>
  <c r="N134" i="5"/>
  <c r="N132" i="5"/>
  <c r="N51" i="5"/>
  <c r="J77" i="4"/>
  <c r="L77" i="4" s="1"/>
  <c r="N84" i="5"/>
  <c r="J76" i="4"/>
  <c r="L76" i="4" s="1"/>
  <c r="N194" i="5"/>
  <c r="N196" i="5"/>
  <c r="G75" i="6"/>
  <c r="N172" i="5"/>
  <c r="N170" i="5"/>
  <c r="P310" i="5"/>
  <c r="P311" i="5"/>
  <c r="P312" i="5"/>
  <c r="P259" i="5"/>
  <c r="P106" i="5"/>
  <c r="P260" i="5"/>
  <c r="P276" i="5"/>
  <c r="P108" i="5"/>
  <c r="P133" i="5"/>
  <c r="P154" i="5"/>
  <c r="P156" i="5"/>
  <c r="P131" i="5"/>
  <c r="P24" i="5"/>
  <c r="P27" i="5"/>
  <c r="P29" i="5"/>
  <c r="P382" i="5"/>
  <c r="P52" i="5"/>
  <c r="P50" i="5"/>
  <c r="P293" i="5"/>
  <c r="P332" i="5"/>
  <c r="P262" i="5"/>
  <c r="P292" i="5"/>
  <c r="H74" i="6"/>
  <c r="P261" i="5"/>
  <c r="P291" i="5"/>
  <c r="P376" i="5"/>
  <c r="P81" i="5"/>
  <c r="P83" i="5"/>
  <c r="N154" i="5"/>
  <c r="N133" i="5"/>
  <c r="N131" i="5"/>
  <c r="N108" i="5"/>
  <c r="N262" i="5"/>
  <c r="N106" i="5"/>
  <c r="N310" i="5"/>
  <c r="N52" i="5"/>
  <c r="N50" i="5"/>
  <c r="N311" i="5"/>
  <c r="G74" i="6"/>
  <c r="J75" i="4"/>
  <c r="N312" i="5"/>
  <c r="N29" i="5"/>
  <c r="N382" i="5"/>
  <c r="N293" i="5"/>
  <c r="N27" i="5"/>
  <c r="N291" i="5"/>
  <c r="N259" i="5"/>
  <c r="N376" i="5"/>
  <c r="N260" i="5"/>
  <c r="N292" i="5"/>
  <c r="N24" i="5"/>
  <c r="N156" i="5"/>
  <c r="N261" i="5"/>
  <c r="N81" i="5"/>
  <c r="N332" i="5"/>
  <c r="N276" i="5"/>
  <c r="N83" i="5"/>
  <c r="P246" i="5"/>
  <c r="P248" i="5"/>
  <c r="P169" i="5"/>
  <c r="P171" i="5"/>
  <c r="P193" i="5"/>
  <c r="P195" i="5"/>
  <c r="P209" i="5"/>
  <c r="P210" i="5"/>
  <c r="P232" i="5"/>
  <c r="H73" i="6"/>
  <c r="P230" i="5"/>
  <c r="N210" i="5"/>
  <c r="N209" i="5"/>
  <c r="N246" i="5"/>
  <c r="N195" i="5"/>
  <c r="N193" i="5"/>
  <c r="N171" i="5"/>
  <c r="J74" i="4"/>
  <c r="N169" i="5"/>
  <c r="G73" i="6"/>
  <c r="N248" i="5"/>
  <c r="N232" i="5"/>
  <c r="N230" i="5"/>
  <c r="N641" i="5"/>
  <c r="G72" i="6"/>
  <c r="N630" i="5"/>
  <c r="N726" i="5"/>
  <c r="J73" i="4"/>
  <c r="L73" i="4" s="1"/>
  <c r="N787" i="5"/>
  <c r="P429" i="5"/>
  <c r="P523" i="5"/>
  <c r="P485" i="5"/>
  <c r="P433" i="5"/>
  <c r="P571" i="5"/>
  <c r="P395" i="5"/>
  <c r="P537" i="5"/>
  <c r="P428" i="5"/>
  <c r="P484" i="5"/>
  <c r="P742" i="5"/>
  <c r="P432" i="5"/>
  <c r="P535" i="5"/>
  <c r="P558" i="5"/>
  <c r="P738" i="5"/>
  <c r="P396" i="5"/>
  <c r="P736" i="5"/>
  <c r="P743" i="5"/>
  <c r="P504" i="5"/>
  <c r="P503" i="5"/>
  <c r="P567" i="5"/>
  <c r="P515" i="5"/>
  <c r="P518" i="5"/>
  <c r="H71" i="6"/>
  <c r="N504" i="5"/>
  <c r="N523" i="5"/>
  <c r="N571" i="5"/>
  <c r="N742" i="5"/>
  <c r="N537" i="5"/>
  <c r="N535" i="5"/>
  <c r="N738" i="5"/>
  <c r="N428" i="5"/>
  <c r="N558" i="5"/>
  <c r="N432" i="5"/>
  <c r="N736" i="5"/>
  <c r="N429" i="5"/>
  <c r="N485" i="5"/>
  <c r="N743" i="5"/>
  <c r="N396" i="5"/>
  <c r="N503" i="5"/>
  <c r="N433" i="5"/>
  <c r="N567" i="5"/>
  <c r="N515" i="5"/>
  <c r="N395" i="5"/>
  <c r="J72" i="4"/>
  <c r="G71" i="6"/>
  <c r="N518" i="5"/>
  <c r="N484" i="5"/>
  <c r="P406" i="5"/>
  <c r="P313" i="5"/>
  <c r="P413" i="5"/>
  <c r="P659" i="5"/>
  <c r="P412" i="5"/>
  <c r="P282" i="5"/>
  <c r="P299" i="5"/>
  <c r="P691" i="5"/>
  <c r="H70" i="6"/>
  <c r="P300" i="5"/>
  <c r="P327" i="5"/>
  <c r="P708" i="5"/>
  <c r="P688" i="5"/>
  <c r="P709" i="5"/>
  <c r="P710" i="5"/>
  <c r="P281" i="5"/>
  <c r="P368" i="5"/>
  <c r="P663" i="5"/>
  <c r="N313" i="5"/>
  <c r="J71" i="4"/>
  <c r="N413" i="5"/>
  <c r="N710" i="5"/>
  <c r="N406" i="5"/>
  <c r="N691" i="5"/>
  <c r="N709" i="5"/>
  <c r="N412" i="5"/>
  <c r="N708" i="5"/>
  <c r="N663" i="5"/>
  <c r="N659" i="5"/>
  <c r="N327" i="5"/>
  <c r="N281" i="5"/>
  <c r="N368" i="5"/>
  <c r="G70" i="6"/>
  <c r="N299" i="5"/>
  <c r="N300" i="5"/>
  <c r="N282" i="5"/>
  <c r="N688" i="5"/>
  <c r="N822" i="5"/>
  <c r="N828" i="5"/>
  <c r="N825" i="5"/>
  <c r="N771" i="5"/>
  <c r="N811" i="5"/>
  <c r="N864" i="5"/>
  <c r="N764" i="5"/>
  <c r="N849" i="5"/>
  <c r="G69" i="6"/>
  <c r="N816" i="5"/>
  <c r="N780" i="5"/>
  <c r="N836" i="5"/>
  <c r="N871" i="5"/>
  <c r="N857" i="5"/>
  <c r="N805" i="5"/>
  <c r="J70" i="4"/>
  <c r="L70" i="4" s="1"/>
  <c r="N475" i="5"/>
  <c r="N575" i="5"/>
  <c r="N651" i="5"/>
  <c r="G68" i="6"/>
  <c r="J69" i="4"/>
  <c r="L69" i="4" s="1"/>
  <c r="P600" i="5"/>
  <c r="P679" i="5"/>
  <c r="P463" i="5"/>
  <c r="P458" i="5"/>
  <c r="P338" i="5"/>
  <c r="P348" i="5"/>
  <c r="P452" i="5"/>
  <c r="P465" i="5"/>
  <c r="P591" i="5"/>
  <c r="H67" i="6"/>
  <c r="N591" i="5"/>
  <c r="N679" i="5"/>
  <c r="N452" i="5"/>
  <c r="N458" i="5"/>
  <c r="G67" i="6"/>
  <c r="N348" i="5"/>
  <c r="N600" i="5"/>
  <c r="N465" i="5"/>
  <c r="N463" i="5"/>
  <c r="N338" i="5"/>
  <c r="J68" i="4"/>
  <c r="G66" i="6"/>
  <c r="N879" i="5"/>
  <c r="J67" i="4"/>
  <c r="L67" i="4" s="1"/>
  <c r="P289" i="5"/>
  <c r="P355" i="5"/>
  <c r="P54" i="5"/>
  <c r="P264" i="5"/>
  <c r="H65" i="6"/>
  <c r="P55" i="5"/>
  <c r="P61" i="5"/>
  <c r="P62" i="5"/>
  <c r="P263" i="5"/>
  <c r="N355" i="5"/>
  <c r="N289" i="5"/>
  <c r="N61" i="5"/>
  <c r="N62" i="5"/>
  <c r="N54" i="5"/>
  <c r="N264" i="5"/>
  <c r="N55" i="5"/>
  <c r="N263" i="5"/>
  <c r="G65" i="6"/>
  <c r="J66" i="4"/>
  <c r="P517" i="5"/>
  <c r="P534" i="5"/>
  <c r="H64" i="6"/>
  <c r="P737" i="5"/>
  <c r="P735" i="5"/>
  <c r="P397" i="5"/>
  <c r="P430" i="5"/>
  <c r="P570" i="5"/>
  <c r="P481" i="5"/>
  <c r="N737" i="5"/>
  <c r="N735" i="5"/>
  <c r="N570" i="5"/>
  <c r="J65" i="4"/>
  <c r="G64" i="6"/>
  <c r="N517" i="5"/>
  <c r="N534" i="5"/>
  <c r="N397" i="5"/>
  <c r="N430" i="5"/>
  <c r="N481" i="5"/>
  <c r="P405" i="5"/>
  <c r="P661" i="5"/>
  <c r="H63" i="6"/>
  <c r="P707" i="5"/>
  <c r="N405" i="5"/>
  <c r="J64" i="4"/>
  <c r="N707" i="5"/>
  <c r="G63" i="6"/>
  <c r="N661" i="5"/>
  <c r="N474" i="5"/>
  <c r="G62" i="6"/>
  <c r="J63" i="4"/>
  <c r="L63" i="4" s="1"/>
  <c r="H61" i="6"/>
  <c r="P609" i="5"/>
  <c r="P588" i="5"/>
  <c r="P466" i="5"/>
  <c r="G61" i="6"/>
  <c r="J62" i="4"/>
  <c r="N466" i="5"/>
  <c r="N609" i="5"/>
  <c r="N588" i="5"/>
  <c r="J61" i="4"/>
  <c r="L61" i="4" s="1"/>
  <c r="N66" i="5"/>
  <c r="N57" i="5"/>
  <c r="G60" i="6"/>
  <c r="N64" i="5"/>
  <c r="N59" i="5"/>
  <c r="P290" i="5"/>
  <c r="P63" i="5"/>
  <c r="H59" i="6"/>
  <c r="P56" i="5"/>
  <c r="P65" i="5"/>
  <c r="P58" i="5"/>
  <c r="J60" i="4"/>
  <c r="N290" i="5"/>
  <c r="N65" i="5"/>
  <c r="N58" i="5"/>
  <c r="N56" i="5"/>
  <c r="G59" i="6"/>
  <c r="N63" i="5"/>
  <c r="P431" i="5"/>
  <c r="P536" i="5"/>
  <c r="P739" i="5"/>
  <c r="H58" i="6"/>
  <c r="N536" i="5"/>
  <c r="N739" i="5"/>
  <c r="G58" i="6"/>
  <c r="N431" i="5"/>
  <c r="J59" i="4"/>
  <c r="P689" i="5"/>
  <c r="H57" i="6"/>
  <c r="N689" i="5"/>
  <c r="J58" i="4"/>
  <c r="G57" i="6"/>
  <c r="P464" i="5"/>
  <c r="H56" i="6"/>
  <c r="N464" i="5"/>
  <c r="J57" i="4"/>
  <c r="G56" i="6"/>
  <c r="H55" i="6"/>
  <c r="P35" i="5"/>
  <c r="P95" i="5"/>
  <c r="P142" i="5"/>
  <c r="P126" i="5"/>
  <c r="P111" i="5"/>
  <c r="P41" i="5"/>
  <c r="N35" i="5"/>
  <c r="N41" i="5"/>
  <c r="N111" i="5"/>
  <c r="J56" i="4"/>
  <c r="N142" i="5"/>
  <c r="N95" i="5"/>
  <c r="N126" i="5"/>
  <c r="G55" i="6"/>
  <c r="H54" i="6"/>
  <c r="P165" i="5"/>
  <c r="P184" i="5"/>
  <c r="N184" i="5"/>
  <c r="G54" i="6"/>
  <c r="J55" i="4"/>
  <c r="N165" i="5"/>
  <c r="P297" i="5"/>
  <c r="P366" i="5"/>
  <c r="P68" i="5"/>
  <c r="P270" i="5"/>
  <c r="P257" i="5"/>
  <c r="H53" i="6"/>
  <c r="P309" i="5"/>
  <c r="P33" i="5"/>
  <c r="J54" i="4"/>
  <c r="N68" i="5"/>
  <c r="N257" i="5"/>
  <c r="N33" i="5"/>
  <c r="G53" i="6"/>
  <c r="N309" i="5"/>
  <c r="N366" i="5"/>
  <c r="N270" i="5"/>
  <c r="N297" i="5"/>
  <c r="P179" i="5"/>
  <c r="P178" i="5"/>
  <c r="H52" i="6"/>
  <c r="G52" i="6"/>
  <c r="N179" i="5"/>
  <c r="N178" i="5"/>
  <c r="J53" i="4"/>
  <c r="G51" i="6"/>
  <c r="J52" i="4"/>
  <c r="L52" i="4" s="1"/>
  <c r="N724" i="5"/>
  <c r="P499" i="5"/>
  <c r="P389" i="5"/>
  <c r="P733" i="5"/>
  <c r="P522" i="5"/>
  <c r="H50" i="6"/>
  <c r="P490" i="5"/>
  <c r="P566" i="5"/>
  <c r="P439" i="5"/>
  <c r="P538" i="5"/>
  <c r="N522" i="5"/>
  <c r="G50" i="6"/>
  <c r="J51" i="4"/>
  <c r="N389" i="5"/>
  <c r="N439" i="5"/>
  <c r="N490" i="5"/>
  <c r="N566" i="5"/>
  <c r="N499" i="5"/>
  <c r="N538" i="5"/>
  <c r="N733" i="5"/>
  <c r="P692" i="5"/>
  <c r="H49" i="6"/>
  <c r="P658" i="5"/>
  <c r="P711" i="5"/>
  <c r="P419" i="5"/>
  <c r="N658" i="5"/>
  <c r="N419" i="5"/>
  <c r="J50" i="4"/>
  <c r="G49" i="6"/>
  <c r="N711" i="5"/>
  <c r="N692" i="5"/>
  <c r="N652" i="5"/>
  <c r="N576" i="5"/>
  <c r="G48" i="6"/>
  <c r="J49" i="4"/>
  <c r="L49" i="4" s="1"/>
  <c r="P459" i="5"/>
  <c r="P337" i="5"/>
  <c r="H47" i="6"/>
  <c r="P608" i="5"/>
  <c r="N608" i="5"/>
  <c r="N459" i="5"/>
  <c r="J48" i="4"/>
  <c r="N337" i="5"/>
  <c r="G47" i="6"/>
  <c r="H46" i="6"/>
  <c r="P21" i="5"/>
  <c r="J47" i="4"/>
  <c r="G46" i="6"/>
  <c r="N21" i="5"/>
  <c r="P539" i="5"/>
  <c r="P745" i="5"/>
  <c r="H45" i="6"/>
  <c r="J46" i="4"/>
  <c r="N745" i="5"/>
  <c r="G45" i="6"/>
  <c r="N539" i="5"/>
  <c r="G44" i="6"/>
  <c r="N865" i="5"/>
  <c r="J45" i="4"/>
  <c r="L45" i="4" s="1"/>
  <c r="G43" i="6"/>
  <c r="N577" i="5"/>
  <c r="J44" i="4"/>
  <c r="L44" i="4" s="1"/>
  <c r="P346" i="5"/>
  <c r="P449" i="5"/>
  <c r="H42" i="6"/>
  <c r="N346" i="5"/>
  <c r="G42" i="6"/>
  <c r="N449" i="5"/>
  <c r="J43" i="4"/>
  <c r="H41" i="6"/>
  <c r="P380" i="5"/>
  <c r="P258" i="5"/>
  <c r="N258" i="5"/>
  <c r="G41" i="6"/>
  <c r="N380" i="5"/>
  <c r="J42" i="4"/>
  <c r="H40" i="6"/>
  <c r="P206" i="5"/>
  <c r="N206" i="5"/>
  <c r="G40" i="6"/>
  <c r="J41" i="4"/>
  <c r="G39" i="6"/>
  <c r="N789" i="5"/>
  <c r="N629" i="5"/>
  <c r="J40" i="4"/>
  <c r="L40" i="4" s="1"/>
  <c r="P514" i="5"/>
  <c r="P519" i="5"/>
  <c r="P500" i="5"/>
  <c r="P734" i="5"/>
  <c r="H38" i="6"/>
  <c r="N519" i="5"/>
  <c r="G38" i="6"/>
  <c r="N514" i="5"/>
  <c r="N734" i="5"/>
  <c r="N500" i="5"/>
  <c r="J39" i="4"/>
  <c r="P587" i="5"/>
  <c r="P676" i="5"/>
  <c r="H37" i="6"/>
  <c r="G37" i="6"/>
  <c r="N676" i="5"/>
  <c r="N587" i="5"/>
  <c r="J38" i="4"/>
  <c r="N489" i="5"/>
  <c r="N441" i="5"/>
  <c r="N556" i="5"/>
  <c r="N381" i="5"/>
  <c r="J37" i="4"/>
  <c r="L37" i="4" s="1"/>
  <c r="G36" i="6"/>
  <c r="N788" i="5"/>
  <c r="P690" i="5"/>
  <c r="H35" i="6"/>
  <c r="P693" i="5"/>
  <c r="N690" i="5"/>
  <c r="G35" i="6"/>
  <c r="N693" i="5"/>
  <c r="J36" i="4"/>
  <c r="G34" i="6"/>
  <c r="J35" i="4"/>
  <c r="L35" i="4" s="1"/>
  <c r="N763" i="5"/>
  <c r="P653" i="5"/>
  <c r="H33" i="6"/>
  <c r="J34" i="4"/>
  <c r="G33" i="6"/>
  <c r="N653" i="5"/>
  <c r="N524" i="5"/>
  <c r="J33" i="4"/>
  <c r="L33" i="4" s="1"/>
  <c r="G32" i="6"/>
  <c r="N501" i="5"/>
  <c r="N253" i="5"/>
  <c r="N560" i="5"/>
  <c r="P295" i="5"/>
  <c r="P359" i="5"/>
  <c r="H31" i="6"/>
  <c r="N295" i="5"/>
  <c r="N359" i="5"/>
  <c r="G31" i="6"/>
  <c r="J32" i="4"/>
  <c r="P486" i="5"/>
  <c r="P435" i="5"/>
  <c r="P533" i="5"/>
  <c r="P557" i="5"/>
  <c r="P502" i="5"/>
  <c r="H30" i="6"/>
  <c r="P393" i="5"/>
  <c r="N533" i="5"/>
  <c r="N435" i="5"/>
  <c r="N486" i="5"/>
  <c r="N502" i="5"/>
  <c r="N393" i="5"/>
  <c r="G30" i="6"/>
  <c r="N557" i="5"/>
  <c r="J31" i="4"/>
  <c r="P416" i="5"/>
  <c r="H29" i="6"/>
  <c r="J30" i="4"/>
  <c r="G29" i="6"/>
  <c r="N416" i="5"/>
  <c r="P349" i="5"/>
  <c r="P592" i="5"/>
  <c r="P462" i="5"/>
  <c r="H28" i="6"/>
  <c r="P336" i="5"/>
  <c r="N462" i="5"/>
  <c r="N349" i="5"/>
  <c r="N592" i="5"/>
  <c r="G28" i="6"/>
  <c r="J29" i="4"/>
  <c r="N336" i="5"/>
  <c r="J28" i="4"/>
  <c r="L28" i="4" s="1"/>
  <c r="G27" i="6"/>
  <c r="N628" i="5"/>
  <c r="N631" i="5"/>
  <c r="P271" i="5"/>
  <c r="P331" i="5"/>
  <c r="P254" i="5"/>
  <c r="H26" i="6"/>
  <c r="N331" i="5"/>
  <c r="N254" i="5"/>
  <c r="G26" i="6"/>
  <c r="N271" i="5"/>
  <c r="J27" i="4"/>
  <c r="P516" i="5"/>
  <c r="H25" i="6"/>
  <c r="N516" i="5"/>
  <c r="J26" i="4"/>
  <c r="G25" i="6"/>
  <c r="P114" i="5"/>
  <c r="P11" i="5"/>
  <c r="P88" i="5"/>
  <c r="P158" i="5"/>
  <c r="P87" i="5"/>
  <c r="P85" i="5"/>
  <c r="P275" i="5"/>
  <c r="P377" i="5"/>
  <c r="P17" i="5"/>
  <c r="H24" i="6"/>
  <c r="P18" i="5"/>
  <c r="P45" i="5"/>
  <c r="P73" i="5"/>
  <c r="P112" i="5"/>
  <c r="P19" i="5"/>
  <c r="P113" i="5"/>
  <c r="N17" i="5"/>
  <c r="N85" i="5"/>
  <c r="N11" i="5"/>
  <c r="N73" i="5"/>
  <c r="G24" i="6"/>
  <c r="J25" i="4"/>
  <c r="N88" i="5"/>
  <c r="N87" i="5"/>
  <c r="N45" i="5"/>
  <c r="N275" i="5"/>
  <c r="N377" i="5"/>
  <c r="N112" i="5"/>
  <c r="N113" i="5"/>
  <c r="N114" i="5"/>
  <c r="N158" i="5"/>
  <c r="N19" i="5"/>
  <c r="N18" i="5"/>
  <c r="P174" i="5"/>
  <c r="P176" i="5"/>
  <c r="H23" i="6"/>
  <c r="N176" i="5"/>
  <c r="N174" i="5"/>
  <c r="G23" i="6"/>
  <c r="J24" i="4"/>
  <c r="H22" i="6"/>
  <c r="P744" i="5"/>
  <c r="P527" i="5"/>
  <c r="P426" i="5"/>
  <c r="N426" i="5"/>
  <c r="G22" i="6"/>
  <c r="N527" i="5"/>
  <c r="J23" i="4"/>
  <c r="N744" i="5"/>
  <c r="H21" i="6"/>
  <c r="P604" i="5"/>
  <c r="G21" i="6"/>
  <c r="N604" i="5"/>
  <c r="J22" i="4"/>
  <c r="P379" i="5"/>
  <c r="H20" i="6"/>
  <c r="G20" i="6"/>
  <c r="N379" i="5"/>
  <c r="J21" i="4"/>
  <c r="P747" i="5"/>
  <c r="P568" i="5"/>
  <c r="H19" i="6"/>
  <c r="P394" i="5"/>
  <c r="P746" i="5"/>
  <c r="P526" i="5"/>
  <c r="N568" i="5"/>
  <c r="N747" i="5"/>
  <c r="N526" i="5"/>
  <c r="N746" i="5"/>
  <c r="N394" i="5"/>
  <c r="G19" i="6"/>
  <c r="J20" i="4"/>
  <c r="P705" i="5"/>
  <c r="P398" i="5"/>
  <c r="P718" i="5"/>
  <c r="P669" i="5"/>
  <c r="P694" i="5"/>
  <c r="H18" i="6"/>
  <c r="P704" i="5"/>
  <c r="P698" i="5"/>
  <c r="P667" i="5"/>
  <c r="P664" i="5"/>
  <c r="P666" i="5"/>
  <c r="N705" i="5"/>
  <c r="N704" i="5"/>
  <c r="N698" i="5"/>
  <c r="N669" i="5"/>
  <c r="N667" i="5"/>
  <c r="N666" i="5"/>
  <c r="N664" i="5"/>
  <c r="N694" i="5"/>
  <c r="N398" i="5"/>
  <c r="G18" i="6"/>
  <c r="N718" i="5"/>
  <c r="J19" i="4"/>
  <c r="P8" i="5"/>
  <c r="H17" i="6"/>
  <c r="N8" i="5"/>
  <c r="G17" i="6"/>
  <c r="J18" i="4"/>
  <c r="P102" i="5"/>
  <c r="P99" i="5"/>
  <c r="P91" i="5"/>
  <c r="P375" i="5"/>
  <c r="P139" i="5"/>
  <c r="P110" i="5"/>
  <c r="P274" i="5"/>
  <c r="P122" i="5"/>
  <c r="P273" i="5"/>
  <c r="P135" i="5"/>
  <c r="P98" i="5"/>
  <c r="P90" i="5"/>
  <c r="P117" i="5"/>
  <c r="P42" i="5"/>
  <c r="P89" i="5"/>
  <c r="P118" i="5"/>
  <c r="P136" i="5"/>
  <c r="P97" i="5"/>
  <c r="P119" i="5"/>
  <c r="P121" i="5"/>
  <c r="P140" i="5"/>
  <c r="P39" i="5"/>
  <c r="H16" i="6"/>
  <c r="P123" i="5"/>
  <c r="P38" i="5"/>
  <c r="P36" i="5"/>
  <c r="P137" i="5"/>
  <c r="P120" i="5"/>
  <c r="P86" i="5"/>
  <c r="P37" i="5"/>
  <c r="P138" i="5"/>
  <c r="P94" i="5"/>
  <c r="P125" i="5"/>
  <c r="P93" i="5"/>
  <c r="P145" i="5"/>
  <c r="P146" i="5"/>
  <c r="P147" i="5"/>
  <c r="P148" i="5"/>
  <c r="P181" i="5"/>
  <c r="P182" i="5"/>
  <c r="P44" i="5"/>
  <c r="P187" i="5"/>
  <c r="P149" i="5"/>
  <c r="P150" i="5"/>
  <c r="P288" i="5"/>
  <c r="P75" i="5"/>
  <c r="P287" i="5"/>
  <c r="P43" i="5"/>
  <c r="P159" i="5"/>
  <c r="P101" i="5"/>
  <c r="P92" i="5"/>
  <c r="P163" i="5"/>
  <c r="P164" i="5"/>
  <c r="P100" i="5"/>
  <c r="N90" i="5"/>
  <c r="N89" i="5"/>
  <c r="N123" i="5"/>
  <c r="N125" i="5"/>
  <c r="N86" i="5"/>
  <c r="N39" i="5"/>
  <c r="N135" i="5"/>
  <c r="N136" i="5"/>
  <c r="N137" i="5"/>
  <c r="N42" i="5"/>
  <c r="N44" i="5"/>
  <c r="N43" i="5"/>
  <c r="N375" i="5"/>
  <c r="N145" i="5"/>
  <c r="N138" i="5"/>
  <c r="N139" i="5"/>
  <c r="N140" i="5"/>
  <c r="N92" i="5"/>
  <c r="N146" i="5"/>
  <c r="N102" i="5"/>
  <c r="N147" i="5"/>
  <c r="N99" i="5"/>
  <c r="N148" i="5"/>
  <c r="N36" i="5"/>
  <c r="N149" i="5"/>
  <c r="N181" i="5"/>
  <c r="N110" i="5"/>
  <c r="N182" i="5"/>
  <c r="N274" i="5"/>
  <c r="N273" i="5"/>
  <c r="N287" i="5"/>
  <c r="N75" i="5"/>
  <c r="N187" i="5"/>
  <c r="N117" i="5"/>
  <c r="N118" i="5"/>
  <c r="N150" i="5"/>
  <c r="N98" i="5"/>
  <c r="N119" i="5"/>
  <c r="N120" i="5"/>
  <c r="N288" i="5"/>
  <c r="G16" i="6"/>
  <c r="N100" i="5"/>
  <c r="N159" i="5"/>
  <c r="N97" i="5"/>
  <c r="N37" i="5"/>
  <c r="N121" i="5"/>
  <c r="N38" i="5"/>
  <c r="N94" i="5"/>
  <c r="J17" i="4"/>
  <c r="N163" i="5"/>
  <c r="N93" i="5"/>
  <c r="N164" i="5"/>
  <c r="N122" i="5"/>
  <c r="N101" i="5"/>
  <c r="N91" i="5"/>
  <c r="P218" i="5"/>
  <c r="P237" i="5"/>
  <c r="P217" i="5"/>
  <c r="P180" i="5"/>
  <c r="P236" i="5"/>
  <c r="P197" i="5"/>
  <c r="P235" i="5"/>
  <c r="P189" i="5"/>
  <c r="P214" i="5"/>
  <c r="P240" i="5"/>
  <c r="P226" i="5"/>
  <c r="P175" i="5"/>
  <c r="P212" i="5"/>
  <c r="P190" i="5"/>
  <c r="P225" i="5"/>
  <c r="P241" i="5"/>
  <c r="P224" i="5"/>
  <c r="P238" i="5"/>
  <c r="P223" i="5"/>
  <c r="P243" i="5"/>
  <c r="P222" i="5"/>
  <c r="P177" i="5"/>
  <c r="P162" i="5"/>
  <c r="P221" i="5"/>
  <c r="H15" i="6"/>
  <c r="P166" i="5"/>
  <c r="P239" i="5"/>
  <c r="P204" i="5"/>
  <c r="P188" i="5"/>
  <c r="P219" i="5"/>
  <c r="P186" i="5"/>
  <c r="P220" i="5"/>
  <c r="N240" i="5"/>
  <c r="N239" i="5"/>
  <c r="N238" i="5"/>
  <c r="N237" i="5"/>
  <c r="N236" i="5"/>
  <c r="N235" i="5"/>
  <c r="N225" i="5"/>
  <c r="N224" i="5"/>
  <c r="N223" i="5"/>
  <c r="N222" i="5"/>
  <c r="N221" i="5"/>
  <c r="N220" i="5"/>
  <c r="N219" i="5"/>
  <c r="N218" i="5"/>
  <c r="N217" i="5"/>
  <c r="N214" i="5"/>
  <c r="N212" i="5"/>
  <c r="N204" i="5"/>
  <c r="N197" i="5"/>
  <c r="N190" i="5"/>
  <c r="N189" i="5"/>
  <c r="N226" i="5"/>
  <c r="N186" i="5"/>
  <c r="N180" i="5"/>
  <c r="N177" i="5"/>
  <c r="N175" i="5"/>
  <c r="N166" i="5"/>
  <c r="J16" i="4"/>
  <c r="N162" i="5"/>
  <c r="N188" i="5"/>
  <c r="G15" i="6"/>
  <c r="N243" i="5"/>
  <c r="N241" i="5"/>
  <c r="P569" i="5"/>
  <c r="H14" i="6"/>
  <c r="P513" i="5"/>
  <c r="P491" i="5"/>
  <c r="P390" i="5"/>
  <c r="P427" i="5"/>
  <c r="P492" i="5"/>
  <c r="G14" i="6"/>
  <c r="N569" i="5"/>
  <c r="N513" i="5"/>
  <c r="N491" i="5"/>
  <c r="N390" i="5"/>
  <c r="N427" i="5"/>
  <c r="J15" i="4"/>
  <c r="N492" i="5"/>
  <c r="P602" i="5"/>
  <c r="P611" i="5"/>
  <c r="P606" i="5"/>
  <c r="H13" i="6"/>
  <c r="P610" i="5"/>
  <c r="P599" i="5"/>
  <c r="N611" i="5"/>
  <c r="N606" i="5"/>
  <c r="G13" i="6"/>
  <c r="N610" i="5"/>
  <c r="N599" i="5"/>
  <c r="N602" i="5"/>
  <c r="J14" i="4"/>
  <c r="P286" i="5"/>
  <c r="P308" i="5"/>
  <c r="H12" i="6"/>
  <c r="P358" i="5"/>
  <c r="P360" i="5"/>
  <c r="P306" i="5"/>
  <c r="P256" i="5"/>
  <c r="P319" i="5"/>
  <c r="P320" i="5"/>
  <c r="P285" i="5"/>
  <c r="P365" i="5"/>
  <c r="N306" i="5"/>
  <c r="N358" i="5"/>
  <c r="N365" i="5"/>
  <c r="N256" i="5"/>
  <c r="J13" i="4"/>
  <c r="N320" i="5"/>
  <c r="N308" i="5"/>
  <c r="N286" i="5"/>
  <c r="N285" i="5"/>
  <c r="N360" i="5"/>
  <c r="G12" i="6"/>
  <c r="N319" i="5"/>
  <c r="N544" i="5"/>
  <c r="N543" i="5"/>
  <c r="N440" i="5"/>
  <c r="N562" i="5"/>
  <c r="N512" i="5"/>
  <c r="J12" i="4"/>
  <c r="L12" i="4" s="1"/>
  <c r="N391" i="5"/>
  <c r="N392" i="5"/>
  <c r="N442" i="5"/>
  <c r="G11" i="6"/>
  <c r="N732" i="5"/>
  <c r="N555" i="5"/>
  <c r="P326" i="5"/>
  <c r="P719" i="5"/>
  <c r="P665" i="5"/>
  <c r="P328" i="5"/>
  <c r="P717" i="5"/>
  <c r="P715" i="5"/>
  <c r="P699" i="5"/>
  <c r="P683" i="5"/>
  <c r="H10" i="6"/>
  <c r="P420" i="5"/>
  <c r="P418" i="5"/>
  <c r="P697" i="5"/>
  <c r="P525" i="5"/>
  <c r="N683" i="5"/>
  <c r="N717" i="5"/>
  <c r="G10" i="6"/>
  <c r="N665" i="5"/>
  <c r="N719" i="5"/>
  <c r="N326" i="5"/>
  <c r="N715" i="5"/>
  <c r="N420" i="5"/>
  <c r="N418" i="5"/>
  <c r="N699" i="5"/>
  <c r="J11" i="4"/>
  <c r="N525" i="5"/>
  <c r="N697" i="5"/>
  <c r="N328" i="5"/>
  <c r="N473" i="5"/>
  <c r="N476" i="5"/>
  <c r="J10" i="4"/>
  <c r="L10" i="4" s="1"/>
  <c r="N578" i="5"/>
  <c r="G9" i="6"/>
  <c r="P345" i="5"/>
  <c r="P585" i="5"/>
  <c r="P583" i="5"/>
  <c r="P448" i="5"/>
  <c r="P460" i="5"/>
  <c r="H8" i="6"/>
  <c r="P335" i="5"/>
  <c r="P678" i="5"/>
  <c r="N335" i="5"/>
  <c r="N678" i="5"/>
  <c r="N448" i="5"/>
  <c r="G8" i="6"/>
  <c r="N345" i="5"/>
  <c r="N460" i="5"/>
  <c r="N585" i="5"/>
  <c r="N583" i="5"/>
  <c r="J9" i="4"/>
  <c r="P716" i="5"/>
  <c r="H7" i="6"/>
  <c r="J8" i="4"/>
  <c r="G7" i="6"/>
  <c r="N716" i="5"/>
  <c r="H6" i="6"/>
  <c r="P605" i="5"/>
  <c r="P603" i="5"/>
  <c r="J7" i="4"/>
  <c r="N603" i="5"/>
  <c r="N605" i="5"/>
  <c r="G6" i="6"/>
  <c r="J6" i="4"/>
  <c r="N5" i="5"/>
  <c r="G5" i="6"/>
  <c r="Q11" i="2"/>
  <c r="Q10" i="2"/>
  <c r="P12" i="2" s="1"/>
  <c r="O10" i="2"/>
  <c r="O11" i="2"/>
  <c r="N12" i="2"/>
  <c r="M11" i="2"/>
  <c r="M10" i="2"/>
  <c r="L12" i="2"/>
  <c r="K10" i="2"/>
  <c r="K11" i="2"/>
  <c r="J12" i="2"/>
  <c r="I10" i="2"/>
  <c r="I11" i="2"/>
  <c r="H12" i="2"/>
  <c r="G11" i="2"/>
  <c r="G10" i="2"/>
  <c r="F12" i="2" s="1"/>
  <c r="E10" i="2"/>
  <c r="E11" i="2"/>
  <c r="D12" i="2" s="1"/>
  <c r="C11" i="2"/>
  <c r="C10" i="2"/>
  <c r="B12" i="2" s="1"/>
  <c r="E106" i="6"/>
  <c r="E124" i="6"/>
  <c r="E125" i="6"/>
  <c r="C6" i="9"/>
  <c r="K6" i="9" s="1"/>
  <c r="C7" i="9"/>
  <c r="K7" i="9" s="1"/>
  <c r="L7" i="9" s="1"/>
  <c r="C8" i="9"/>
  <c r="K8" i="9" s="1"/>
  <c r="L8" i="9" s="1"/>
  <c r="C9" i="9"/>
  <c r="K9" i="9" s="1"/>
  <c r="L9" i="9" s="1"/>
  <c r="C10" i="9"/>
  <c r="K10" i="9" s="1"/>
  <c r="L10" i="9" s="1"/>
  <c r="C6" i="10"/>
  <c r="C10" i="10"/>
  <c r="C14" i="10"/>
  <c r="C18" i="10"/>
  <c r="C22" i="10"/>
  <c r="C26" i="10"/>
  <c r="C30" i="10"/>
  <c r="C34" i="10"/>
  <c r="C38" i="10"/>
  <c r="C42" i="10"/>
  <c r="C46" i="10"/>
  <c r="C50" i="10"/>
  <c r="C54" i="10"/>
  <c r="C58" i="10"/>
  <c r="C62" i="10"/>
  <c r="C66" i="10"/>
  <c r="C70" i="10"/>
  <c r="C74" i="10"/>
  <c r="C82" i="10"/>
  <c r="C86" i="10"/>
  <c r="C17" i="13"/>
  <c r="K17" i="13" s="1"/>
  <c r="L17" i="13" s="1"/>
  <c r="C78" i="10"/>
  <c r="M34" i="5"/>
  <c r="Q34" i="5" s="1"/>
  <c r="S34" i="5" s="1"/>
  <c r="M32" i="5"/>
  <c r="Q32" i="5" s="1"/>
  <c r="S32" i="5" s="1"/>
  <c r="M31" i="5"/>
  <c r="Q31" i="5" s="1"/>
  <c r="S31" i="5" s="1"/>
  <c r="F126" i="4"/>
  <c r="F125" i="4"/>
  <c r="F107" i="4"/>
  <c r="M869" i="5"/>
  <c r="C66" i="14"/>
  <c r="L66" i="14" s="1"/>
  <c r="M760" i="5"/>
  <c r="Q760" i="5" s="1"/>
  <c r="M872" i="5"/>
  <c r="Q872" i="5" s="1"/>
  <c r="S872" i="5" s="1"/>
  <c r="C88" i="14"/>
  <c r="L88" i="14" s="1"/>
  <c r="M88" i="14" s="1"/>
  <c r="M887" i="5"/>
  <c r="Q887" i="5" s="1"/>
  <c r="S887" i="5" s="1"/>
  <c r="C87" i="14"/>
  <c r="L87" i="14" s="1"/>
  <c r="M889" i="5"/>
  <c r="Q889" i="5" s="1"/>
  <c r="S889" i="5" s="1"/>
  <c r="C93" i="14"/>
  <c r="L93" i="14" s="1"/>
  <c r="M891" i="5"/>
  <c r="Q891" i="5" s="1"/>
  <c r="S891" i="5" s="1"/>
  <c r="M893" i="5"/>
  <c r="Q893" i="5" s="1"/>
  <c r="C13" i="14"/>
  <c r="L13" i="14" s="1"/>
  <c r="C13" i="13"/>
  <c r="K13" i="13" s="1"/>
  <c r="L13" i="13" s="1"/>
  <c r="C9" i="13"/>
  <c r="K9" i="13" s="1"/>
  <c r="L9" i="13" s="1"/>
  <c r="E34" i="6"/>
  <c r="C6" i="13"/>
  <c r="K6" i="13" s="1"/>
  <c r="M761" i="5"/>
  <c r="Q761" i="5" s="1"/>
  <c r="S761" i="5" s="1"/>
  <c r="F133" i="4"/>
  <c r="C89" i="14"/>
  <c r="L89" i="14" s="1"/>
  <c r="M89" i="14" s="1"/>
  <c r="M762" i="5"/>
  <c r="M763" i="5"/>
  <c r="E44" i="6"/>
  <c r="C9" i="12"/>
  <c r="C83" i="14"/>
  <c r="L83" i="14" s="1"/>
  <c r="M83" i="14" s="1"/>
  <c r="C82" i="14"/>
  <c r="L82" i="14" s="1"/>
  <c r="M82" i="14" s="1"/>
  <c r="M764" i="5"/>
  <c r="C8" i="12"/>
  <c r="C81" i="14"/>
  <c r="L81" i="14" s="1"/>
  <c r="C77" i="14"/>
  <c r="L77" i="14" s="1"/>
  <c r="M77" i="14" s="1"/>
  <c r="E132" i="6"/>
  <c r="C28" i="14"/>
  <c r="L28" i="14" s="1"/>
  <c r="M28" i="14" s="1"/>
  <c r="C76" i="14"/>
  <c r="L76" i="14" s="1"/>
  <c r="E115" i="6"/>
  <c r="E110" i="6"/>
  <c r="C72" i="14"/>
  <c r="L72" i="14" s="1"/>
  <c r="M72" i="14" s="1"/>
  <c r="M767" i="5"/>
  <c r="E69" i="6"/>
  <c r="M753" i="5"/>
  <c r="Q753" i="5" s="1"/>
  <c r="S753" i="5" s="1"/>
  <c r="C71" i="14"/>
  <c r="L71" i="14" s="1"/>
  <c r="C67" i="14"/>
  <c r="L67" i="14" s="1"/>
  <c r="M67" i="14" s="1"/>
  <c r="C138" i="14"/>
  <c r="L138" i="14" s="1"/>
  <c r="M138" i="14" s="1"/>
  <c r="E81" i="6"/>
  <c r="C62" i="14"/>
  <c r="L62" i="14" s="1"/>
  <c r="M62" i="14" s="1"/>
  <c r="C61" i="14"/>
  <c r="L61" i="14" s="1"/>
  <c r="C57" i="14"/>
  <c r="L57" i="14" s="1"/>
  <c r="M57" i="14" s="1"/>
  <c r="M755" i="5"/>
  <c r="C56" i="14"/>
  <c r="L56" i="14" s="1"/>
  <c r="F116" i="4"/>
  <c r="M808" i="5"/>
  <c r="Q808" i="5" s="1"/>
  <c r="C27" i="14"/>
  <c r="L27" i="14" s="1"/>
  <c r="M770" i="5"/>
  <c r="M771" i="5"/>
  <c r="M774" i="5"/>
  <c r="Q774" i="5" s="1"/>
  <c r="S774" i="5" s="1"/>
  <c r="M776" i="5"/>
  <c r="Q776" i="5" s="1"/>
  <c r="S776" i="5" s="1"/>
  <c r="M778" i="5"/>
  <c r="Q778" i="5" s="1"/>
  <c r="M779" i="5"/>
  <c r="Q779" i="5" s="1"/>
  <c r="S779" i="5" s="1"/>
  <c r="M756" i="5"/>
  <c r="M780" i="5"/>
  <c r="M783" i="5"/>
  <c r="Q783" i="5" s="1"/>
  <c r="S783" i="5" s="1"/>
  <c r="M785" i="5"/>
  <c r="F82" i="4"/>
  <c r="M796" i="5"/>
  <c r="Q796" i="5" s="1"/>
  <c r="S796" i="5" s="1"/>
  <c r="M798" i="5"/>
  <c r="Q798" i="5" s="1"/>
  <c r="S798" i="5" s="1"/>
  <c r="F70" i="4"/>
  <c r="M800" i="5"/>
  <c r="M801" i="5"/>
  <c r="Q801" i="5" s="1"/>
  <c r="S801" i="5" s="1"/>
  <c r="M802" i="5"/>
  <c r="M803" i="5"/>
  <c r="M804" i="5"/>
  <c r="M805" i="5"/>
  <c r="M809" i="5"/>
  <c r="Q809" i="5" s="1"/>
  <c r="S809" i="5" s="1"/>
  <c r="C21" i="14"/>
  <c r="L21" i="14" s="1"/>
  <c r="M21" i="14" s="1"/>
  <c r="F111" i="4"/>
  <c r="M810" i="5"/>
  <c r="Q810" i="5" s="1"/>
  <c r="S810" i="5" s="1"/>
  <c r="M811" i="5"/>
  <c r="M814" i="5"/>
  <c r="Q814" i="5" s="1"/>
  <c r="S814" i="5" s="1"/>
  <c r="M816" i="5"/>
  <c r="C143" i="14"/>
  <c r="L143" i="14" s="1"/>
  <c r="M143" i="14" s="1"/>
  <c r="C142" i="14"/>
  <c r="L142" i="14" s="1"/>
  <c r="M817" i="5"/>
  <c r="Q817" i="5" s="1"/>
  <c r="S817" i="5" s="1"/>
  <c r="C137" i="14"/>
  <c r="L137" i="14" s="1"/>
  <c r="C133" i="14"/>
  <c r="L133" i="14" s="1"/>
  <c r="C129" i="14"/>
  <c r="L129" i="14" s="1"/>
  <c r="M820" i="5"/>
  <c r="Q820" i="5" s="1"/>
  <c r="M821" i="5"/>
  <c r="M822" i="5"/>
  <c r="M825" i="5"/>
  <c r="M826" i="5"/>
  <c r="Q826" i="5" s="1"/>
  <c r="S826" i="5" s="1"/>
  <c r="M827" i="5"/>
  <c r="M828" i="5"/>
  <c r="M831" i="5"/>
  <c r="Q831" i="5" s="1"/>
  <c r="S831" i="5" s="1"/>
  <c r="M833" i="5"/>
  <c r="Q833" i="5" s="1"/>
  <c r="S833" i="5" s="1"/>
  <c r="M835" i="5"/>
  <c r="Q835" i="5" s="1"/>
  <c r="M836" i="5"/>
  <c r="M837" i="5"/>
  <c r="Q837" i="5" s="1"/>
  <c r="S837" i="5" s="1"/>
  <c r="M840" i="5"/>
  <c r="M841" i="5"/>
  <c r="Q841" i="5" s="1"/>
  <c r="S841" i="5" s="1"/>
  <c r="M842" i="5"/>
  <c r="M843" i="5"/>
  <c r="M844" i="5"/>
  <c r="M847" i="5"/>
  <c r="Q847" i="5" s="1"/>
  <c r="M848" i="5"/>
  <c r="Q848" i="5" s="1"/>
  <c r="S848" i="5" s="1"/>
  <c r="M849" i="5"/>
  <c r="M850" i="5"/>
  <c r="Q850" i="5" s="1"/>
  <c r="S850" i="5" s="1"/>
  <c r="M851" i="5"/>
  <c r="F45" i="4"/>
  <c r="C19" i="14"/>
  <c r="L19" i="14" s="1"/>
  <c r="C15" i="14"/>
  <c r="L15" i="14" s="1"/>
  <c r="M15" i="14" s="1"/>
  <c r="M854" i="5"/>
  <c r="Q854" i="5" s="1"/>
  <c r="S854" i="5" s="1"/>
  <c r="M757" i="5"/>
  <c r="Q757" i="5" s="1"/>
  <c r="S757" i="5" s="1"/>
  <c r="M856" i="5"/>
  <c r="Q856" i="5" s="1"/>
  <c r="C125" i="14"/>
  <c r="L125" i="14" s="1"/>
  <c r="M125" i="14" s="1"/>
  <c r="C124" i="14"/>
  <c r="L124" i="14" s="1"/>
  <c r="M769" i="5"/>
  <c r="Q769" i="5" s="1"/>
  <c r="S769" i="5" s="1"/>
  <c r="C120" i="14"/>
  <c r="L120" i="14" s="1"/>
  <c r="M120" i="14" s="1"/>
  <c r="C14" i="14"/>
  <c r="L14" i="14" s="1"/>
  <c r="M14" i="14" s="1"/>
  <c r="M857" i="5"/>
  <c r="M861" i="5"/>
  <c r="Q861" i="5" s="1"/>
  <c r="S861" i="5" s="1"/>
  <c r="C119" i="14"/>
  <c r="L119" i="14" s="1"/>
  <c r="M862" i="5"/>
  <c r="M768" i="5"/>
  <c r="Q768" i="5" s="1"/>
  <c r="S768" i="5" s="1"/>
  <c r="M863" i="5"/>
  <c r="M864" i="5"/>
  <c r="M865" i="5"/>
  <c r="M868" i="5"/>
  <c r="Q868" i="5" s="1"/>
  <c r="C110" i="14"/>
  <c r="L110" i="14" s="1"/>
  <c r="M110" i="14" s="1"/>
  <c r="C109" i="14"/>
  <c r="L109" i="14" s="1"/>
  <c r="M109" i="14" s="1"/>
  <c r="C108" i="14"/>
  <c r="L108" i="14" s="1"/>
  <c r="C104" i="14"/>
  <c r="L104" i="14" s="1"/>
  <c r="M104" i="14" s="1"/>
  <c r="C103" i="14"/>
  <c r="L103" i="14" s="1"/>
  <c r="C99" i="14"/>
  <c r="L99" i="14" s="1"/>
  <c r="M99" i="14" s="1"/>
  <c r="F35" i="4"/>
  <c r="M870" i="5"/>
  <c r="Q870" i="5" s="1"/>
  <c r="S870" i="5" s="1"/>
  <c r="M871" i="5"/>
  <c r="C98" i="14"/>
  <c r="L98" i="14" s="1"/>
  <c r="C94" i="14"/>
  <c r="L94" i="14" s="1"/>
  <c r="M94" i="14" s="1"/>
  <c r="F119" i="4"/>
  <c r="M636" i="5"/>
  <c r="M637" i="5"/>
  <c r="M725" i="5"/>
  <c r="M638" i="5"/>
  <c r="M639" i="5"/>
  <c r="E27" i="6"/>
  <c r="M640" i="5"/>
  <c r="Q640" i="5" s="1"/>
  <c r="S640" i="5" s="1"/>
  <c r="M641" i="5"/>
  <c r="M645" i="5"/>
  <c r="Q645" i="5" s="1"/>
  <c r="S645" i="5" s="1"/>
  <c r="E36" i="6"/>
  <c r="M648" i="5"/>
  <c r="Q648" i="5" s="1"/>
  <c r="S648" i="5" s="1"/>
  <c r="E39" i="6"/>
  <c r="C19" i="13"/>
  <c r="K19" i="13" s="1"/>
  <c r="L19" i="13" s="1"/>
  <c r="C18" i="13"/>
  <c r="K18" i="13" s="1"/>
  <c r="L18" i="13" s="1"/>
  <c r="M786" i="5"/>
  <c r="E51" i="6"/>
  <c r="E134" i="6"/>
  <c r="E118" i="6"/>
  <c r="E111" i="6"/>
  <c r="M787" i="5"/>
  <c r="E84" i="6"/>
  <c r="F37" i="4"/>
  <c r="M489" i="5"/>
  <c r="M441" i="5"/>
  <c r="M788" i="5"/>
  <c r="M726" i="5"/>
  <c r="E72" i="6"/>
  <c r="M548" i="5"/>
  <c r="F135" i="4"/>
  <c r="M860" i="5"/>
  <c r="Q860" i="5" s="1"/>
  <c r="F40" i="4"/>
  <c r="M789" i="5"/>
  <c r="M549" i="5"/>
  <c r="M381" i="5"/>
  <c r="M550" i="5"/>
  <c r="F52" i="4"/>
  <c r="F112" i="4"/>
  <c r="M790" i="5"/>
  <c r="M791" i="5"/>
  <c r="M875" i="5"/>
  <c r="M876" i="5"/>
  <c r="M877" i="5"/>
  <c r="Q877" i="5" s="1"/>
  <c r="S877" i="5" s="1"/>
  <c r="M878" i="5"/>
  <c r="M882" i="5"/>
  <c r="Q882" i="5" s="1"/>
  <c r="S882" i="5" s="1"/>
  <c r="M883" i="5"/>
  <c r="Q883" i="5" s="1"/>
  <c r="S883" i="5" s="1"/>
  <c r="F28" i="4"/>
  <c r="M615" i="5"/>
  <c r="Q615" i="5" s="1"/>
  <c r="S615" i="5" s="1"/>
  <c r="M792" i="5"/>
  <c r="M556" i="5"/>
  <c r="M644" i="5"/>
  <c r="M617" i="5"/>
  <c r="Q617" i="5" s="1"/>
  <c r="S617" i="5" s="1"/>
  <c r="M619" i="5"/>
  <c r="Q619" i="5" s="1"/>
  <c r="S619" i="5" s="1"/>
  <c r="M621" i="5"/>
  <c r="Q621" i="5" s="1"/>
  <c r="S621" i="5" s="1"/>
  <c r="M793" i="5"/>
  <c r="M623" i="5"/>
  <c r="Q623" i="5" s="1"/>
  <c r="F73" i="4"/>
  <c r="M624" i="5"/>
  <c r="Q624" i="5" s="1"/>
  <c r="S624" i="5" s="1"/>
  <c r="F85" i="4"/>
  <c r="M520" i="5"/>
  <c r="C9" i="14"/>
  <c r="L9" i="14" s="1"/>
  <c r="M9" i="14" s="1"/>
  <c r="M627" i="5"/>
  <c r="M628" i="5"/>
  <c r="M629" i="5"/>
  <c r="M630" i="5"/>
  <c r="M631" i="5"/>
  <c r="M724" i="5"/>
  <c r="M632" i="5"/>
  <c r="M635" i="5"/>
  <c r="C8" i="14"/>
  <c r="L8" i="14" s="1"/>
  <c r="M8" i="14" s="1"/>
  <c r="C45" i="14"/>
  <c r="L45" i="14" s="1"/>
  <c r="M45" i="14" s="1"/>
  <c r="C33" i="14"/>
  <c r="L33" i="14" s="1"/>
  <c r="M33" i="14" s="1"/>
  <c r="C14" i="13"/>
  <c r="K14" i="13" s="1"/>
  <c r="L14" i="13" s="1"/>
  <c r="C7" i="14"/>
  <c r="L7" i="14" s="1"/>
  <c r="M7" i="14" s="1"/>
  <c r="C52" i="14"/>
  <c r="L52" i="14" s="1"/>
  <c r="M52" i="14" s="1"/>
  <c r="C32" i="14"/>
  <c r="L32" i="14" s="1"/>
  <c r="C44" i="14"/>
  <c r="L44" i="14" s="1"/>
  <c r="C51" i="14"/>
  <c r="L51" i="14" s="1"/>
  <c r="M51" i="14" s="1"/>
  <c r="C40" i="14"/>
  <c r="L40" i="14" s="1"/>
  <c r="M40" i="14" s="1"/>
  <c r="C38" i="14"/>
  <c r="L38" i="14" s="1"/>
  <c r="C50" i="14"/>
  <c r="L50" i="14" s="1"/>
  <c r="C6" i="14"/>
  <c r="L6" i="14" s="1"/>
  <c r="C34" i="14"/>
  <c r="L34" i="14" s="1"/>
  <c r="M34" i="14" s="1"/>
  <c r="C46" i="14"/>
  <c r="L46" i="14" s="1"/>
  <c r="M46" i="14" s="1"/>
  <c r="C7" i="13"/>
  <c r="K7" i="13" s="1"/>
  <c r="L7" i="13" s="1"/>
  <c r="C10" i="13"/>
  <c r="K10" i="13" s="1"/>
  <c r="L10" i="13" s="1"/>
  <c r="C39" i="14"/>
  <c r="L39" i="14" s="1"/>
  <c r="M39" i="14" s="1"/>
  <c r="C114" i="14"/>
  <c r="L114" i="14" s="1"/>
  <c r="C11" i="13"/>
  <c r="K11" i="13" s="1"/>
  <c r="L11" i="13" s="1"/>
  <c r="C15" i="13"/>
  <c r="K15" i="13" s="1"/>
  <c r="L15" i="13" s="1"/>
  <c r="C115" i="14"/>
  <c r="L115" i="14" s="1"/>
  <c r="M115" i="14" s="1"/>
  <c r="C12" i="13"/>
  <c r="K12" i="13" s="1"/>
  <c r="L12" i="13" s="1"/>
  <c r="C20" i="14"/>
  <c r="L20" i="14" s="1"/>
  <c r="M20" i="14" s="1"/>
  <c r="C23" i="14"/>
  <c r="L23" i="14" s="1"/>
  <c r="M23" i="14" s="1"/>
  <c r="C16" i="13"/>
  <c r="K16" i="13" s="1"/>
  <c r="L16" i="13" s="1"/>
  <c r="C8" i="13"/>
  <c r="K8" i="13" s="1"/>
  <c r="L8" i="13" s="1"/>
  <c r="C22" i="14"/>
  <c r="L22" i="14" s="1"/>
  <c r="M22" i="14" s="1"/>
  <c r="M521" i="5"/>
  <c r="F93" i="4"/>
  <c r="E92" i="6"/>
  <c r="C7" i="12"/>
  <c r="M510" i="5"/>
  <c r="C6" i="12"/>
  <c r="F129" i="4"/>
  <c r="J129" i="4" s="1"/>
  <c r="L129" i="4" s="1"/>
  <c r="M350" i="5"/>
  <c r="Q350" i="5" s="1"/>
  <c r="S350" i="5" s="1"/>
  <c r="M342" i="5"/>
  <c r="Q342" i="5" s="1"/>
  <c r="E32" i="6"/>
  <c r="F33" i="4"/>
  <c r="M749" i="5"/>
  <c r="Q749" i="5" s="1"/>
  <c r="S749" i="5" s="1"/>
  <c r="M253" i="5"/>
  <c r="M494" i="5"/>
  <c r="Q494" i="5" s="1"/>
  <c r="S494" i="5" s="1"/>
  <c r="M879" i="5"/>
  <c r="E66" i="6"/>
  <c r="M530" i="5"/>
  <c r="Q530" i="5" s="1"/>
  <c r="S530" i="5" s="1"/>
  <c r="M545" i="5"/>
  <c r="Q545" i="5" s="1"/>
  <c r="S545" i="5" s="1"/>
  <c r="F113" i="4"/>
  <c r="M579" i="5"/>
  <c r="Q579" i="5" s="1"/>
  <c r="S579" i="5" s="1"/>
  <c r="M370" i="5"/>
  <c r="Q370" i="5" s="1"/>
  <c r="S370" i="5" s="1"/>
  <c r="M524" i="5"/>
  <c r="M560" i="5"/>
  <c r="M721" i="5"/>
  <c r="Q721" i="5" s="1"/>
  <c r="S721" i="5" s="1"/>
  <c r="M384" i="5"/>
  <c r="Q384" i="5" s="1"/>
  <c r="S384" i="5" s="1"/>
  <c r="M507" i="5"/>
  <c r="Q507" i="5" s="1"/>
  <c r="S507" i="5" s="1"/>
  <c r="M593" i="5"/>
  <c r="Q593" i="5" s="1"/>
  <c r="S593" i="5" s="1"/>
  <c r="M422" i="5"/>
  <c r="Q422" i="5" s="1"/>
  <c r="S422" i="5" s="1"/>
  <c r="F67" i="4"/>
  <c r="M880" i="5"/>
  <c r="M881" i="5"/>
  <c r="M884" i="5"/>
  <c r="M501" i="5"/>
  <c r="M5" i="5"/>
  <c r="M302" i="5"/>
  <c r="Q302" i="5" s="1"/>
  <c r="S302" i="5" s="1"/>
  <c r="F106" i="4"/>
  <c r="M400" i="5"/>
  <c r="Q400" i="5" s="1"/>
  <c r="S400" i="5" s="1"/>
  <c r="M671" i="5"/>
  <c r="Q671" i="5" s="1"/>
  <c r="S671" i="5" s="1"/>
  <c r="E5" i="6"/>
  <c r="M280" i="5"/>
  <c r="Q280" i="5" s="1"/>
  <c r="S280" i="5" s="1"/>
  <c r="M454" i="5"/>
  <c r="Q454" i="5" s="1"/>
  <c r="S454" i="5" s="1"/>
  <c r="M468" i="5"/>
  <c r="Q468" i="5" s="1"/>
  <c r="S468" i="5" s="1"/>
  <c r="M198" i="5"/>
  <c r="Q198" i="5" s="1"/>
  <c r="S198" i="5" s="1"/>
  <c r="E128" i="6"/>
  <c r="F6" i="4"/>
  <c r="E112" i="6"/>
  <c r="E105" i="6"/>
  <c r="M322" i="5"/>
  <c r="Q322" i="5" s="1"/>
  <c r="S322" i="5" s="1"/>
  <c r="E33" i="6"/>
  <c r="M474" i="5"/>
  <c r="M472" i="5"/>
  <c r="M650" i="5"/>
  <c r="M574" i="5"/>
  <c r="M575" i="5"/>
  <c r="M651" i="5"/>
  <c r="M576" i="5"/>
  <c r="M577" i="5"/>
  <c r="M578" i="5"/>
  <c r="F69" i="4"/>
  <c r="F63" i="4"/>
  <c r="M476" i="5"/>
  <c r="E9" i="6"/>
  <c r="F115" i="4"/>
  <c r="F81" i="4"/>
  <c r="E131" i="6"/>
  <c r="F10" i="4"/>
  <c r="F95" i="4"/>
  <c r="M475" i="5"/>
  <c r="E68" i="6"/>
  <c r="M654" i="5"/>
  <c r="Q654" i="5" s="1"/>
  <c r="S654" i="5" s="1"/>
  <c r="F132" i="4"/>
  <c r="E114" i="6"/>
  <c r="M473" i="5"/>
  <c r="F49" i="4"/>
  <c r="E62" i="6"/>
  <c r="M653" i="5"/>
  <c r="M471" i="5"/>
  <c r="E94" i="6"/>
  <c r="E48" i="6"/>
  <c r="F34" i="4"/>
  <c r="E43" i="6"/>
  <c r="M652" i="5"/>
  <c r="E80" i="6"/>
  <c r="F44" i="4"/>
  <c r="M346" i="5"/>
  <c r="M345" i="5"/>
  <c r="F94" i="4"/>
  <c r="E28" i="6"/>
  <c r="F48" i="4"/>
  <c r="E37" i="6"/>
  <c r="M341" i="5"/>
  <c r="E42" i="6"/>
  <c r="M340" i="5"/>
  <c r="E47" i="6"/>
  <c r="M339" i="5"/>
  <c r="M338" i="5"/>
  <c r="E56" i="6"/>
  <c r="M467" i="5"/>
  <c r="M337" i="5"/>
  <c r="F43" i="4"/>
  <c r="E61" i="6"/>
  <c r="F88" i="4"/>
  <c r="M466" i="5"/>
  <c r="E67" i="6"/>
  <c r="M336" i="5"/>
  <c r="M465" i="5"/>
  <c r="M601" i="5"/>
  <c r="M602" i="5"/>
  <c r="M590" i="5"/>
  <c r="M464" i="5"/>
  <c r="F38" i="4"/>
  <c r="M589" i="5"/>
  <c r="M603" i="5"/>
  <c r="M463" i="5"/>
  <c r="M588" i="5"/>
  <c r="M600" i="5"/>
  <c r="M587" i="5"/>
  <c r="M604" i="5"/>
  <c r="M605" i="5"/>
  <c r="M462" i="5"/>
  <c r="F80" i="4"/>
  <c r="M586" i="5"/>
  <c r="M585" i="5"/>
  <c r="M461" i="5"/>
  <c r="M606" i="5"/>
  <c r="F78" i="4"/>
  <c r="M529" i="5"/>
  <c r="Q529" i="5" s="1"/>
  <c r="S529" i="5" s="1"/>
  <c r="M460" i="5"/>
  <c r="M607" i="5"/>
  <c r="M609" i="5"/>
  <c r="F29" i="4"/>
  <c r="M459" i="5"/>
  <c r="M610" i="5"/>
  <c r="M584" i="5"/>
  <c r="Q584" i="5" s="1"/>
  <c r="S584" i="5" s="1"/>
  <c r="M583" i="5"/>
  <c r="M458" i="5"/>
  <c r="M611" i="5"/>
  <c r="M582" i="5"/>
  <c r="M457" i="5"/>
  <c r="M369" i="5"/>
  <c r="Q369" i="5" s="1"/>
  <c r="S369" i="5" s="1"/>
  <c r="M612" i="5"/>
  <c r="Q612" i="5" s="1"/>
  <c r="S612" i="5" s="1"/>
  <c r="M453" i="5"/>
  <c r="Q453" i="5" s="1"/>
  <c r="S453" i="5" s="1"/>
  <c r="M596" i="5"/>
  <c r="M597" i="5"/>
  <c r="M598" i="5"/>
  <c r="F22" i="4"/>
  <c r="F68" i="4"/>
  <c r="M452" i="5"/>
  <c r="M493" i="5"/>
  <c r="Q493" i="5" s="1"/>
  <c r="S493" i="5" s="1"/>
  <c r="E6" i="6"/>
  <c r="M383" i="5"/>
  <c r="Q383" i="5" s="1"/>
  <c r="S383" i="5" s="1"/>
  <c r="M385" i="5"/>
  <c r="Q385" i="5" s="1"/>
  <c r="S385" i="5" s="1"/>
  <c r="M608" i="5"/>
  <c r="M451" i="5"/>
  <c r="M423" i="5"/>
  <c r="Q423" i="5" s="1"/>
  <c r="S423" i="5" s="1"/>
  <c r="M670" i="5"/>
  <c r="Q670" i="5" s="1"/>
  <c r="S670" i="5" s="1"/>
  <c r="M450" i="5"/>
  <c r="M672" i="5"/>
  <c r="Q672" i="5" s="1"/>
  <c r="S672" i="5" s="1"/>
  <c r="M675" i="5"/>
  <c r="M676" i="5"/>
  <c r="M449" i="5"/>
  <c r="F62" i="4"/>
  <c r="F14" i="4"/>
  <c r="M677" i="5"/>
  <c r="M678" i="5"/>
  <c r="M279" i="5"/>
  <c r="Q279" i="5" s="1"/>
  <c r="S279" i="5" s="1"/>
  <c r="M448" i="5"/>
  <c r="F131" i="4"/>
  <c r="F127" i="4"/>
  <c r="J127" i="4" s="1"/>
  <c r="L127" i="4" s="1"/>
  <c r="M679" i="5"/>
  <c r="E130" i="6"/>
  <c r="M599" i="5"/>
  <c r="F9" i="4"/>
  <c r="E129" i="6"/>
  <c r="M680" i="5"/>
  <c r="Q680" i="5" s="1"/>
  <c r="S680" i="5" s="1"/>
  <c r="E126" i="6"/>
  <c r="E120" i="6"/>
  <c r="F7" i="4"/>
  <c r="M592" i="5"/>
  <c r="F57" i="4"/>
  <c r="F121" i="4"/>
  <c r="M700" i="5"/>
  <c r="Q700" i="5" s="1"/>
  <c r="S700" i="5" s="1"/>
  <c r="E113" i="6"/>
  <c r="F114" i="4"/>
  <c r="M399" i="5"/>
  <c r="Q399" i="5" s="1"/>
  <c r="S399" i="5" s="1"/>
  <c r="M591" i="5"/>
  <c r="M349" i="5"/>
  <c r="M321" i="5"/>
  <c r="Q321" i="5" s="1"/>
  <c r="S321" i="5" s="1"/>
  <c r="M748" i="5"/>
  <c r="Q748" i="5" s="1"/>
  <c r="S748" i="5" s="1"/>
  <c r="E98" i="6"/>
  <c r="M750" i="5"/>
  <c r="Q750" i="5" s="1"/>
  <c r="S750" i="5" s="1"/>
  <c r="E93" i="6"/>
  <c r="F99" i="4"/>
  <c r="E87" i="6"/>
  <c r="E8" i="6"/>
  <c r="E13" i="6"/>
  <c r="M348" i="5"/>
  <c r="M347" i="5"/>
  <c r="E79" i="6"/>
  <c r="E77" i="6"/>
  <c r="M335" i="5"/>
  <c r="E21" i="6"/>
  <c r="F130" i="4"/>
  <c r="J130" i="4" s="1"/>
  <c r="L130" i="4" s="1"/>
  <c r="M410" i="5"/>
  <c r="M409" i="5"/>
  <c r="M408" i="5"/>
  <c r="M407" i="5"/>
  <c r="M406" i="5"/>
  <c r="M405" i="5"/>
  <c r="M404" i="5"/>
  <c r="M403" i="5"/>
  <c r="M398" i="5"/>
  <c r="M368" i="5"/>
  <c r="M328" i="5"/>
  <c r="M327" i="5"/>
  <c r="M326" i="5"/>
  <c r="M325" i="5"/>
  <c r="E127" i="6"/>
  <c r="F89" i="4"/>
  <c r="E121" i="6"/>
  <c r="E116" i="6"/>
  <c r="E107" i="6"/>
  <c r="E99" i="6"/>
  <c r="M416" i="5"/>
  <c r="E95" i="6"/>
  <c r="E88" i="6"/>
  <c r="F36" i="4"/>
  <c r="E82" i="6"/>
  <c r="M313" i="5"/>
  <c r="E78" i="6"/>
  <c r="E70" i="6"/>
  <c r="E57" i="6"/>
  <c r="E49" i="6"/>
  <c r="F83" i="4"/>
  <c r="E35" i="6"/>
  <c r="E29" i="6"/>
  <c r="E18" i="6"/>
  <c r="F128" i="4"/>
  <c r="J128" i="4" s="1"/>
  <c r="L128" i="4" s="1"/>
  <c r="E10" i="6"/>
  <c r="E7" i="6"/>
  <c r="F30" i="4"/>
  <c r="M720" i="5"/>
  <c r="Q720" i="5" s="1"/>
  <c r="S720" i="5" s="1"/>
  <c r="M719" i="5"/>
  <c r="M718" i="5"/>
  <c r="F79" i="4"/>
  <c r="M717" i="5"/>
  <c r="M716" i="5"/>
  <c r="M715" i="5"/>
  <c r="M714" i="5"/>
  <c r="M713" i="5"/>
  <c r="M301" i="5"/>
  <c r="Q301" i="5" s="1"/>
  <c r="S301" i="5" s="1"/>
  <c r="F122" i="4"/>
  <c r="M712" i="5"/>
  <c r="M711" i="5"/>
  <c r="M300" i="5"/>
  <c r="M710" i="5"/>
  <c r="M709" i="5"/>
  <c r="M299" i="5"/>
  <c r="M708" i="5"/>
  <c r="M707" i="5"/>
  <c r="F71" i="4"/>
  <c r="M706" i="5"/>
  <c r="M705" i="5"/>
  <c r="M704" i="5"/>
  <c r="F117" i="4"/>
  <c r="F19" i="4"/>
  <c r="M703" i="5"/>
  <c r="M699" i="5"/>
  <c r="M698" i="5"/>
  <c r="M697" i="5"/>
  <c r="M696" i="5"/>
  <c r="M695" i="5"/>
  <c r="M694" i="5"/>
  <c r="M693" i="5"/>
  <c r="M692" i="5"/>
  <c r="M691" i="5"/>
  <c r="M690" i="5"/>
  <c r="F64" i="4"/>
  <c r="M689" i="5"/>
  <c r="M688" i="5"/>
  <c r="M687" i="5"/>
  <c r="M686" i="5"/>
  <c r="F11" i="4"/>
  <c r="M685" i="5"/>
  <c r="M684" i="5"/>
  <c r="M683" i="5"/>
  <c r="M669" i="5"/>
  <c r="F108" i="4"/>
  <c r="M668" i="5"/>
  <c r="M667" i="5"/>
  <c r="F8" i="4"/>
  <c r="M666" i="5"/>
  <c r="F58" i="4"/>
  <c r="M665" i="5"/>
  <c r="M664" i="5"/>
  <c r="M663" i="5"/>
  <c r="M282" i="5"/>
  <c r="M662" i="5"/>
  <c r="M661" i="5"/>
  <c r="M281" i="5"/>
  <c r="M660" i="5"/>
  <c r="M659" i="5"/>
  <c r="M658" i="5"/>
  <c r="M657" i="5"/>
  <c r="M525" i="5"/>
  <c r="M421" i="5"/>
  <c r="M420" i="5"/>
  <c r="F100" i="4"/>
  <c r="M419" i="5"/>
  <c r="M418" i="5"/>
  <c r="F50" i="4"/>
  <c r="M417" i="5"/>
  <c r="E63" i="6"/>
  <c r="M415" i="5"/>
  <c r="M414" i="5"/>
  <c r="M413" i="5"/>
  <c r="M412" i="5"/>
  <c r="M411" i="5"/>
  <c r="F96" i="4"/>
  <c r="M500" i="5"/>
  <c r="M492" i="5"/>
  <c r="M563" i="5"/>
  <c r="Q563" i="5" s="1"/>
  <c r="S563" i="5" s="1"/>
  <c r="E96" i="6"/>
  <c r="M564" i="5"/>
  <c r="Q564" i="5" s="1"/>
  <c r="S564" i="5" s="1"/>
  <c r="M437" i="5"/>
  <c r="M565" i="5"/>
  <c r="M566" i="5"/>
  <c r="M396" i="5"/>
  <c r="M518" i="5"/>
  <c r="E100" i="6"/>
  <c r="M571" i="5"/>
  <c r="M497" i="5"/>
  <c r="M427" i="5"/>
  <c r="M567" i="5"/>
  <c r="F72" i="4"/>
  <c r="M568" i="5"/>
  <c r="M519" i="5"/>
  <c r="M498" i="5"/>
  <c r="M438" i="5"/>
  <c r="M395" i="5"/>
  <c r="M569" i="5"/>
  <c r="M570" i="5"/>
  <c r="M572" i="5"/>
  <c r="M573" i="5"/>
  <c r="F65" i="4"/>
  <c r="M499" i="5"/>
  <c r="E108" i="6"/>
  <c r="F118" i="4"/>
  <c r="M540" i="5"/>
  <c r="M729" i="5"/>
  <c r="M522" i="5"/>
  <c r="M536" i="5"/>
  <c r="M392" i="5"/>
  <c r="E117" i="6"/>
  <c r="M730" i="5"/>
  <c r="M394" i="5"/>
  <c r="F101" i="4"/>
  <c r="M731" i="5"/>
  <c r="M537" i="5"/>
  <c r="M732" i="5"/>
  <c r="F59" i="4"/>
  <c r="M523" i="5"/>
  <c r="M502" i="5"/>
  <c r="M733" i="5"/>
  <c r="M734" i="5"/>
  <c r="M526" i="5"/>
  <c r="M503" i="5"/>
  <c r="E133" i="6"/>
  <c r="M735" i="5"/>
  <c r="M736" i="5"/>
  <c r="M737" i="5"/>
  <c r="M738" i="5"/>
  <c r="M393" i="5"/>
  <c r="F51" i="4"/>
  <c r="M527" i="5"/>
  <c r="M439" i="5"/>
  <c r="M430" i="5"/>
  <c r="M504" i="5"/>
  <c r="M739" i="5"/>
  <c r="M740" i="5"/>
  <c r="M741" i="5"/>
  <c r="M440" i="5"/>
  <c r="F23" i="4"/>
  <c r="M528" i="5"/>
  <c r="M442" i="5"/>
  <c r="F46" i="4"/>
  <c r="M742" i="5"/>
  <c r="M543" i="5"/>
  <c r="M431" i="5"/>
  <c r="M505" i="5"/>
  <c r="M443" i="5"/>
  <c r="M743" i="5"/>
  <c r="M539" i="5"/>
  <c r="M744" i="5"/>
  <c r="M444" i="5"/>
  <c r="M391" i="5"/>
  <c r="M745" i="5"/>
  <c r="M426" i="5"/>
  <c r="F134" i="4"/>
  <c r="M445" i="5"/>
  <c r="M746" i="5"/>
  <c r="M506" i="5"/>
  <c r="Q506" i="5" s="1"/>
  <c r="S506" i="5" s="1"/>
  <c r="M446" i="5"/>
  <c r="M432" i="5"/>
  <c r="F39" i="4"/>
  <c r="M747" i="5"/>
  <c r="E11" i="6"/>
  <c r="M511" i="5"/>
  <c r="M447" i="5"/>
  <c r="E14" i="6"/>
  <c r="E19" i="6"/>
  <c r="M479" i="5"/>
  <c r="M390" i="5"/>
  <c r="M533" i="5"/>
  <c r="M433" i="5"/>
  <c r="F31" i="4"/>
  <c r="E22" i="6"/>
  <c r="M480" i="5"/>
  <c r="E25" i="6"/>
  <c r="M512" i="5"/>
  <c r="M481" i="5"/>
  <c r="F26" i="4"/>
  <c r="E30" i="6"/>
  <c r="M428" i="5"/>
  <c r="E38" i="6"/>
  <c r="M513" i="5"/>
  <c r="M482" i="5"/>
  <c r="M534" i="5"/>
  <c r="F20" i="4"/>
  <c r="M483" i="5"/>
  <c r="E45" i="6"/>
  <c r="M389" i="5"/>
  <c r="E50" i="6"/>
  <c r="F15" i="4"/>
  <c r="M434" i="5"/>
  <c r="M514" i="5"/>
  <c r="M484" i="5"/>
  <c r="E58" i="6"/>
  <c r="M541" i="5"/>
  <c r="M538" i="5"/>
  <c r="F12" i="4"/>
  <c r="M485" i="5"/>
  <c r="E64" i="6"/>
  <c r="E71" i="6"/>
  <c r="M486" i="5"/>
  <c r="M515" i="5"/>
  <c r="M388" i="5"/>
  <c r="E83" i="6"/>
  <c r="M487" i="5"/>
  <c r="E89" i="6"/>
  <c r="M435" i="5"/>
  <c r="M436" i="5"/>
  <c r="M542" i="5"/>
  <c r="M516" i="5"/>
  <c r="M488" i="5"/>
  <c r="M517" i="5"/>
  <c r="M490" i="5"/>
  <c r="M535" i="5"/>
  <c r="M397" i="5"/>
  <c r="F109" i="4"/>
  <c r="M491" i="5"/>
  <c r="M544" i="5"/>
  <c r="F97" i="4"/>
  <c r="M551" i="5"/>
  <c r="M552" i="5"/>
  <c r="M553" i="5"/>
  <c r="M554" i="5"/>
  <c r="F90" i="4"/>
  <c r="M555" i="5"/>
  <c r="M557" i="5"/>
  <c r="M429" i="5"/>
  <c r="M558" i="5"/>
  <c r="M559" i="5"/>
  <c r="M561" i="5"/>
  <c r="F84" i="4"/>
  <c r="M562" i="5"/>
  <c r="M220" i="5"/>
  <c r="M166" i="5"/>
  <c r="M219" i="5"/>
  <c r="M185" i="5"/>
  <c r="M218" i="5"/>
  <c r="M184" i="5"/>
  <c r="E101" i="6"/>
  <c r="M217" i="5"/>
  <c r="M216" i="5"/>
  <c r="E103" i="6"/>
  <c r="M165" i="5"/>
  <c r="M183" i="5"/>
  <c r="M215" i="5"/>
  <c r="M214" i="5"/>
  <c r="M213" i="5"/>
  <c r="F102" i="4"/>
  <c r="M212" i="5"/>
  <c r="E122" i="6"/>
  <c r="M180" i="5"/>
  <c r="M211" i="5"/>
  <c r="M162" i="5"/>
  <c r="M210" i="5"/>
  <c r="F104" i="4"/>
  <c r="M179" i="5"/>
  <c r="M209" i="5"/>
  <c r="M208" i="5"/>
  <c r="M178" i="5"/>
  <c r="M161" i="5"/>
  <c r="M207" i="5"/>
  <c r="M206" i="5"/>
  <c r="M177" i="5"/>
  <c r="M205" i="5"/>
  <c r="M176" i="5"/>
  <c r="M204" i="5"/>
  <c r="M203" i="5"/>
  <c r="M175" i="5"/>
  <c r="M202" i="5"/>
  <c r="M160" i="5"/>
  <c r="M201" i="5"/>
  <c r="M174" i="5"/>
  <c r="M197" i="5"/>
  <c r="M173" i="5"/>
  <c r="M196" i="5"/>
  <c r="M172" i="5"/>
  <c r="M195" i="5"/>
  <c r="M194" i="5"/>
  <c r="M193" i="5"/>
  <c r="M171" i="5"/>
  <c r="M170" i="5"/>
  <c r="M192" i="5"/>
  <c r="M191" i="5"/>
  <c r="M169" i="5"/>
  <c r="M190" i="5"/>
  <c r="F123" i="4"/>
  <c r="M189" i="5"/>
  <c r="M168" i="5"/>
  <c r="F76" i="4"/>
  <c r="E15" i="6"/>
  <c r="M240" i="5"/>
  <c r="M239" i="5"/>
  <c r="F55" i="4"/>
  <c r="M250" i="5"/>
  <c r="M238" i="5"/>
  <c r="F86" i="4"/>
  <c r="E23" i="6"/>
  <c r="M237" i="5"/>
  <c r="F74" i="4"/>
  <c r="M236" i="5"/>
  <c r="M245" i="5"/>
  <c r="F53" i="4"/>
  <c r="M235" i="5"/>
  <c r="F24" i="4"/>
  <c r="M244" i="5"/>
  <c r="M188" i="5"/>
  <c r="M234" i="5"/>
  <c r="E40" i="6"/>
  <c r="M233" i="5"/>
  <c r="M249" i="5"/>
  <c r="F41" i="4"/>
  <c r="M232" i="5"/>
  <c r="M167" i="5"/>
  <c r="E52" i="6"/>
  <c r="M231" i="5"/>
  <c r="F16" i="4"/>
  <c r="E54" i="6"/>
  <c r="M243" i="5"/>
  <c r="M230" i="5"/>
  <c r="M186" i="5"/>
  <c r="M248" i="5"/>
  <c r="M229" i="5"/>
  <c r="M228" i="5"/>
  <c r="F91" i="4"/>
  <c r="M227" i="5"/>
  <c r="M242" i="5"/>
  <c r="E73" i="6"/>
  <c r="M226" i="5"/>
  <c r="E75" i="6"/>
  <c r="M225" i="5"/>
  <c r="M247" i="5"/>
  <c r="M224" i="5"/>
  <c r="E85" i="6"/>
  <c r="M223" i="5"/>
  <c r="M222" i="5"/>
  <c r="M241" i="5"/>
  <c r="E90" i="6"/>
  <c r="M221" i="5"/>
  <c r="M246" i="5"/>
  <c r="F103" i="4"/>
  <c r="M276" i="5"/>
  <c r="M152" i="5"/>
  <c r="M376" i="5"/>
  <c r="M151" i="5"/>
  <c r="M275" i="5"/>
  <c r="M150" i="5"/>
  <c r="M375" i="5"/>
  <c r="M274" i="5"/>
  <c r="M149" i="5"/>
  <c r="F98" i="4"/>
  <c r="E91" i="6"/>
  <c r="M69" i="5"/>
  <c r="M68" i="5"/>
  <c r="M148" i="5"/>
  <c r="M273" i="5"/>
  <c r="M374" i="5"/>
  <c r="M147" i="5"/>
  <c r="M67" i="5"/>
  <c r="M272" i="5"/>
  <c r="M146" i="5"/>
  <c r="E97" i="6"/>
  <c r="M373" i="5"/>
  <c r="M145" i="5"/>
  <c r="M271" i="5"/>
  <c r="M66" i="5"/>
  <c r="F92" i="4"/>
  <c r="M144" i="5"/>
  <c r="M65" i="5"/>
  <c r="M64" i="5"/>
  <c r="M270" i="5"/>
  <c r="M143" i="5"/>
  <c r="M63" i="5"/>
  <c r="E102" i="6"/>
  <c r="M62" i="5"/>
  <c r="M142" i="5"/>
  <c r="M269" i="5"/>
  <c r="M61" i="5"/>
  <c r="M141" i="5"/>
  <c r="E104" i="6"/>
  <c r="M268" i="5"/>
  <c r="F87" i="4"/>
  <c r="M140" i="5"/>
  <c r="M60" i="5"/>
  <c r="M59" i="5"/>
  <c r="M367" i="5"/>
  <c r="M139" i="5"/>
  <c r="M267" i="5"/>
  <c r="E109" i="6"/>
  <c r="M58" i="5"/>
  <c r="M138" i="5"/>
  <c r="M320" i="5"/>
  <c r="M266" i="5"/>
  <c r="M137" i="5"/>
  <c r="M366" i="5"/>
  <c r="M57" i="5"/>
  <c r="M136" i="5"/>
  <c r="M265" i="5"/>
  <c r="M56" i="5"/>
  <c r="M135" i="5"/>
  <c r="M365" i="5"/>
  <c r="M134" i="5"/>
  <c r="M264" i="5"/>
  <c r="E119" i="6"/>
  <c r="M133" i="5"/>
  <c r="M319" i="5"/>
  <c r="M132" i="5"/>
  <c r="F77" i="4"/>
  <c r="M263" i="5"/>
  <c r="M55" i="5"/>
  <c r="M364" i="5"/>
  <c r="M131" i="5"/>
  <c r="F75" i="4"/>
  <c r="M54" i="5"/>
  <c r="M262" i="5"/>
  <c r="E123" i="6"/>
  <c r="M130" i="5"/>
  <c r="M53" i="5"/>
  <c r="M363" i="5"/>
  <c r="Q363" i="5" s="1"/>
  <c r="S363" i="5" s="1"/>
  <c r="M129" i="5"/>
  <c r="M318" i="5"/>
  <c r="M261" i="5"/>
  <c r="M52" i="5"/>
  <c r="M128" i="5"/>
  <c r="M51" i="5"/>
  <c r="M260" i="5"/>
  <c r="M127" i="5"/>
  <c r="M362" i="5"/>
  <c r="E135" i="6"/>
  <c r="M126" i="5"/>
  <c r="M259" i="5"/>
  <c r="M50" i="5"/>
  <c r="M125" i="5"/>
  <c r="M361" i="5"/>
  <c r="M258" i="5"/>
  <c r="F66" i="4"/>
  <c r="M124" i="5"/>
  <c r="M317" i="5"/>
  <c r="M49" i="5"/>
  <c r="M48" i="5"/>
  <c r="M123" i="5"/>
  <c r="M257" i="5"/>
  <c r="M360" i="5"/>
  <c r="M122" i="5"/>
  <c r="M316" i="5"/>
  <c r="M256" i="5"/>
  <c r="M121" i="5"/>
  <c r="M47" i="5"/>
  <c r="F61" i="4"/>
  <c r="M359" i="5"/>
  <c r="M120" i="5"/>
  <c r="F60" i="4"/>
  <c r="M255" i="5"/>
  <c r="M46" i="5"/>
  <c r="M315" i="5"/>
  <c r="M119" i="5"/>
  <c r="M45" i="5"/>
  <c r="M254" i="5"/>
  <c r="M118" i="5"/>
  <c r="M358" i="5"/>
  <c r="M44" i="5"/>
  <c r="M117" i="5"/>
  <c r="M43" i="5"/>
  <c r="F56" i="4"/>
  <c r="M357" i="5"/>
  <c r="M116" i="5"/>
  <c r="M314" i="5"/>
  <c r="M42" i="5"/>
  <c r="M41" i="5"/>
  <c r="F54" i="4"/>
  <c r="M115" i="5"/>
  <c r="M40" i="5"/>
  <c r="M39" i="5"/>
  <c r="M312" i="5"/>
  <c r="M114" i="5"/>
  <c r="M356" i="5"/>
  <c r="M38" i="5"/>
  <c r="M37" i="5"/>
  <c r="M113" i="5"/>
  <c r="M311" i="5"/>
  <c r="M36" i="5"/>
  <c r="M112" i="5"/>
  <c r="M355" i="5"/>
  <c r="M35" i="5"/>
  <c r="M111" i="5"/>
  <c r="M310" i="5"/>
  <c r="M33" i="5"/>
  <c r="M110" i="5"/>
  <c r="F47" i="4"/>
  <c r="M309" i="5"/>
  <c r="M109" i="5"/>
  <c r="M30" i="5"/>
  <c r="M354" i="5"/>
  <c r="M29" i="5"/>
  <c r="M108" i="5"/>
  <c r="M308" i="5"/>
  <c r="M107" i="5"/>
  <c r="M28" i="5"/>
  <c r="M353" i="5"/>
  <c r="M106" i="5"/>
  <c r="M27" i="5"/>
  <c r="F42" i="4"/>
  <c r="M26" i="5"/>
  <c r="M105" i="5"/>
  <c r="M307" i="5"/>
  <c r="M25" i="5"/>
  <c r="M24" i="5"/>
  <c r="M104" i="5"/>
  <c r="M306" i="5"/>
  <c r="M23" i="5"/>
  <c r="M22" i="5"/>
  <c r="M103" i="5"/>
  <c r="M21" i="5"/>
  <c r="M305" i="5"/>
  <c r="M102" i="5"/>
  <c r="E12" i="6"/>
  <c r="M20" i="5"/>
  <c r="M101" i="5"/>
  <c r="M187" i="5"/>
  <c r="M19" i="5"/>
  <c r="M100" i="5"/>
  <c r="M18" i="5"/>
  <c r="E16" i="6"/>
  <c r="M99" i="5"/>
  <c r="E17" i="6"/>
  <c r="M17" i="5"/>
  <c r="M98" i="5"/>
  <c r="F32" i="4"/>
  <c r="M16" i="5"/>
  <c r="E20" i="6"/>
  <c r="M15" i="5"/>
  <c r="M97" i="5"/>
  <c r="M14" i="5"/>
  <c r="M13" i="5"/>
  <c r="M96" i="5"/>
  <c r="M298" i="5"/>
  <c r="M182" i="5"/>
  <c r="M95" i="5"/>
  <c r="E24" i="6"/>
  <c r="M12" i="5"/>
  <c r="M94" i="5"/>
  <c r="F27" i="4"/>
  <c r="M11" i="5"/>
  <c r="E26" i="6"/>
  <c r="M181" i="5"/>
  <c r="M93" i="5"/>
  <c r="M297" i="5"/>
  <c r="F25" i="4"/>
  <c r="M10" i="5"/>
  <c r="M92" i="5"/>
  <c r="M9" i="5"/>
  <c r="E31" i="6"/>
  <c r="M296" i="5"/>
  <c r="M8" i="5"/>
  <c r="M91" i="5"/>
  <c r="M7" i="5"/>
  <c r="M6" i="5"/>
  <c r="M90" i="5"/>
  <c r="E41" i="6"/>
  <c r="F21" i="4"/>
  <c r="M295" i="5"/>
  <c r="M89" i="5"/>
  <c r="M294" i="5"/>
  <c r="M293" i="5"/>
  <c r="E46" i="6"/>
  <c r="M88" i="5"/>
  <c r="M292" i="5"/>
  <c r="M291" i="5"/>
  <c r="F18" i="4"/>
  <c r="M87" i="5"/>
  <c r="F124" i="4"/>
  <c r="F17" i="4"/>
  <c r="M290" i="5"/>
  <c r="M86" i="5"/>
  <c r="M289" i="5"/>
  <c r="E53" i="6"/>
  <c r="M288" i="5"/>
  <c r="F120" i="4"/>
  <c r="M85" i="5"/>
  <c r="M287" i="5"/>
  <c r="M84" i="5"/>
  <c r="E55" i="6"/>
  <c r="M164" i="5"/>
  <c r="F13" i="4"/>
  <c r="M83" i="5"/>
  <c r="M382" i="5"/>
  <c r="M286" i="5"/>
  <c r="M82" i="5"/>
  <c r="E59" i="6"/>
  <c r="E60" i="6"/>
  <c r="M81" i="5"/>
  <c r="M163" i="5"/>
  <c r="M285" i="5"/>
  <c r="M80" i="5"/>
  <c r="E65" i="6"/>
  <c r="M380" i="5"/>
  <c r="M79" i="5"/>
  <c r="M159" i="5"/>
  <c r="F110" i="4"/>
  <c r="M78" i="5"/>
  <c r="M379" i="5"/>
  <c r="E74" i="6"/>
  <c r="M77" i="5"/>
  <c r="M158" i="5"/>
  <c r="M157" i="5"/>
  <c r="M76" i="5"/>
  <c r="E76" i="6"/>
  <c r="M378" i="5"/>
  <c r="M75" i="5"/>
  <c r="M156" i="5"/>
  <c r="M332" i="5"/>
  <c r="M74" i="5"/>
  <c r="M278" i="5"/>
  <c r="M155" i="5"/>
  <c r="M73" i="5"/>
  <c r="E86" i="6"/>
  <c r="M331" i="5"/>
  <c r="M72" i="5"/>
  <c r="M377" i="5"/>
  <c r="F105" i="4"/>
  <c r="M71" i="5"/>
  <c r="M154" i="5"/>
  <c r="M277" i="5"/>
  <c r="M70" i="5"/>
  <c r="M153" i="5"/>
  <c r="F136" i="4"/>
  <c r="L6" i="4" l="1"/>
  <c r="J137" i="4"/>
  <c r="Q13" i="2"/>
  <c r="P14" i="2"/>
  <c r="O13" i="2"/>
  <c r="N14" i="2"/>
  <c r="M13" i="2"/>
  <c r="L14" i="2"/>
  <c r="K13" i="2"/>
  <c r="J14" i="2"/>
  <c r="I13" i="2"/>
  <c r="H14" i="2"/>
  <c r="G13" i="2"/>
  <c r="F14" i="2"/>
  <c r="E13" i="2"/>
  <c r="D14" i="2"/>
  <c r="C13" i="2"/>
  <c r="B14" i="2"/>
  <c r="L6" i="9"/>
  <c r="K11" i="9"/>
  <c r="M66" i="14"/>
  <c r="L68" i="14"/>
  <c r="M68" i="14" s="1"/>
  <c r="Q765" i="5"/>
  <c r="S760" i="5"/>
  <c r="M87" i="14"/>
  <c r="L90" i="14"/>
  <c r="M90" i="14" s="1"/>
  <c r="M93" i="14"/>
  <c r="L95" i="14"/>
  <c r="M95" i="14" s="1"/>
  <c r="Q894" i="5"/>
  <c r="S893" i="5"/>
  <c r="M13" i="14"/>
  <c r="L16" i="14"/>
  <c r="M16" i="14" s="1"/>
  <c r="L6" i="13"/>
  <c r="K20" i="13"/>
  <c r="M81" i="14"/>
  <c r="L84" i="14"/>
  <c r="M84" i="14" s="1"/>
  <c r="M76" i="14"/>
  <c r="L78" i="14"/>
  <c r="M78" i="14" s="1"/>
  <c r="M71" i="14"/>
  <c r="L73" i="14"/>
  <c r="M73" i="14" s="1"/>
  <c r="M61" i="14"/>
  <c r="L63" i="14"/>
  <c r="M63" i="14" s="1"/>
  <c r="M56" i="14"/>
  <c r="L58" i="14"/>
  <c r="M58" i="14" s="1"/>
  <c r="Q812" i="5"/>
  <c r="S808" i="5"/>
  <c r="M27" i="14"/>
  <c r="L29" i="14"/>
  <c r="M29" i="14" s="1"/>
  <c r="Q781" i="5"/>
  <c r="S778" i="5"/>
  <c r="M142" i="14"/>
  <c r="L144" i="14"/>
  <c r="M144" i="14" s="1"/>
  <c r="M137" i="14"/>
  <c r="L139" i="14"/>
  <c r="M139" i="14" s="1"/>
  <c r="M133" i="14"/>
  <c r="L134" i="14"/>
  <c r="M134" i="14" s="1"/>
  <c r="M129" i="14"/>
  <c r="L130" i="14"/>
  <c r="M130" i="14" s="1"/>
  <c r="Q823" i="5"/>
  <c r="S820" i="5"/>
  <c r="Q838" i="5"/>
  <c r="S835" i="5"/>
  <c r="Q852" i="5"/>
  <c r="S847" i="5"/>
  <c r="M19" i="14"/>
  <c r="L24" i="14"/>
  <c r="M24" i="14" s="1"/>
  <c r="Q858" i="5"/>
  <c r="S856" i="5"/>
  <c r="M124" i="14"/>
  <c r="L126" i="14"/>
  <c r="M126" i="14" s="1"/>
  <c r="M119" i="14"/>
  <c r="L121" i="14"/>
  <c r="M121" i="14" s="1"/>
  <c r="Q873" i="5"/>
  <c r="S868" i="5"/>
  <c r="M108" i="14"/>
  <c r="L111" i="14"/>
  <c r="M111" i="14" s="1"/>
  <c r="M103" i="14"/>
  <c r="L105" i="14"/>
  <c r="M105" i="14" s="1"/>
  <c r="M98" i="14"/>
  <c r="L100" i="14"/>
  <c r="M100" i="14" s="1"/>
  <c r="Q866" i="5"/>
  <c r="S860" i="5"/>
  <c r="Q625" i="5"/>
  <c r="S623" i="5"/>
  <c r="M32" i="14"/>
  <c r="L35" i="14"/>
  <c r="M35" i="14" s="1"/>
  <c r="M44" i="14"/>
  <c r="L47" i="14"/>
  <c r="M47" i="14" s="1"/>
  <c r="M38" i="14"/>
  <c r="L41" i="14"/>
  <c r="M41" i="14" s="1"/>
  <c r="M50" i="14"/>
  <c r="L53" i="14"/>
  <c r="M53" i="14" s="1"/>
  <c r="M6" i="14"/>
  <c r="L10" i="14"/>
  <c r="M10" i="14" s="1"/>
  <c r="M114" i="14"/>
  <c r="L116" i="14"/>
  <c r="M116" i="14" s="1"/>
  <c r="R342" i="5"/>
  <c r="S342" i="5"/>
  <c r="T342" i="5" s="1"/>
  <c r="G6" i="7"/>
  <c r="I6" i="7" s="1"/>
  <c r="M6" i="7" s="1"/>
  <c r="G7" i="7"/>
  <c r="I7" i="7" s="1"/>
  <c r="M7" i="7" s="1"/>
  <c r="F5" i="8" s="1"/>
  <c r="G8" i="7"/>
  <c r="I8" i="7" s="1"/>
  <c r="M8" i="7" s="1"/>
  <c r="F6" i="8" s="1"/>
  <c r="G9" i="7"/>
  <c r="I9" i="7" s="1"/>
  <c r="M9" i="7" s="1"/>
  <c r="F7" i="8" s="1"/>
  <c r="G10" i="7"/>
  <c r="I10" i="7" s="1"/>
  <c r="M10" i="7" s="1"/>
  <c r="F8" i="8" s="1"/>
  <c r="G11" i="7"/>
  <c r="I11" i="7" s="1"/>
  <c r="M11" i="7" s="1"/>
  <c r="F9" i="8" s="1"/>
  <c r="G12" i="7"/>
  <c r="I12" i="7" s="1"/>
  <c r="M12" i="7" s="1"/>
  <c r="F10" i="8" s="1"/>
  <c r="G13" i="7"/>
  <c r="I13" i="7" s="1"/>
  <c r="M13" i="7" s="1"/>
  <c r="F11" i="8" s="1"/>
  <c r="G14" i="7"/>
  <c r="I14" i="7" s="1"/>
  <c r="M14" i="7" s="1"/>
  <c r="F12" i="8" s="1"/>
  <c r="G15" i="7"/>
  <c r="I15" i="7" s="1"/>
  <c r="M15" i="7" s="1"/>
  <c r="F13" i="8" s="1"/>
  <c r="G16" i="7"/>
  <c r="I16" i="7" s="1"/>
  <c r="M16" i="7" s="1"/>
  <c r="F14" i="8" s="1"/>
  <c r="G17" i="7"/>
  <c r="I17" i="7" s="1"/>
  <c r="M17" i="7" s="1"/>
  <c r="F15" i="8" s="1"/>
  <c r="G18" i="7"/>
  <c r="I18" i="7" s="1"/>
  <c r="M18" i="7" s="1"/>
  <c r="F16" i="8" s="1"/>
  <c r="G19" i="7"/>
  <c r="I19" i="7" s="1"/>
  <c r="M19" i="7" s="1"/>
  <c r="F17" i="8" s="1"/>
  <c r="G20" i="7"/>
  <c r="I20" i="7" s="1"/>
  <c r="M20" i="7" s="1"/>
  <c r="F18" i="8" s="1"/>
  <c r="G21" i="7"/>
  <c r="I21" i="7" s="1"/>
  <c r="M21" i="7" s="1"/>
  <c r="F19" i="8" s="1"/>
  <c r="G22" i="7"/>
  <c r="I22" i="7" s="1"/>
  <c r="M22" i="7" s="1"/>
  <c r="F20" i="8" s="1"/>
  <c r="G23" i="7"/>
  <c r="I23" i="7" s="1"/>
  <c r="M23" i="7" s="1"/>
  <c r="F21" i="8" s="1"/>
  <c r="G24" i="7"/>
  <c r="I24" i="7" s="1"/>
  <c r="M24" i="7" s="1"/>
  <c r="F22" i="8" s="1"/>
  <c r="G25" i="7"/>
  <c r="I25" i="7" s="1"/>
  <c r="M25" i="7" s="1"/>
  <c r="F23" i="8" s="1"/>
  <c r="G26" i="7"/>
  <c r="I26" i="7" s="1"/>
  <c r="M26" i="7" s="1"/>
  <c r="F24" i="8" s="1"/>
  <c r="G27" i="7"/>
  <c r="I27" i="7" s="1"/>
  <c r="M27" i="7" s="1"/>
  <c r="F25" i="8" s="1"/>
  <c r="G28" i="7"/>
  <c r="I28" i="7" s="1"/>
  <c r="M28" i="7" s="1"/>
  <c r="F26" i="8" s="1"/>
  <c r="G29" i="7"/>
  <c r="I29" i="7" s="1"/>
  <c r="M29" i="7" s="1"/>
  <c r="F27" i="8" s="1"/>
  <c r="G30" i="7"/>
  <c r="I30" i="7" s="1"/>
  <c r="M30" i="7" s="1"/>
  <c r="F28" i="8" s="1"/>
  <c r="G31" i="7"/>
  <c r="I31" i="7" s="1"/>
  <c r="M31" i="7" s="1"/>
  <c r="F29" i="8" s="1"/>
  <c r="G32" i="7"/>
  <c r="I32" i="7" s="1"/>
  <c r="M32" i="7" s="1"/>
  <c r="F30" i="8" s="1"/>
  <c r="G33" i="7"/>
  <c r="I33" i="7" s="1"/>
  <c r="M33" i="7" s="1"/>
  <c r="F31" i="8" s="1"/>
  <c r="G34" i="7"/>
  <c r="I34" i="7" s="1"/>
  <c r="M34" i="7" s="1"/>
  <c r="F32" i="8" s="1"/>
  <c r="G35" i="7"/>
  <c r="I35" i="7" s="1"/>
  <c r="M35" i="7" s="1"/>
  <c r="F33" i="8" s="1"/>
  <c r="G36" i="7"/>
  <c r="I36" i="7" s="1"/>
  <c r="M36" i="7" s="1"/>
  <c r="F34" i="8" s="1"/>
  <c r="G37" i="7"/>
  <c r="I37" i="7" s="1"/>
  <c r="M37" i="7" s="1"/>
  <c r="F35" i="8" s="1"/>
  <c r="G38" i="7"/>
  <c r="I38" i="7" s="1"/>
  <c r="M38" i="7" s="1"/>
  <c r="F36" i="8" s="1"/>
  <c r="G39" i="7"/>
  <c r="I39" i="7" s="1"/>
  <c r="M39" i="7" s="1"/>
  <c r="F37" i="8" s="1"/>
  <c r="G40" i="7"/>
  <c r="I40" i="7" s="1"/>
  <c r="M40" i="7" s="1"/>
  <c r="F38" i="8" s="1"/>
  <c r="G41" i="7"/>
  <c r="I41" i="7" s="1"/>
  <c r="M41" i="7" s="1"/>
  <c r="F39" i="8" s="1"/>
  <c r="G42" i="7"/>
  <c r="I42" i="7" s="1"/>
  <c r="M42" i="7" s="1"/>
  <c r="F40" i="8" s="1"/>
  <c r="G43" i="7"/>
  <c r="I43" i="7" s="1"/>
  <c r="M43" i="7" s="1"/>
  <c r="F41" i="8" s="1"/>
  <c r="G44" i="7"/>
  <c r="I44" i="7" s="1"/>
  <c r="M44" i="7" s="1"/>
  <c r="F42" i="8" s="1"/>
  <c r="G45" i="7"/>
  <c r="I45" i="7" s="1"/>
  <c r="M45" i="7" s="1"/>
  <c r="F43" i="8" s="1"/>
  <c r="G46" i="7"/>
  <c r="I46" i="7" s="1"/>
  <c r="M46" i="7" s="1"/>
  <c r="F44" i="8" s="1"/>
  <c r="G47" i="7"/>
  <c r="I47" i="7" s="1"/>
  <c r="M47" i="7" s="1"/>
  <c r="F45" i="8" s="1"/>
  <c r="G48" i="7"/>
  <c r="I48" i="7" s="1"/>
  <c r="M48" i="7" s="1"/>
  <c r="F46" i="8" s="1"/>
  <c r="G49" i="7"/>
  <c r="I49" i="7" s="1"/>
  <c r="M49" i="7" s="1"/>
  <c r="F47" i="8" s="1"/>
  <c r="G50" i="7"/>
  <c r="I50" i="7" s="1"/>
  <c r="M50" i="7" s="1"/>
  <c r="F48" i="8" s="1"/>
  <c r="G51" i="7"/>
  <c r="I51" i="7" s="1"/>
  <c r="M51" i="7" s="1"/>
  <c r="F49" i="8" s="1"/>
  <c r="G52" i="7"/>
  <c r="I52" i="7" s="1"/>
  <c r="M52" i="7" s="1"/>
  <c r="F50" i="8" s="1"/>
  <c r="G53" i="7"/>
  <c r="I53" i="7" s="1"/>
  <c r="M53" i="7" s="1"/>
  <c r="F51" i="8" s="1"/>
  <c r="G54" i="7"/>
  <c r="I54" i="7" s="1"/>
  <c r="M54" i="7" s="1"/>
  <c r="F52" i="8" s="1"/>
  <c r="G55" i="7"/>
  <c r="I55" i="7" s="1"/>
  <c r="M55" i="7" s="1"/>
  <c r="F53" i="8" s="1"/>
  <c r="G56" i="7"/>
  <c r="I56" i="7" s="1"/>
  <c r="M56" i="7" s="1"/>
  <c r="F54" i="8" s="1"/>
  <c r="G57" i="7"/>
  <c r="I57" i="7" s="1"/>
  <c r="M57" i="7" s="1"/>
  <c r="F55" i="8" s="1"/>
  <c r="G58" i="7"/>
  <c r="I58" i="7" s="1"/>
  <c r="M58" i="7" s="1"/>
  <c r="F56" i="8" s="1"/>
  <c r="G59" i="7"/>
  <c r="I59" i="7" s="1"/>
  <c r="M59" i="7" s="1"/>
  <c r="F57" i="8" s="1"/>
  <c r="G60" i="7"/>
  <c r="I60" i="7" s="1"/>
  <c r="M60" i="7" s="1"/>
  <c r="F58" i="8" s="1"/>
  <c r="G61" i="7"/>
  <c r="I61" i="7" s="1"/>
  <c r="M61" i="7" s="1"/>
  <c r="F59" i="8" s="1"/>
  <c r="G62" i="7"/>
  <c r="I62" i="7" s="1"/>
  <c r="M62" i="7" s="1"/>
  <c r="F60" i="8" s="1"/>
  <c r="G63" i="7"/>
  <c r="I63" i="7" s="1"/>
  <c r="M63" i="7" s="1"/>
  <c r="F61" i="8" s="1"/>
  <c r="G64" i="7"/>
  <c r="I64" i="7" s="1"/>
  <c r="M64" i="7" s="1"/>
  <c r="F62" i="8" s="1"/>
  <c r="G65" i="7"/>
  <c r="I65" i="7" s="1"/>
  <c r="M65" i="7" s="1"/>
  <c r="F63" i="8" s="1"/>
  <c r="G66" i="7"/>
  <c r="I66" i="7" s="1"/>
  <c r="M66" i="7" s="1"/>
  <c r="F64" i="8" s="1"/>
  <c r="G67" i="7"/>
  <c r="I67" i="7" s="1"/>
  <c r="M67" i="7" s="1"/>
  <c r="F65" i="8" s="1"/>
  <c r="G68" i="7"/>
  <c r="I68" i="7" s="1"/>
  <c r="M68" i="7" s="1"/>
  <c r="F66" i="8" s="1"/>
  <c r="G69" i="7"/>
  <c r="I69" i="7" s="1"/>
  <c r="M69" i="7" s="1"/>
  <c r="F67" i="8" s="1"/>
  <c r="G70" i="7"/>
  <c r="I70" i="7" s="1"/>
  <c r="M70" i="7" s="1"/>
  <c r="F68" i="8" s="1"/>
  <c r="G71" i="7"/>
  <c r="I71" i="7" s="1"/>
  <c r="M71" i="7" s="1"/>
  <c r="F69" i="8" s="1"/>
  <c r="G72" i="7"/>
  <c r="I72" i="7" s="1"/>
  <c r="M72" i="7" s="1"/>
  <c r="F70" i="8" s="1"/>
  <c r="G73" i="7"/>
  <c r="I73" i="7" s="1"/>
  <c r="M73" i="7" s="1"/>
  <c r="F71" i="8" s="1"/>
  <c r="G74" i="7"/>
  <c r="I74" i="7" s="1"/>
  <c r="M74" i="7" s="1"/>
  <c r="F72" i="8" s="1"/>
  <c r="G75" i="7"/>
  <c r="I75" i="7" s="1"/>
  <c r="M75" i="7" s="1"/>
  <c r="F73" i="8" s="1"/>
  <c r="Q16" i="5"/>
  <c r="Q116" i="5"/>
  <c r="Q71" i="5"/>
  <c r="Q80" i="5"/>
  <c r="Q129" i="5"/>
  <c r="Q244" i="5"/>
  <c r="Q211" i="5"/>
  <c r="Q233" i="5"/>
  <c r="Q228" i="5"/>
  <c r="Q208" i="5"/>
  <c r="Q249" i="5"/>
  <c r="Q686" i="5"/>
  <c r="Q687" i="5"/>
  <c r="Q597" i="5"/>
  <c r="Q48" i="5"/>
  <c r="Q128" i="5"/>
  <c r="Q364" i="5"/>
  <c r="Q23" i="5"/>
  <c r="Q305" i="5"/>
  <c r="Q69" i="5"/>
  <c r="Q267" i="5"/>
  <c r="Q104" i="5"/>
  <c r="Q152" i="5"/>
  <c r="Q79" i="5"/>
  <c r="Q144" i="5"/>
  <c r="Q632" i="5"/>
  <c r="S632" i="5" s="1"/>
  <c r="Q793" i="5"/>
  <c r="S793" i="5" s="1"/>
  <c r="Q638" i="5"/>
  <c r="S638" i="5" s="1"/>
  <c r="Q725" i="5"/>
  <c r="S725" i="5" s="1"/>
  <c r="Q791" i="5"/>
  <c r="S791" i="5" s="1"/>
  <c r="Q561" i="5"/>
  <c r="Q730" i="5"/>
  <c r="Q731" i="5"/>
  <c r="Q487" i="5"/>
  <c r="Q573" i="5"/>
  <c r="Q660" i="5"/>
  <c r="Q713" i="5"/>
  <c r="Q685" i="5"/>
  <c r="Q668" i="5"/>
  <c r="Q408" i="5"/>
  <c r="Q410" i="5"/>
  <c r="Q706" i="5"/>
  <c r="Q843" i="5"/>
  <c r="S843" i="5" s="1"/>
  <c r="Q770" i="5"/>
  <c r="S770" i="5" s="1"/>
  <c r="Q756" i="5"/>
  <c r="S756" i="5" s="1"/>
  <c r="Q827" i="5"/>
  <c r="S827" i="5" s="1"/>
  <c r="Q821" i="5"/>
  <c r="S821" i="5" s="1"/>
  <c r="Q862" i="5"/>
  <c r="S862" i="5" s="1"/>
  <c r="Q762" i="5"/>
  <c r="S762" i="5" s="1"/>
  <c r="Q802" i="5"/>
  <c r="S802" i="5" s="1"/>
  <c r="Q804" i="5"/>
  <c r="S804" i="5" s="1"/>
  <c r="Q851" i="5"/>
  <c r="S851" i="5" s="1"/>
  <c r="Q842" i="5"/>
  <c r="S842" i="5" s="1"/>
  <c r="Q472" i="5"/>
  <c r="S472" i="5" s="1"/>
  <c r="Q677" i="5"/>
  <c r="Q341" i="5"/>
  <c r="Q881" i="5"/>
  <c r="S881" i="5" s="1"/>
  <c r="Q884" i="5"/>
  <c r="S884" i="5" s="1"/>
  <c r="Q549" i="5"/>
  <c r="S549" i="5" s="1"/>
  <c r="Q550" i="5"/>
  <c r="S550" i="5" s="1"/>
  <c r="Q636" i="5"/>
  <c r="S636" i="5" s="1"/>
  <c r="Q878" i="5"/>
  <c r="S878" i="5" s="1"/>
  <c r="Q644" i="5"/>
  <c r="Q548" i="5"/>
  <c r="Q875" i="5"/>
  <c r="Q637" i="5"/>
  <c r="S637" i="5" s="1"/>
  <c r="Q520" i="5"/>
  <c r="S520" i="5" s="1"/>
  <c r="Q876" i="5"/>
  <c r="S876" i="5" s="1"/>
  <c r="Q844" i="5"/>
  <c r="S844" i="5" s="1"/>
  <c r="Q767" i="5"/>
  <c r="Q785" i="5"/>
  <c r="Q755" i="5"/>
  <c r="Q800" i="5"/>
  <c r="Q840" i="5"/>
  <c r="Q272" i="5"/>
  <c r="Q740" i="5"/>
  <c r="Q541" i="5"/>
  <c r="Q714" i="5"/>
  <c r="Q869" i="5"/>
  <c r="Q880" i="5"/>
  <c r="S880" i="5" s="1"/>
  <c r="Q26" i="5"/>
  <c r="Q49" i="5"/>
  <c r="Q205" i="5"/>
  <c r="Q373" i="5"/>
  <c r="Q294" i="5"/>
  <c r="Q353" i="5"/>
  <c r="Q265" i="5"/>
  <c r="Q6" i="5"/>
  <c r="Q201" i="5"/>
  <c r="Q551" i="5"/>
  <c r="Q542" i="5"/>
  <c r="Q497" i="5"/>
  <c r="Q434" i="5"/>
  <c r="Q479" i="5"/>
  <c r="Q404" i="5"/>
  <c r="Q684" i="5"/>
  <c r="Q339" i="5"/>
  <c r="Q317" i="5"/>
  <c r="Q378" i="5"/>
  <c r="Q354" i="5"/>
  <c r="Q436" i="5"/>
  <c r="Q729" i="5"/>
  <c r="Q657" i="5"/>
  <c r="Q403" i="5"/>
  <c r="Q325" i="5"/>
  <c r="Q703" i="5"/>
  <c r="Q471" i="5"/>
  <c r="Q650" i="5"/>
  <c r="Q590" i="5"/>
  <c r="Q461" i="5"/>
  <c r="Q582" i="5"/>
  <c r="Q457" i="5"/>
  <c r="Q675" i="5"/>
  <c r="Q596" i="5"/>
  <c r="Q510" i="5"/>
  <c r="Q521" i="5"/>
  <c r="S521" i="5" s="1"/>
  <c r="Q77" i="5"/>
  <c r="Q78" i="5"/>
  <c r="Q141" i="5"/>
  <c r="Q278" i="5"/>
  <c r="Q356" i="5"/>
  <c r="Q153" i="5"/>
  <c r="Q143" i="5"/>
  <c r="Q130" i="5"/>
  <c r="Q127" i="5"/>
  <c r="Q124" i="5"/>
  <c r="Q96" i="5"/>
  <c r="Q115" i="5"/>
  <c r="Q14" i="5"/>
  <c r="Q40" i="5"/>
  <c r="Q46" i="5"/>
  <c r="Q60" i="5"/>
  <c r="Q67" i="5"/>
  <c r="Q70" i="5"/>
  <c r="Q72" i="5"/>
  <c r="Q74" i="5"/>
  <c r="Q76" i="5"/>
  <c r="Q105" i="5"/>
  <c r="Q229" i="5"/>
  <c r="Q203" i="5"/>
  <c r="Q167" i="5"/>
  <c r="Q247" i="5"/>
  <c r="Q250" i="5"/>
  <c r="Q173" i="5"/>
  <c r="Q202" i="5"/>
  <c r="Q168" i="5"/>
  <c r="Q231" i="5"/>
  <c r="Q183" i="5"/>
  <c r="Q160" i="5"/>
  <c r="Q192" i="5"/>
  <c r="Q161" i="5"/>
  <c r="Q245" i="5"/>
  <c r="Q234" i="5"/>
  <c r="Q572" i="5"/>
  <c r="Q505" i="5"/>
  <c r="Q417" i="5"/>
  <c r="Q607" i="5"/>
  <c r="Q7" i="5"/>
  <c r="Q318" i="5"/>
  <c r="Q315" i="5"/>
  <c r="Q357" i="5"/>
  <c r="Q296" i="5"/>
  <c r="Q316" i="5"/>
  <c r="Q298" i="5"/>
  <c r="Q367" i="5"/>
  <c r="Q103" i="5"/>
  <c r="Q307" i="5"/>
  <c r="Q151" i="5"/>
  <c r="Q13" i="5"/>
  <c r="Q374" i="5"/>
  <c r="Q12" i="5"/>
  <c r="Q10" i="5"/>
  <c r="Q22" i="5"/>
  <c r="Q266" i="5"/>
  <c r="Q362" i="5"/>
  <c r="Q277" i="5"/>
  <c r="Q20" i="5"/>
  <c r="Q47" i="5"/>
  <c r="Q15" i="5"/>
  <c r="Q268" i="5"/>
  <c r="Q9" i="5"/>
  <c r="Q314" i="5"/>
  <c r="Q269" i="5"/>
  <c r="Q361" i="5"/>
  <c r="Q242" i="5"/>
  <c r="Q215" i="5"/>
  <c r="Q213" i="5"/>
  <c r="Q185" i="5"/>
  <c r="Q191" i="5"/>
  <c r="Q216" i="5"/>
  <c r="Q227" i="5"/>
  <c r="Q207" i="5"/>
  <c r="Q627" i="5"/>
  <c r="Q639" i="5"/>
  <c r="S639" i="5" s="1"/>
  <c r="Q792" i="5"/>
  <c r="S792" i="5" s="1"/>
  <c r="Q786" i="5"/>
  <c r="S786" i="5" s="1"/>
  <c r="Q790" i="5"/>
  <c r="S790" i="5" s="1"/>
  <c r="Q635" i="5"/>
  <c r="Q511" i="5"/>
  <c r="Q482" i="5"/>
  <c r="Q437" i="5"/>
  <c r="Q741" i="5"/>
  <c r="Q444" i="5"/>
  <c r="Q388" i="5"/>
  <c r="Q553" i="5"/>
  <c r="Q480" i="5"/>
  <c r="Q443" i="5"/>
  <c r="Q528" i="5"/>
  <c r="Q447" i="5"/>
  <c r="Q565" i="5"/>
  <c r="Q498" i="5"/>
  <c r="Q488" i="5"/>
  <c r="Q540" i="5"/>
  <c r="Q438" i="5"/>
  <c r="Q446" i="5"/>
  <c r="Q554" i="5"/>
  <c r="Q552" i="5"/>
  <c r="Q445" i="5"/>
  <c r="Q483" i="5"/>
  <c r="Q559" i="5"/>
  <c r="Q407" i="5"/>
  <c r="Q695" i="5"/>
  <c r="Q409" i="5"/>
  <c r="Q414" i="5"/>
  <c r="Q696" i="5"/>
  <c r="Q415" i="5"/>
  <c r="Q411" i="5"/>
  <c r="Q421" i="5"/>
  <c r="Q712" i="5"/>
  <c r="Q863" i="5"/>
  <c r="S863" i="5" s="1"/>
  <c r="Q803" i="5"/>
  <c r="S803" i="5" s="1"/>
  <c r="Q574" i="5"/>
  <c r="S574" i="5" s="1"/>
  <c r="Q347" i="5"/>
  <c r="Q451" i="5"/>
  <c r="Q589" i="5"/>
  <c r="Q340" i="5"/>
  <c r="Q586" i="5"/>
  <c r="Q598" i="5"/>
  <c r="Q450" i="5"/>
  <c r="Q467" i="5"/>
  <c r="Q662" i="5"/>
  <c r="Q601" i="5"/>
  <c r="Q109" i="5"/>
  <c r="S109" i="5" s="1"/>
  <c r="Q107" i="5"/>
  <c r="S107" i="5" s="1"/>
  <c r="Q53" i="5"/>
  <c r="S53" i="5" s="1"/>
  <c r="Q30" i="5"/>
  <c r="S30" i="5" s="1"/>
  <c r="Q157" i="5"/>
  <c r="S157" i="5" s="1"/>
  <c r="Q155" i="5"/>
  <c r="S155" i="5" s="1"/>
  <c r="Q28" i="5"/>
  <c r="S28" i="5" s="1"/>
  <c r="Q82" i="5"/>
  <c r="S82" i="5" s="1"/>
  <c r="Q25" i="5"/>
  <c r="S25" i="5" s="1"/>
  <c r="Q134" i="5"/>
  <c r="S134" i="5" s="1"/>
  <c r="Q132" i="5"/>
  <c r="S132" i="5" s="1"/>
  <c r="Q51" i="5"/>
  <c r="S51" i="5" s="1"/>
  <c r="Q84" i="5"/>
  <c r="S84" i="5" s="1"/>
  <c r="Q194" i="5"/>
  <c r="S194" i="5" s="1"/>
  <c r="Q196" i="5"/>
  <c r="S196" i="5" s="1"/>
  <c r="Q172" i="5"/>
  <c r="S172" i="5" s="1"/>
  <c r="Q170" i="5"/>
  <c r="S170" i="5" s="1"/>
  <c r="Q154" i="5"/>
  <c r="Q133" i="5"/>
  <c r="Q131" i="5"/>
  <c r="Q108" i="5"/>
  <c r="Q262" i="5"/>
  <c r="Q106" i="5"/>
  <c r="Q310" i="5"/>
  <c r="Q52" i="5"/>
  <c r="Q50" i="5"/>
  <c r="Q311" i="5"/>
  <c r="Q312" i="5"/>
  <c r="Q29" i="5"/>
  <c r="Q382" i="5"/>
  <c r="Q293" i="5"/>
  <c r="Q27" i="5"/>
  <c r="Q291" i="5"/>
  <c r="Q259" i="5"/>
  <c r="Q376" i="5"/>
  <c r="Q260" i="5"/>
  <c r="Q292" i="5"/>
  <c r="Q24" i="5"/>
  <c r="Q156" i="5"/>
  <c r="Q261" i="5"/>
  <c r="Q81" i="5"/>
  <c r="Q332" i="5"/>
  <c r="Q276" i="5"/>
  <c r="Q83" i="5"/>
  <c r="Q210" i="5"/>
  <c r="Q209" i="5"/>
  <c r="Q246" i="5"/>
  <c r="Q195" i="5"/>
  <c r="Q193" i="5"/>
  <c r="Q171" i="5"/>
  <c r="Q169" i="5"/>
  <c r="Q248" i="5"/>
  <c r="Q232" i="5"/>
  <c r="Q230" i="5"/>
  <c r="Q641" i="5"/>
  <c r="S641" i="5" s="1"/>
  <c r="Q630" i="5"/>
  <c r="S630" i="5" s="1"/>
  <c r="Q726" i="5"/>
  <c r="S726" i="5" s="1"/>
  <c r="Q787" i="5"/>
  <c r="S787" i="5" s="1"/>
  <c r="Q504" i="5"/>
  <c r="Q523" i="5"/>
  <c r="Q571" i="5"/>
  <c r="Q742" i="5"/>
  <c r="Q537" i="5"/>
  <c r="Q535" i="5"/>
  <c r="Q738" i="5"/>
  <c r="Q428" i="5"/>
  <c r="Q558" i="5"/>
  <c r="Q432" i="5"/>
  <c r="Q736" i="5"/>
  <c r="Q429" i="5"/>
  <c r="Q485" i="5"/>
  <c r="Q743" i="5"/>
  <c r="Q396" i="5"/>
  <c r="Q503" i="5"/>
  <c r="Q433" i="5"/>
  <c r="Q567" i="5"/>
  <c r="Q515" i="5"/>
  <c r="Q395" i="5"/>
  <c r="Q518" i="5"/>
  <c r="Q484" i="5"/>
  <c r="Q313" i="5"/>
  <c r="Q413" i="5"/>
  <c r="Q710" i="5"/>
  <c r="Q406" i="5"/>
  <c r="Q691" i="5"/>
  <c r="Q709" i="5"/>
  <c r="Q412" i="5"/>
  <c r="Q708" i="5"/>
  <c r="Q663" i="5"/>
  <c r="Q659" i="5"/>
  <c r="Q327" i="5"/>
  <c r="Q281" i="5"/>
  <c r="Q368" i="5"/>
  <c r="Q299" i="5"/>
  <c r="Q300" i="5"/>
  <c r="Q282" i="5"/>
  <c r="Q688" i="5"/>
  <c r="Q822" i="5"/>
  <c r="S822" i="5" s="1"/>
  <c r="Q828" i="5"/>
  <c r="S828" i="5" s="1"/>
  <c r="Q825" i="5"/>
  <c r="Q771" i="5"/>
  <c r="S771" i="5" s="1"/>
  <c r="Q811" i="5"/>
  <c r="S811" i="5" s="1"/>
  <c r="Q864" i="5"/>
  <c r="S864" i="5" s="1"/>
  <c r="Q764" i="5"/>
  <c r="S764" i="5" s="1"/>
  <c r="Q849" i="5"/>
  <c r="S849" i="5" s="1"/>
  <c r="Q816" i="5"/>
  <c r="Q780" i="5"/>
  <c r="S780" i="5" s="1"/>
  <c r="Q836" i="5"/>
  <c r="S836" i="5" s="1"/>
  <c r="Q871" i="5"/>
  <c r="S871" i="5" s="1"/>
  <c r="Q857" i="5"/>
  <c r="S857" i="5" s="1"/>
  <c r="Q805" i="5"/>
  <c r="S805" i="5" s="1"/>
  <c r="Q475" i="5"/>
  <c r="S475" i="5" s="1"/>
  <c r="Q575" i="5"/>
  <c r="S575" i="5" s="1"/>
  <c r="Q651" i="5"/>
  <c r="S651" i="5" s="1"/>
  <c r="Q591" i="5"/>
  <c r="Q679" i="5"/>
  <c r="Q452" i="5"/>
  <c r="Q458" i="5"/>
  <c r="Q348" i="5"/>
  <c r="Q600" i="5"/>
  <c r="Q465" i="5"/>
  <c r="Q463" i="5"/>
  <c r="Q338" i="5"/>
  <c r="Q879" i="5"/>
  <c r="S879" i="5" s="1"/>
  <c r="Q355" i="5"/>
  <c r="Q289" i="5"/>
  <c r="Q61" i="5"/>
  <c r="Q62" i="5"/>
  <c r="Q54" i="5"/>
  <c r="Q264" i="5"/>
  <c r="Q55" i="5"/>
  <c r="Q263" i="5"/>
  <c r="Q737" i="5"/>
  <c r="Q735" i="5"/>
  <c r="Q570" i="5"/>
  <c r="Q517" i="5"/>
  <c r="Q534" i="5"/>
  <c r="Q397" i="5"/>
  <c r="Q430" i="5"/>
  <c r="Q481" i="5"/>
  <c r="Q405" i="5"/>
  <c r="Q707" i="5"/>
  <c r="Q661" i="5"/>
  <c r="Q474" i="5"/>
  <c r="S474" i="5" s="1"/>
  <c r="Q466" i="5"/>
  <c r="Q609" i="5"/>
  <c r="Q588" i="5"/>
  <c r="Q66" i="5"/>
  <c r="S66" i="5" s="1"/>
  <c r="Q57" i="5"/>
  <c r="S57" i="5" s="1"/>
  <c r="Q64" i="5"/>
  <c r="S64" i="5" s="1"/>
  <c r="Q59" i="5"/>
  <c r="S59" i="5" s="1"/>
  <c r="Q290" i="5"/>
  <c r="Q65" i="5"/>
  <c r="Q58" i="5"/>
  <c r="Q56" i="5"/>
  <c r="Q63" i="5"/>
  <c r="Q536" i="5"/>
  <c r="Q739" i="5"/>
  <c r="Q431" i="5"/>
  <c r="Q689" i="5"/>
  <c r="Q464" i="5"/>
  <c r="Q35" i="5"/>
  <c r="Q41" i="5"/>
  <c r="Q111" i="5"/>
  <c r="Q142" i="5"/>
  <c r="Q95" i="5"/>
  <c r="Q126" i="5"/>
  <c r="Q184" i="5"/>
  <c r="Q165" i="5"/>
  <c r="Q68" i="5"/>
  <c r="Q257" i="5"/>
  <c r="Q33" i="5"/>
  <c r="Q309" i="5"/>
  <c r="Q366" i="5"/>
  <c r="Q270" i="5"/>
  <c r="Q297" i="5"/>
  <c r="Q179" i="5"/>
  <c r="Q178" i="5"/>
  <c r="Q724" i="5"/>
  <c r="Q522" i="5"/>
  <c r="Q389" i="5"/>
  <c r="Q439" i="5"/>
  <c r="Q490" i="5"/>
  <c r="Q566" i="5"/>
  <c r="Q499" i="5"/>
  <c r="Q538" i="5"/>
  <c r="Q733" i="5"/>
  <c r="Q658" i="5"/>
  <c r="Q419" i="5"/>
  <c r="Q711" i="5"/>
  <c r="Q692" i="5"/>
  <c r="Q652" i="5"/>
  <c r="S652" i="5" s="1"/>
  <c r="Q576" i="5"/>
  <c r="S576" i="5" s="1"/>
  <c r="Q608" i="5"/>
  <c r="Q459" i="5"/>
  <c r="Q337" i="5"/>
  <c r="Q21" i="5"/>
  <c r="Q745" i="5"/>
  <c r="Q539" i="5"/>
  <c r="Q865" i="5"/>
  <c r="S865" i="5" s="1"/>
  <c r="Q577" i="5"/>
  <c r="S577" i="5" s="1"/>
  <c r="Q346" i="5"/>
  <c r="Q449" i="5"/>
  <c r="Q258" i="5"/>
  <c r="Q380" i="5"/>
  <c r="Q206" i="5"/>
  <c r="Q789" i="5"/>
  <c r="S789" i="5" s="1"/>
  <c r="Q629" i="5"/>
  <c r="S629" i="5" s="1"/>
  <c r="Q519" i="5"/>
  <c r="Q514" i="5"/>
  <c r="Q734" i="5"/>
  <c r="Q500" i="5"/>
  <c r="Q676" i="5"/>
  <c r="Q587" i="5"/>
  <c r="Q489" i="5"/>
  <c r="S489" i="5" s="1"/>
  <c r="Q441" i="5"/>
  <c r="S441" i="5" s="1"/>
  <c r="Q556" i="5"/>
  <c r="S556" i="5" s="1"/>
  <c r="Q381" i="5"/>
  <c r="S381" i="5" s="1"/>
  <c r="Q788" i="5"/>
  <c r="S788" i="5" s="1"/>
  <c r="Q690" i="5"/>
  <c r="Q693" i="5"/>
  <c r="Q763" i="5"/>
  <c r="S763" i="5" s="1"/>
  <c r="Q653" i="5"/>
  <c r="Q524" i="5"/>
  <c r="S524" i="5" s="1"/>
  <c r="Q501" i="5"/>
  <c r="S501" i="5" s="1"/>
  <c r="Q253" i="5"/>
  <c r="Q560" i="5"/>
  <c r="S560" i="5" s="1"/>
  <c r="Q295" i="5"/>
  <c r="Q359" i="5"/>
  <c r="Q533" i="5"/>
  <c r="Q435" i="5"/>
  <c r="Q486" i="5"/>
  <c r="Q502" i="5"/>
  <c r="Q393" i="5"/>
  <c r="Q557" i="5"/>
  <c r="Q416" i="5"/>
  <c r="Q462" i="5"/>
  <c r="Q349" i="5"/>
  <c r="Q592" i="5"/>
  <c r="Q336" i="5"/>
  <c r="Q628" i="5"/>
  <c r="S628" i="5" s="1"/>
  <c r="Q631" i="5"/>
  <c r="S631" i="5" s="1"/>
  <c r="Q331" i="5"/>
  <c r="Q254" i="5"/>
  <c r="Q271" i="5"/>
  <c r="Q516" i="5"/>
  <c r="Q17" i="5"/>
  <c r="Q85" i="5"/>
  <c r="Q11" i="5"/>
  <c r="Q73" i="5"/>
  <c r="Q88" i="5"/>
  <c r="Q87" i="5"/>
  <c r="Q45" i="5"/>
  <c r="Q275" i="5"/>
  <c r="Q377" i="5"/>
  <c r="Q112" i="5"/>
  <c r="Q113" i="5"/>
  <c r="Q114" i="5"/>
  <c r="Q158" i="5"/>
  <c r="Q19" i="5"/>
  <c r="Q18" i="5"/>
  <c r="Q176" i="5"/>
  <c r="Q174" i="5"/>
  <c r="Q426" i="5"/>
  <c r="Q527" i="5"/>
  <c r="Q744" i="5"/>
  <c r="Q604" i="5"/>
  <c r="Q379" i="5"/>
  <c r="Q568" i="5"/>
  <c r="Q747" i="5"/>
  <c r="Q526" i="5"/>
  <c r="Q746" i="5"/>
  <c r="Q394" i="5"/>
  <c r="Q705" i="5"/>
  <c r="Q704" i="5"/>
  <c r="Q698" i="5"/>
  <c r="Q669" i="5"/>
  <c r="Q667" i="5"/>
  <c r="Q666" i="5"/>
  <c r="Q664" i="5"/>
  <c r="Q694" i="5"/>
  <c r="Q398" i="5"/>
  <c r="Q718" i="5"/>
  <c r="Q8" i="5"/>
  <c r="Q90" i="5"/>
  <c r="Q89" i="5"/>
  <c r="Q123" i="5"/>
  <c r="Q125" i="5"/>
  <c r="Q86" i="5"/>
  <c r="Q39" i="5"/>
  <c r="Q135" i="5"/>
  <c r="Q136" i="5"/>
  <c r="Q137" i="5"/>
  <c r="Q42" i="5"/>
  <c r="Q44" i="5"/>
  <c r="Q43" i="5"/>
  <c r="Q375" i="5"/>
  <c r="Q145" i="5"/>
  <c r="Q138" i="5"/>
  <c r="Q139" i="5"/>
  <c r="Q140" i="5"/>
  <c r="Q92" i="5"/>
  <c r="Q146" i="5"/>
  <c r="Q102" i="5"/>
  <c r="Q147" i="5"/>
  <c r="Q99" i="5"/>
  <c r="Q148" i="5"/>
  <c r="Q36" i="5"/>
  <c r="Q149" i="5"/>
  <c r="Q181" i="5"/>
  <c r="Q110" i="5"/>
  <c r="Q182" i="5"/>
  <c r="Q274" i="5"/>
  <c r="Q273" i="5"/>
  <c r="Q287" i="5"/>
  <c r="Q75" i="5"/>
  <c r="Q187" i="5"/>
  <c r="Q117" i="5"/>
  <c r="Q118" i="5"/>
  <c r="Q150" i="5"/>
  <c r="Q98" i="5"/>
  <c r="Q119" i="5"/>
  <c r="Q120" i="5"/>
  <c r="Q288" i="5"/>
  <c r="Q100" i="5"/>
  <c r="Q159" i="5"/>
  <c r="Q97" i="5"/>
  <c r="Q37" i="5"/>
  <c r="Q121" i="5"/>
  <c r="Q38" i="5"/>
  <c r="Q94" i="5"/>
  <c r="Q163" i="5"/>
  <c r="Q93" i="5"/>
  <c r="Q164" i="5"/>
  <c r="Q122" i="5"/>
  <c r="Q101" i="5"/>
  <c r="Q91" i="5"/>
  <c r="Q240" i="5"/>
  <c r="Q239" i="5"/>
  <c r="Q238" i="5"/>
  <c r="Q237" i="5"/>
  <c r="Q236" i="5"/>
  <c r="Q235" i="5"/>
  <c r="Q225" i="5"/>
  <c r="Q224" i="5"/>
  <c r="Q223" i="5"/>
  <c r="Q222" i="5"/>
  <c r="Q221" i="5"/>
  <c r="Q220" i="5"/>
  <c r="Q219" i="5"/>
  <c r="Q218" i="5"/>
  <c r="Q217" i="5"/>
  <c r="Q214" i="5"/>
  <c r="Q212" i="5"/>
  <c r="Q204" i="5"/>
  <c r="Q197" i="5"/>
  <c r="Q190" i="5"/>
  <c r="Q189" i="5"/>
  <c r="Q226" i="5"/>
  <c r="Q186" i="5"/>
  <c r="Q180" i="5"/>
  <c r="Q177" i="5"/>
  <c r="Q175" i="5"/>
  <c r="Q166" i="5"/>
  <c r="Q162" i="5"/>
  <c r="Q188" i="5"/>
  <c r="Q243" i="5"/>
  <c r="Q241" i="5"/>
  <c r="Q569" i="5"/>
  <c r="Q513" i="5"/>
  <c r="Q491" i="5"/>
  <c r="Q390" i="5"/>
  <c r="Q427" i="5"/>
  <c r="Q492" i="5"/>
  <c r="Q611" i="5"/>
  <c r="Q606" i="5"/>
  <c r="Q610" i="5"/>
  <c r="Q599" i="5"/>
  <c r="Q602" i="5"/>
  <c r="Q306" i="5"/>
  <c r="Q358" i="5"/>
  <c r="Q365" i="5"/>
  <c r="Q256" i="5"/>
  <c r="Q320" i="5"/>
  <c r="Q308" i="5"/>
  <c r="Q286" i="5"/>
  <c r="Q285" i="5"/>
  <c r="Q360" i="5"/>
  <c r="Q319" i="5"/>
  <c r="Q544" i="5"/>
  <c r="S544" i="5" s="1"/>
  <c r="Q543" i="5"/>
  <c r="S543" i="5" s="1"/>
  <c r="Q440" i="5"/>
  <c r="S440" i="5" s="1"/>
  <c r="Q562" i="5"/>
  <c r="S562" i="5" s="1"/>
  <c r="Q512" i="5"/>
  <c r="S512" i="5" s="1"/>
  <c r="Q391" i="5"/>
  <c r="S391" i="5" s="1"/>
  <c r="Q392" i="5"/>
  <c r="S392" i="5" s="1"/>
  <c r="Q442" i="5"/>
  <c r="S442" i="5" s="1"/>
  <c r="Q732" i="5"/>
  <c r="S732" i="5" s="1"/>
  <c r="Q555" i="5"/>
  <c r="S555" i="5" s="1"/>
  <c r="Q683" i="5"/>
  <c r="Q717" i="5"/>
  <c r="Q665" i="5"/>
  <c r="Q719" i="5"/>
  <c r="Q326" i="5"/>
  <c r="Q715" i="5"/>
  <c r="Q420" i="5"/>
  <c r="Q418" i="5"/>
  <c r="Q699" i="5"/>
  <c r="Q525" i="5"/>
  <c r="Q697" i="5"/>
  <c r="Q328" i="5"/>
  <c r="Q473" i="5"/>
  <c r="S473" i="5" s="1"/>
  <c r="Q476" i="5"/>
  <c r="S476" i="5" s="1"/>
  <c r="Q578" i="5"/>
  <c r="S578" i="5" s="1"/>
  <c r="Q335" i="5"/>
  <c r="Q678" i="5"/>
  <c r="Q448" i="5"/>
  <c r="Q345" i="5"/>
  <c r="Q460" i="5"/>
  <c r="Q585" i="5"/>
  <c r="Q583" i="5"/>
  <c r="Q716" i="5"/>
  <c r="Q603" i="5"/>
  <c r="Q605" i="5"/>
  <c r="Q5" i="5"/>
  <c r="L124" i="4"/>
  <c r="M124" i="4" s="1"/>
  <c r="K124" i="4"/>
  <c r="L123" i="4"/>
  <c r="M123" i="4" s="1"/>
  <c r="K123" i="4"/>
  <c r="L122" i="4"/>
  <c r="M122" i="4" s="1"/>
  <c r="K122" i="4"/>
  <c r="L121" i="4"/>
  <c r="M121" i="4" s="1"/>
  <c r="K121" i="4"/>
  <c r="L120" i="4"/>
  <c r="M120" i="4" s="1"/>
  <c r="K120" i="4"/>
  <c r="L118" i="4"/>
  <c r="M118" i="4" s="1"/>
  <c r="K118" i="4"/>
  <c r="L117" i="4"/>
  <c r="M117" i="4" s="1"/>
  <c r="K117" i="4"/>
  <c r="L114" i="4"/>
  <c r="M114" i="4" s="1"/>
  <c r="K114" i="4"/>
  <c r="L110" i="4"/>
  <c r="M110" i="4" s="1"/>
  <c r="K110" i="4"/>
  <c r="L109" i="4"/>
  <c r="M109" i="4" s="1"/>
  <c r="K109" i="4"/>
  <c r="L108" i="4"/>
  <c r="M108" i="4" s="1"/>
  <c r="K108" i="4"/>
  <c r="L107" i="4"/>
  <c r="M107" i="4" s="1"/>
  <c r="K107" i="4"/>
  <c r="L105" i="4"/>
  <c r="M105" i="4" s="1"/>
  <c r="K105" i="4"/>
  <c r="L104" i="4"/>
  <c r="M104" i="4" s="1"/>
  <c r="K104" i="4"/>
  <c r="L103" i="4"/>
  <c r="M103" i="4" s="1"/>
  <c r="K103" i="4"/>
  <c r="L102" i="4"/>
  <c r="M102" i="4" s="1"/>
  <c r="K102" i="4"/>
  <c r="L101" i="4"/>
  <c r="M101" i="4" s="1"/>
  <c r="K101" i="4"/>
  <c r="L100" i="4"/>
  <c r="M100" i="4" s="1"/>
  <c r="K100" i="4"/>
  <c r="L99" i="4"/>
  <c r="M99" i="4" s="1"/>
  <c r="K99" i="4"/>
  <c r="L98" i="4"/>
  <c r="M98" i="4" s="1"/>
  <c r="K98" i="4"/>
  <c r="L97" i="4"/>
  <c r="M97" i="4" s="1"/>
  <c r="K97" i="4"/>
  <c r="L96" i="4"/>
  <c r="M96" i="4" s="1"/>
  <c r="K96" i="4"/>
  <c r="L94" i="4"/>
  <c r="M94" i="4" s="1"/>
  <c r="K94" i="4"/>
  <c r="L92" i="4"/>
  <c r="M92" i="4" s="1"/>
  <c r="K92" i="4"/>
  <c r="L91" i="4"/>
  <c r="M91" i="4" s="1"/>
  <c r="K91" i="4"/>
  <c r="L90" i="4"/>
  <c r="M90" i="4" s="1"/>
  <c r="K90" i="4"/>
  <c r="L89" i="4"/>
  <c r="M89" i="4" s="1"/>
  <c r="K89" i="4"/>
  <c r="L88" i="4"/>
  <c r="M88" i="4" s="1"/>
  <c r="K88" i="4"/>
  <c r="L87" i="4"/>
  <c r="M87" i="4" s="1"/>
  <c r="K87" i="4"/>
  <c r="L86" i="4"/>
  <c r="M86" i="4" s="1"/>
  <c r="K86" i="4"/>
  <c r="L84" i="4"/>
  <c r="M84" i="4" s="1"/>
  <c r="K84" i="4"/>
  <c r="L83" i="4"/>
  <c r="M83" i="4" s="1"/>
  <c r="K83" i="4"/>
  <c r="L80" i="4"/>
  <c r="M80" i="4" s="1"/>
  <c r="K80" i="4"/>
  <c r="L79" i="4"/>
  <c r="M79" i="4" s="1"/>
  <c r="K79" i="4"/>
  <c r="L78" i="4"/>
  <c r="M78" i="4" s="1"/>
  <c r="K78" i="4"/>
  <c r="L75" i="4"/>
  <c r="M75" i="4" s="1"/>
  <c r="K75" i="4"/>
  <c r="L74" i="4"/>
  <c r="M74" i="4" s="1"/>
  <c r="K74" i="4"/>
  <c r="L72" i="4"/>
  <c r="M72" i="4" s="1"/>
  <c r="K72" i="4"/>
  <c r="L71" i="4"/>
  <c r="M71" i="4" s="1"/>
  <c r="K71" i="4"/>
  <c r="L68" i="4"/>
  <c r="M68" i="4" s="1"/>
  <c r="K68" i="4"/>
  <c r="L66" i="4"/>
  <c r="M66" i="4" s="1"/>
  <c r="K66" i="4"/>
  <c r="L65" i="4"/>
  <c r="M65" i="4" s="1"/>
  <c r="K65" i="4"/>
  <c r="L64" i="4"/>
  <c r="M64" i="4" s="1"/>
  <c r="K64" i="4"/>
  <c r="L62" i="4"/>
  <c r="M62" i="4" s="1"/>
  <c r="K62" i="4"/>
  <c r="L60" i="4"/>
  <c r="M60" i="4" s="1"/>
  <c r="K60" i="4"/>
  <c r="L59" i="4"/>
  <c r="M59" i="4" s="1"/>
  <c r="K59" i="4"/>
  <c r="L58" i="4"/>
  <c r="M58" i="4" s="1"/>
  <c r="K58" i="4"/>
  <c r="L57" i="4"/>
  <c r="M57" i="4" s="1"/>
  <c r="K57" i="4"/>
  <c r="L56" i="4"/>
  <c r="M56" i="4" s="1"/>
  <c r="K56" i="4"/>
  <c r="L55" i="4"/>
  <c r="M55" i="4" s="1"/>
  <c r="K55" i="4"/>
  <c r="L54" i="4"/>
  <c r="M54" i="4" s="1"/>
  <c r="K54" i="4"/>
  <c r="L53" i="4"/>
  <c r="M53" i="4" s="1"/>
  <c r="K53" i="4"/>
  <c r="L51" i="4"/>
  <c r="M51" i="4" s="1"/>
  <c r="K51" i="4"/>
  <c r="L50" i="4"/>
  <c r="M50" i="4" s="1"/>
  <c r="K50" i="4"/>
  <c r="L48" i="4"/>
  <c r="M48" i="4" s="1"/>
  <c r="K48" i="4"/>
  <c r="L47" i="4"/>
  <c r="M47" i="4" s="1"/>
  <c r="K47" i="4"/>
  <c r="L46" i="4"/>
  <c r="M46" i="4" s="1"/>
  <c r="K46" i="4"/>
  <c r="L43" i="4"/>
  <c r="M43" i="4" s="1"/>
  <c r="K43" i="4"/>
  <c r="L42" i="4"/>
  <c r="M42" i="4" s="1"/>
  <c r="K42" i="4"/>
  <c r="L41" i="4"/>
  <c r="M41" i="4" s="1"/>
  <c r="K41" i="4"/>
  <c r="L39" i="4"/>
  <c r="M39" i="4" s="1"/>
  <c r="K39" i="4"/>
  <c r="L38" i="4"/>
  <c r="M38" i="4" s="1"/>
  <c r="K38" i="4"/>
  <c r="L36" i="4"/>
  <c r="M36" i="4" s="1"/>
  <c r="K36" i="4"/>
  <c r="L34" i="4"/>
  <c r="M34" i="4" s="1"/>
  <c r="K34" i="4"/>
  <c r="L32" i="4"/>
  <c r="M32" i="4" s="1"/>
  <c r="K32" i="4"/>
  <c r="L31" i="4"/>
  <c r="M31" i="4" s="1"/>
  <c r="K31" i="4"/>
  <c r="L30" i="4"/>
  <c r="M30" i="4" s="1"/>
  <c r="K30" i="4"/>
  <c r="L29" i="4"/>
  <c r="M29" i="4" s="1"/>
  <c r="K29" i="4"/>
  <c r="L27" i="4"/>
  <c r="M27" i="4" s="1"/>
  <c r="K27" i="4"/>
  <c r="L26" i="4"/>
  <c r="M26" i="4" s="1"/>
  <c r="K26" i="4"/>
  <c r="L25" i="4"/>
  <c r="M25" i="4" s="1"/>
  <c r="K25" i="4"/>
  <c r="L24" i="4"/>
  <c r="M24" i="4" s="1"/>
  <c r="K24" i="4"/>
  <c r="L23" i="4"/>
  <c r="M23" i="4" s="1"/>
  <c r="K23" i="4"/>
  <c r="L22" i="4"/>
  <c r="M22" i="4" s="1"/>
  <c r="K22" i="4"/>
  <c r="L21" i="4"/>
  <c r="M21" i="4" s="1"/>
  <c r="K21" i="4"/>
  <c r="L20" i="4"/>
  <c r="M20" i="4" s="1"/>
  <c r="K20" i="4"/>
  <c r="L19" i="4"/>
  <c r="M19" i="4" s="1"/>
  <c r="K19" i="4"/>
  <c r="L18" i="4"/>
  <c r="M18" i="4" s="1"/>
  <c r="K18" i="4"/>
  <c r="L17" i="4"/>
  <c r="M17" i="4" s="1"/>
  <c r="K17" i="4"/>
  <c r="L16" i="4"/>
  <c r="M16" i="4" s="1"/>
  <c r="K16" i="4"/>
  <c r="L15" i="4"/>
  <c r="M15" i="4" s="1"/>
  <c r="K15" i="4"/>
  <c r="L14" i="4"/>
  <c r="M14" i="4" s="1"/>
  <c r="K14" i="4"/>
  <c r="L13" i="4"/>
  <c r="M13" i="4" s="1"/>
  <c r="K13" i="4"/>
  <c r="L11" i="4"/>
  <c r="M11" i="4" s="1"/>
  <c r="K11" i="4"/>
  <c r="L9" i="4"/>
  <c r="M9" i="4" s="1"/>
  <c r="K9" i="4"/>
  <c r="L8" i="4"/>
  <c r="M8" i="4" s="1"/>
  <c r="K8" i="4"/>
  <c r="L7" i="4"/>
  <c r="M7" i="4" s="1"/>
  <c r="K7" i="4"/>
  <c r="L137" i="4" l="1"/>
  <c r="Q15" i="2"/>
  <c r="Q16" i="2"/>
  <c r="Q17" i="2"/>
  <c r="Q18" i="2"/>
  <c r="P19" i="2"/>
  <c r="O15" i="2"/>
  <c r="O16" i="2"/>
  <c r="O17" i="2"/>
  <c r="O18" i="2"/>
  <c r="N19" i="2"/>
  <c r="M15" i="2"/>
  <c r="M16" i="2"/>
  <c r="M17" i="2"/>
  <c r="M18" i="2"/>
  <c r="L19" i="2"/>
  <c r="K15" i="2"/>
  <c r="K16" i="2"/>
  <c r="K17" i="2"/>
  <c r="K18" i="2"/>
  <c r="J19" i="2"/>
  <c r="I15" i="2"/>
  <c r="I16" i="2"/>
  <c r="I17" i="2"/>
  <c r="I18" i="2"/>
  <c r="H19" i="2"/>
  <c r="G15" i="2"/>
  <c r="G16" i="2"/>
  <c r="G17" i="2"/>
  <c r="G18" i="2"/>
  <c r="F19" i="2"/>
  <c r="E15" i="2"/>
  <c r="E16" i="2"/>
  <c r="E17" i="2"/>
  <c r="E18" i="2"/>
  <c r="D19" i="2"/>
  <c r="C15" i="2"/>
  <c r="C16" i="2"/>
  <c r="C17" i="2"/>
  <c r="C18" i="2"/>
  <c r="B19" i="2"/>
  <c r="L11" i="9"/>
  <c r="K13" i="9"/>
  <c r="S765" i="5"/>
  <c r="P765" i="5" s="1"/>
  <c r="S894" i="5"/>
  <c r="P894" i="5" s="1"/>
  <c r="L20" i="13"/>
  <c r="K22" i="13"/>
  <c r="S812" i="5"/>
  <c r="P812" i="5" s="1"/>
  <c r="S781" i="5"/>
  <c r="P781" i="5" s="1"/>
  <c r="S823" i="5"/>
  <c r="P823" i="5" s="1"/>
  <c r="S838" i="5"/>
  <c r="P838" i="5" s="1"/>
  <c r="S852" i="5"/>
  <c r="P852" i="5" s="1"/>
  <c r="S858" i="5"/>
  <c r="P858" i="5" s="1"/>
  <c r="S873" i="5"/>
  <c r="P873" i="5" s="1"/>
  <c r="S866" i="5"/>
  <c r="P866" i="5" s="1"/>
  <c r="S625" i="5"/>
  <c r="P625" i="5" s="1"/>
  <c r="M76" i="7"/>
  <c r="M79" i="7" s="1"/>
  <c r="F4" i="8"/>
  <c r="F75" i="8" s="1"/>
  <c r="B4" i="15" s="1"/>
  <c r="B9" i="15" s="1"/>
  <c r="R16" i="5"/>
  <c r="S16" i="5"/>
  <c r="T16" i="5" s="1"/>
  <c r="R116" i="5"/>
  <c r="S116" i="5"/>
  <c r="T116" i="5" s="1"/>
  <c r="R71" i="5"/>
  <c r="S71" i="5"/>
  <c r="T71" i="5" s="1"/>
  <c r="R80" i="5"/>
  <c r="S80" i="5"/>
  <c r="T80" i="5" s="1"/>
  <c r="R129" i="5"/>
  <c r="S129" i="5"/>
  <c r="T129" i="5" s="1"/>
  <c r="R244" i="5"/>
  <c r="S244" i="5"/>
  <c r="T244" i="5" s="1"/>
  <c r="R211" i="5"/>
  <c r="S211" i="5"/>
  <c r="T211" i="5" s="1"/>
  <c r="R233" i="5"/>
  <c r="S233" i="5"/>
  <c r="T233" i="5" s="1"/>
  <c r="R228" i="5"/>
  <c r="S228" i="5"/>
  <c r="T228" i="5" s="1"/>
  <c r="R208" i="5"/>
  <c r="S208" i="5"/>
  <c r="T208" i="5" s="1"/>
  <c r="R249" i="5"/>
  <c r="S249" i="5"/>
  <c r="T249" i="5" s="1"/>
  <c r="R686" i="5"/>
  <c r="S686" i="5"/>
  <c r="T686" i="5" s="1"/>
  <c r="R687" i="5"/>
  <c r="S687" i="5"/>
  <c r="T687" i="5" s="1"/>
  <c r="R597" i="5"/>
  <c r="S597" i="5"/>
  <c r="T597" i="5" s="1"/>
  <c r="R48" i="5"/>
  <c r="S48" i="5"/>
  <c r="T48" i="5" s="1"/>
  <c r="R128" i="5"/>
  <c r="S128" i="5"/>
  <c r="T128" i="5" s="1"/>
  <c r="R364" i="5"/>
  <c r="S364" i="5"/>
  <c r="T364" i="5" s="1"/>
  <c r="R23" i="5"/>
  <c r="S23" i="5"/>
  <c r="T23" i="5" s="1"/>
  <c r="R305" i="5"/>
  <c r="R323" i="5" s="1"/>
  <c r="Q323" i="5"/>
  <c r="S305" i="5"/>
  <c r="R69" i="5"/>
  <c r="S69" i="5"/>
  <c r="T69" i="5" s="1"/>
  <c r="R267" i="5"/>
  <c r="S267" i="5"/>
  <c r="T267" i="5" s="1"/>
  <c r="R104" i="5"/>
  <c r="S104" i="5"/>
  <c r="T104" i="5" s="1"/>
  <c r="R152" i="5"/>
  <c r="S152" i="5"/>
  <c r="T152" i="5" s="1"/>
  <c r="R79" i="5"/>
  <c r="S79" i="5"/>
  <c r="T79" i="5" s="1"/>
  <c r="R144" i="5"/>
  <c r="S144" i="5"/>
  <c r="T144" i="5" s="1"/>
  <c r="R561" i="5"/>
  <c r="S561" i="5"/>
  <c r="T561" i="5" s="1"/>
  <c r="R730" i="5"/>
  <c r="S730" i="5"/>
  <c r="T730" i="5" s="1"/>
  <c r="R731" i="5"/>
  <c r="S731" i="5"/>
  <c r="T731" i="5" s="1"/>
  <c r="R487" i="5"/>
  <c r="S487" i="5"/>
  <c r="T487" i="5" s="1"/>
  <c r="R573" i="5"/>
  <c r="S573" i="5"/>
  <c r="T573" i="5" s="1"/>
  <c r="R660" i="5"/>
  <c r="S660" i="5"/>
  <c r="T660" i="5" s="1"/>
  <c r="R713" i="5"/>
  <c r="S713" i="5"/>
  <c r="T713" i="5" s="1"/>
  <c r="R685" i="5"/>
  <c r="S685" i="5"/>
  <c r="T685" i="5" s="1"/>
  <c r="R668" i="5"/>
  <c r="S668" i="5"/>
  <c r="T668" i="5" s="1"/>
  <c r="R408" i="5"/>
  <c r="S408" i="5"/>
  <c r="T408" i="5" s="1"/>
  <c r="R410" i="5"/>
  <c r="S410" i="5"/>
  <c r="T410" i="5" s="1"/>
  <c r="R706" i="5"/>
  <c r="S706" i="5"/>
  <c r="T706" i="5" s="1"/>
  <c r="R677" i="5"/>
  <c r="S677" i="5"/>
  <c r="T677" i="5" s="1"/>
  <c r="R341" i="5"/>
  <c r="S341" i="5"/>
  <c r="T341" i="5" s="1"/>
  <c r="Q646" i="5"/>
  <c r="S644" i="5"/>
  <c r="Q580" i="5"/>
  <c r="S548" i="5"/>
  <c r="Q885" i="5"/>
  <c r="S875" i="5"/>
  <c r="Q772" i="5"/>
  <c r="S767" i="5"/>
  <c r="Q794" i="5"/>
  <c r="S785" i="5"/>
  <c r="Q758" i="5"/>
  <c r="S755" i="5"/>
  <c r="Q806" i="5"/>
  <c r="S800" i="5"/>
  <c r="Q845" i="5"/>
  <c r="S840" i="5"/>
  <c r="R272" i="5"/>
  <c r="S272" i="5"/>
  <c r="T272" i="5" s="1"/>
  <c r="R740" i="5"/>
  <c r="S740" i="5"/>
  <c r="T740" i="5" s="1"/>
  <c r="R541" i="5"/>
  <c r="S541" i="5"/>
  <c r="T541" i="5" s="1"/>
  <c r="R714" i="5"/>
  <c r="S714" i="5"/>
  <c r="T714" i="5" s="1"/>
  <c r="R869" i="5"/>
  <c r="S869" i="5"/>
  <c r="T869" i="5" s="1"/>
  <c r="R26" i="5"/>
  <c r="S26" i="5"/>
  <c r="T26" i="5" s="1"/>
  <c r="R49" i="5"/>
  <c r="S49" i="5"/>
  <c r="T49" i="5" s="1"/>
  <c r="R205" i="5"/>
  <c r="S205" i="5"/>
  <c r="T205" i="5" s="1"/>
  <c r="R373" i="5"/>
  <c r="R386" i="5" s="1"/>
  <c r="Q386" i="5"/>
  <c r="S373" i="5"/>
  <c r="R294" i="5"/>
  <c r="S294" i="5"/>
  <c r="T294" i="5" s="1"/>
  <c r="R353" i="5"/>
  <c r="R371" i="5" s="1"/>
  <c r="Q371" i="5"/>
  <c r="S353" i="5"/>
  <c r="R265" i="5"/>
  <c r="S265" i="5"/>
  <c r="T265" i="5" s="1"/>
  <c r="R6" i="5"/>
  <c r="S6" i="5"/>
  <c r="T6" i="5" s="1"/>
  <c r="R201" i="5"/>
  <c r="R251" i="5" s="1"/>
  <c r="Q251" i="5"/>
  <c r="S201" i="5"/>
  <c r="R551" i="5"/>
  <c r="S551" i="5"/>
  <c r="T551" i="5" s="1"/>
  <c r="R542" i="5"/>
  <c r="S542" i="5"/>
  <c r="T542" i="5" s="1"/>
  <c r="R497" i="5"/>
  <c r="R508" i="5" s="1"/>
  <c r="Q508" i="5"/>
  <c r="S497" i="5"/>
  <c r="R434" i="5"/>
  <c r="S434" i="5"/>
  <c r="T434" i="5" s="1"/>
  <c r="R479" i="5"/>
  <c r="R495" i="5" s="1"/>
  <c r="Q495" i="5"/>
  <c r="S479" i="5"/>
  <c r="R404" i="5"/>
  <c r="S404" i="5"/>
  <c r="T404" i="5" s="1"/>
  <c r="R684" i="5"/>
  <c r="S684" i="5"/>
  <c r="T684" i="5" s="1"/>
  <c r="R339" i="5"/>
  <c r="S339" i="5"/>
  <c r="T339" i="5" s="1"/>
  <c r="R317" i="5"/>
  <c r="S317" i="5"/>
  <c r="T317" i="5" s="1"/>
  <c r="R378" i="5"/>
  <c r="S378" i="5"/>
  <c r="T378" i="5" s="1"/>
  <c r="R354" i="5"/>
  <c r="S354" i="5"/>
  <c r="T354" i="5" s="1"/>
  <c r="R436" i="5"/>
  <c r="S436" i="5"/>
  <c r="T436" i="5" s="1"/>
  <c r="R729" i="5"/>
  <c r="R751" i="5" s="1"/>
  <c r="Q751" i="5"/>
  <c r="S729" i="5"/>
  <c r="R657" i="5"/>
  <c r="R673" i="5" s="1"/>
  <c r="Q673" i="5"/>
  <c r="S657" i="5"/>
  <c r="R403" i="5"/>
  <c r="R424" i="5" s="1"/>
  <c r="Q424" i="5"/>
  <c r="S403" i="5"/>
  <c r="R325" i="5"/>
  <c r="R329" i="5" s="1"/>
  <c r="Q329" i="5"/>
  <c r="S325" i="5"/>
  <c r="R703" i="5"/>
  <c r="R722" i="5" s="1"/>
  <c r="Q722" i="5"/>
  <c r="S703" i="5"/>
  <c r="Q477" i="5"/>
  <c r="S471" i="5"/>
  <c r="Q655" i="5"/>
  <c r="S650" i="5"/>
  <c r="R590" i="5"/>
  <c r="S590" i="5"/>
  <c r="T590" i="5" s="1"/>
  <c r="R461" i="5"/>
  <c r="S461" i="5"/>
  <c r="T461" i="5" s="1"/>
  <c r="R582" i="5"/>
  <c r="R594" i="5" s="1"/>
  <c r="Q594" i="5"/>
  <c r="S582" i="5"/>
  <c r="R457" i="5"/>
  <c r="R469" i="5" s="1"/>
  <c r="Q469" i="5"/>
  <c r="S457" i="5"/>
  <c r="R675" i="5"/>
  <c r="R681" i="5" s="1"/>
  <c r="Q681" i="5"/>
  <c r="S675" i="5"/>
  <c r="R596" i="5"/>
  <c r="R613" i="5" s="1"/>
  <c r="Q613" i="5"/>
  <c r="S596" i="5"/>
  <c r="Q531" i="5"/>
  <c r="S510" i="5"/>
  <c r="R77" i="5"/>
  <c r="S77" i="5"/>
  <c r="T77" i="5" s="1"/>
  <c r="R78" i="5"/>
  <c r="S78" i="5"/>
  <c r="T78" i="5" s="1"/>
  <c r="R141" i="5"/>
  <c r="S141" i="5"/>
  <c r="T141" i="5" s="1"/>
  <c r="R278" i="5"/>
  <c r="S278" i="5"/>
  <c r="T278" i="5" s="1"/>
  <c r="R356" i="5"/>
  <c r="S356" i="5"/>
  <c r="T356" i="5" s="1"/>
  <c r="R153" i="5"/>
  <c r="S153" i="5"/>
  <c r="T153" i="5" s="1"/>
  <c r="R143" i="5"/>
  <c r="S143" i="5"/>
  <c r="T143" i="5" s="1"/>
  <c r="R130" i="5"/>
  <c r="S130" i="5"/>
  <c r="T130" i="5" s="1"/>
  <c r="R127" i="5"/>
  <c r="S127" i="5"/>
  <c r="T127" i="5" s="1"/>
  <c r="R124" i="5"/>
  <c r="S124" i="5"/>
  <c r="T124" i="5" s="1"/>
  <c r="R96" i="5"/>
  <c r="S96" i="5"/>
  <c r="T96" i="5" s="1"/>
  <c r="R115" i="5"/>
  <c r="S115" i="5"/>
  <c r="T115" i="5" s="1"/>
  <c r="R14" i="5"/>
  <c r="S14" i="5"/>
  <c r="T14" i="5" s="1"/>
  <c r="R40" i="5"/>
  <c r="S40" i="5"/>
  <c r="T40" i="5" s="1"/>
  <c r="R46" i="5"/>
  <c r="S46" i="5"/>
  <c r="T46" i="5" s="1"/>
  <c r="R60" i="5"/>
  <c r="S60" i="5"/>
  <c r="T60" i="5" s="1"/>
  <c r="R67" i="5"/>
  <c r="S67" i="5"/>
  <c r="T67" i="5" s="1"/>
  <c r="R70" i="5"/>
  <c r="S70" i="5"/>
  <c r="T70" i="5" s="1"/>
  <c r="R72" i="5"/>
  <c r="S72" i="5"/>
  <c r="T72" i="5" s="1"/>
  <c r="R74" i="5"/>
  <c r="S74" i="5"/>
  <c r="T74" i="5" s="1"/>
  <c r="R76" i="5"/>
  <c r="S76" i="5"/>
  <c r="T76" i="5" s="1"/>
  <c r="R105" i="5"/>
  <c r="S105" i="5"/>
  <c r="T105" i="5" s="1"/>
  <c r="R229" i="5"/>
  <c r="S229" i="5"/>
  <c r="T229" i="5" s="1"/>
  <c r="R203" i="5"/>
  <c r="S203" i="5"/>
  <c r="T203" i="5" s="1"/>
  <c r="R167" i="5"/>
  <c r="S167" i="5"/>
  <c r="T167" i="5" s="1"/>
  <c r="R247" i="5"/>
  <c r="S247" i="5"/>
  <c r="T247" i="5" s="1"/>
  <c r="R250" i="5"/>
  <c r="S250" i="5"/>
  <c r="T250" i="5" s="1"/>
  <c r="R173" i="5"/>
  <c r="S173" i="5"/>
  <c r="T173" i="5" s="1"/>
  <c r="R202" i="5"/>
  <c r="S202" i="5"/>
  <c r="T202" i="5" s="1"/>
  <c r="R168" i="5"/>
  <c r="S168" i="5"/>
  <c r="T168" i="5" s="1"/>
  <c r="R231" i="5"/>
  <c r="S231" i="5"/>
  <c r="T231" i="5" s="1"/>
  <c r="R183" i="5"/>
  <c r="S183" i="5"/>
  <c r="T183" i="5" s="1"/>
  <c r="R160" i="5"/>
  <c r="S160" i="5"/>
  <c r="T160" i="5" s="1"/>
  <c r="R192" i="5"/>
  <c r="S192" i="5"/>
  <c r="T192" i="5" s="1"/>
  <c r="R161" i="5"/>
  <c r="S161" i="5"/>
  <c r="T161" i="5" s="1"/>
  <c r="R245" i="5"/>
  <c r="S245" i="5"/>
  <c r="T245" i="5" s="1"/>
  <c r="R234" i="5"/>
  <c r="S234" i="5"/>
  <c r="T234" i="5" s="1"/>
  <c r="R572" i="5"/>
  <c r="S572" i="5"/>
  <c r="T572" i="5" s="1"/>
  <c r="R505" i="5"/>
  <c r="S505" i="5"/>
  <c r="T505" i="5" s="1"/>
  <c r="R417" i="5"/>
  <c r="S417" i="5"/>
  <c r="T417" i="5" s="1"/>
  <c r="R607" i="5"/>
  <c r="S607" i="5"/>
  <c r="T607" i="5" s="1"/>
  <c r="R7" i="5"/>
  <c r="S7" i="5"/>
  <c r="T7" i="5" s="1"/>
  <c r="R318" i="5"/>
  <c r="S318" i="5"/>
  <c r="T318" i="5" s="1"/>
  <c r="R315" i="5"/>
  <c r="S315" i="5"/>
  <c r="T315" i="5" s="1"/>
  <c r="R357" i="5"/>
  <c r="S357" i="5"/>
  <c r="T357" i="5" s="1"/>
  <c r="R296" i="5"/>
  <c r="S296" i="5"/>
  <c r="T296" i="5" s="1"/>
  <c r="R316" i="5"/>
  <c r="S316" i="5"/>
  <c r="T316" i="5" s="1"/>
  <c r="R298" i="5"/>
  <c r="S298" i="5"/>
  <c r="T298" i="5" s="1"/>
  <c r="R367" i="5"/>
  <c r="S367" i="5"/>
  <c r="T367" i="5" s="1"/>
  <c r="R103" i="5"/>
  <c r="S103" i="5"/>
  <c r="T103" i="5" s="1"/>
  <c r="R307" i="5"/>
  <c r="S307" i="5"/>
  <c r="T307" i="5" s="1"/>
  <c r="R151" i="5"/>
  <c r="S151" i="5"/>
  <c r="T151" i="5" s="1"/>
  <c r="R13" i="5"/>
  <c r="S13" i="5"/>
  <c r="T13" i="5" s="1"/>
  <c r="R374" i="5"/>
  <c r="S374" i="5"/>
  <c r="T374" i="5" s="1"/>
  <c r="R12" i="5"/>
  <c r="S12" i="5"/>
  <c r="T12" i="5" s="1"/>
  <c r="R10" i="5"/>
  <c r="S10" i="5"/>
  <c r="T10" i="5" s="1"/>
  <c r="R22" i="5"/>
  <c r="S22" i="5"/>
  <c r="T22" i="5" s="1"/>
  <c r="R266" i="5"/>
  <c r="S266" i="5"/>
  <c r="T266" i="5" s="1"/>
  <c r="R362" i="5"/>
  <c r="S362" i="5"/>
  <c r="T362" i="5" s="1"/>
  <c r="R277" i="5"/>
  <c r="S277" i="5"/>
  <c r="T277" i="5" s="1"/>
  <c r="R20" i="5"/>
  <c r="S20" i="5"/>
  <c r="T20" i="5" s="1"/>
  <c r="R47" i="5"/>
  <c r="S47" i="5"/>
  <c r="T47" i="5" s="1"/>
  <c r="R15" i="5"/>
  <c r="S15" i="5"/>
  <c r="T15" i="5" s="1"/>
  <c r="R268" i="5"/>
  <c r="S268" i="5"/>
  <c r="T268" i="5" s="1"/>
  <c r="R9" i="5"/>
  <c r="S9" i="5"/>
  <c r="T9" i="5" s="1"/>
  <c r="R314" i="5"/>
  <c r="S314" i="5"/>
  <c r="T314" i="5" s="1"/>
  <c r="R269" i="5"/>
  <c r="S269" i="5"/>
  <c r="T269" i="5" s="1"/>
  <c r="R361" i="5"/>
  <c r="S361" i="5"/>
  <c r="T361" i="5" s="1"/>
  <c r="R242" i="5"/>
  <c r="S242" i="5"/>
  <c r="T242" i="5" s="1"/>
  <c r="R215" i="5"/>
  <c r="S215" i="5"/>
  <c r="T215" i="5" s="1"/>
  <c r="R213" i="5"/>
  <c r="S213" i="5"/>
  <c r="T213" i="5" s="1"/>
  <c r="R185" i="5"/>
  <c r="S185" i="5"/>
  <c r="T185" i="5" s="1"/>
  <c r="R191" i="5"/>
  <c r="S191" i="5"/>
  <c r="T191" i="5" s="1"/>
  <c r="R216" i="5"/>
  <c r="S216" i="5"/>
  <c r="T216" i="5" s="1"/>
  <c r="R227" i="5"/>
  <c r="S227" i="5"/>
  <c r="T227" i="5" s="1"/>
  <c r="R207" i="5"/>
  <c r="S207" i="5"/>
  <c r="T207" i="5" s="1"/>
  <c r="Q633" i="5"/>
  <c r="S627" i="5"/>
  <c r="Q642" i="5"/>
  <c r="S635" i="5"/>
  <c r="R511" i="5"/>
  <c r="S511" i="5"/>
  <c r="T511" i="5" s="1"/>
  <c r="R482" i="5"/>
  <c r="S482" i="5"/>
  <c r="T482" i="5" s="1"/>
  <c r="R437" i="5"/>
  <c r="S437" i="5"/>
  <c r="T437" i="5" s="1"/>
  <c r="R741" i="5"/>
  <c r="S741" i="5"/>
  <c r="T741" i="5" s="1"/>
  <c r="R444" i="5"/>
  <c r="S444" i="5"/>
  <c r="T444" i="5" s="1"/>
  <c r="R388" i="5"/>
  <c r="R401" i="5" s="1"/>
  <c r="Q401" i="5"/>
  <c r="S388" i="5"/>
  <c r="R553" i="5"/>
  <c r="S553" i="5"/>
  <c r="T553" i="5" s="1"/>
  <c r="R480" i="5"/>
  <c r="S480" i="5"/>
  <c r="T480" i="5" s="1"/>
  <c r="R443" i="5"/>
  <c r="S443" i="5"/>
  <c r="T443" i="5" s="1"/>
  <c r="R528" i="5"/>
  <c r="S528" i="5"/>
  <c r="T528" i="5" s="1"/>
  <c r="R447" i="5"/>
  <c r="S447" i="5"/>
  <c r="T447" i="5" s="1"/>
  <c r="R565" i="5"/>
  <c r="S565" i="5"/>
  <c r="T565" i="5" s="1"/>
  <c r="R498" i="5"/>
  <c r="S498" i="5"/>
  <c r="T498" i="5" s="1"/>
  <c r="R488" i="5"/>
  <c r="S488" i="5"/>
  <c r="T488" i="5" s="1"/>
  <c r="R540" i="5"/>
  <c r="S540" i="5"/>
  <c r="T540" i="5" s="1"/>
  <c r="R438" i="5"/>
  <c r="S438" i="5"/>
  <c r="T438" i="5" s="1"/>
  <c r="R446" i="5"/>
  <c r="S446" i="5"/>
  <c r="T446" i="5" s="1"/>
  <c r="R554" i="5"/>
  <c r="S554" i="5"/>
  <c r="T554" i="5" s="1"/>
  <c r="R552" i="5"/>
  <c r="S552" i="5"/>
  <c r="T552" i="5" s="1"/>
  <c r="R445" i="5"/>
  <c r="S445" i="5"/>
  <c r="T445" i="5" s="1"/>
  <c r="R483" i="5"/>
  <c r="S483" i="5"/>
  <c r="T483" i="5" s="1"/>
  <c r="R559" i="5"/>
  <c r="S559" i="5"/>
  <c r="T559" i="5" s="1"/>
  <c r="R407" i="5"/>
  <c r="S407" i="5"/>
  <c r="T407" i="5" s="1"/>
  <c r="R695" i="5"/>
  <c r="S695" i="5"/>
  <c r="T695" i="5" s="1"/>
  <c r="R409" i="5"/>
  <c r="S409" i="5"/>
  <c r="T409" i="5" s="1"/>
  <c r="R414" i="5"/>
  <c r="S414" i="5"/>
  <c r="T414" i="5" s="1"/>
  <c r="R696" i="5"/>
  <c r="S696" i="5"/>
  <c r="T696" i="5" s="1"/>
  <c r="R415" i="5"/>
  <c r="S415" i="5"/>
  <c r="T415" i="5" s="1"/>
  <c r="R411" i="5"/>
  <c r="S411" i="5"/>
  <c r="T411" i="5" s="1"/>
  <c r="R421" i="5"/>
  <c r="S421" i="5"/>
  <c r="T421" i="5" s="1"/>
  <c r="R712" i="5"/>
  <c r="S712" i="5"/>
  <c r="T712" i="5" s="1"/>
  <c r="R347" i="5"/>
  <c r="S347" i="5"/>
  <c r="T347" i="5" s="1"/>
  <c r="R451" i="5"/>
  <c r="S451" i="5"/>
  <c r="T451" i="5" s="1"/>
  <c r="R589" i="5"/>
  <c r="S589" i="5"/>
  <c r="T589" i="5" s="1"/>
  <c r="R340" i="5"/>
  <c r="S340" i="5"/>
  <c r="T340" i="5" s="1"/>
  <c r="R586" i="5"/>
  <c r="S586" i="5"/>
  <c r="T586" i="5" s="1"/>
  <c r="R598" i="5"/>
  <c r="S598" i="5"/>
  <c r="T598" i="5" s="1"/>
  <c r="R450" i="5"/>
  <c r="S450" i="5"/>
  <c r="T450" i="5" s="1"/>
  <c r="R467" i="5"/>
  <c r="S467" i="5"/>
  <c r="T467" i="5" s="1"/>
  <c r="R662" i="5"/>
  <c r="S662" i="5"/>
  <c r="T662" i="5" s="1"/>
  <c r="R601" i="5"/>
  <c r="S601" i="5"/>
  <c r="T601" i="5" s="1"/>
  <c r="R154" i="5"/>
  <c r="S154" i="5"/>
  <c r="T154" i="5" s="1"/>
  <c r="R133" i="5"/>
  <c r="S133" i="5"/>
  <c r="T133" i="5" s="1"/>
  <c r="R131" i="5"/>
  <c r="S131" i="5"/>
  <c r="T131" i="5" s="1"/>
  <c r="R108" i="5"/>
  <c r="S108" i="5"/>
  <c r="T108" i="5" s="1"/>
  <c r="R262" i="5"/>
  <c r="S262" i="5"/>
  <c r="T262" i="5" s="1"/>
  <c r="R106" i="5"/>
  <c r="S106" i="5"/>
  <c r="T106" i="5" s="1"/>
  <c r="R310" i="5"/>
  <c r="S310" i="5"/>
  <c r="T310" i="5" s="1"/>
  <c r="R52" i="5"/>
  <c r="S52" i="5"/>
  <c r="T52" i="5" s="1"/>
  <c r="R50" i="5"/>
  <c r="S50" i="5"/>
  <c r="T50" i="5" s="1"/>
  <c r="R311" i="5"/>
  <c r="S311" i="5"/>
  <c r="T311" i="5" s="1"/>
  <c r="R312" i="5"/>
  <c r="S312" i="5"/>
  <c r="T312" i="5" s="1"/>
  <c r="R29" i="5"/>
  <c r="S29" i="5"/>
  <c r="T29" i="5" s="1"/>
  <c r="R382" i="5"/>
  <c r="S382" i="5"/>
  <c r="T382" i="5" s="1"/>
  <c r="R293" i="5"/>
  <c r="S293" i="5"/>
  <c r="T293" i="5" s="1"/>
  <c r="R27" i="5"/>
  <c r="S27" i="5"/>
  <c r="T27" i="5" s="1"/>
  <c r="R291" i="5"/>
  <c r="S291" i="5"/>
  <c r="T291" i="5" s="1"/>
  <c r="R259" i="5"/>
  <c r="S259" i="5"/>
  <c r="T259" i="5" s="1"/>
  <c r="R376" i="5"/>
  <c r="S376" i="5"/>
  <c r="T376" i="5" s="1"/>
  <c r="R260" i="5"/>
  <c r="S260" i="5"/>
  <c r="T260" i="5" s="1"/>
  <c r="R292" i="5"/>
  <c r="S292" i="5"/>
  <c r="T292" i="5" s="1"/>
  <c r="R24" i="5"/>
  <c r="S24" i="5"/>
  <c r="T24" i="5" s="1"/>
  <c r="R156" i="5"/>
  <c r="S156" i="5"/>
  <c r="T156" i="5" s="1"/>
  <c r="R261" i="5"/>
  <c r="S261" i="5"/>
  <c r="T261" i="5" s="1"/>
  <c r="R81" i="5"/>
  <c r="S81" i="5"/>
  <c r="T81" i="5" s="1"/>
  <c r="R332" i="5"/>
  <c r="S332" i="5"/>
  <c r="T332" i="5" s="1"/>
  <c r="R276" i="5"/>
  <c r="S276" i="5"/>
  <c r="T276" i="5" s="1"/>
  <c r="R83" i="5"/>
  <c r="S83" i="5"/>
  <c r="T83" i="5" s="1"/>
  <c r="R210" i="5"/>
  <c r="S210" i="5"/>
  <c r="T210" i="5" s="1"/>
  <c r="R209" i="5"/>
  <c r="S209" i="5"/>
  <c r="T209" i="5" s="1"/>
  <c r="R246" i="5"/>
  <c r="S246" i="5"/>
  <c r="T246" i="5" s="1"/>
  <c r="R195" i="5"/>
  <c r="S195" i="5"/>
  <c r="T195" i="5" s="1"/>
  <c r="R193" i="5"/>
  <c r="S193" i="5"/>
  <c r="T193" i="5" s="1"/>
  <c r="R171" i="5"/>
  <c r="S171" i="5"/>
  <c r="T171" i="5" s="1"/>
  <c r="R169" i="5"/>
  <c r="S169" i="5"/>
  <c r="T169" i="5" s="1"/>
  <c r="R248" i="5"/>
  <c r="S248" i="5"/>
  <c r="T248" i="5" s="1"/>
  <c r="R232" i="5"/>
  <c r="S232" i="5"/>
  <c r="T232" i="5" s="1"/>
  <c r="R230" i="5"/>
  <c r="S230" i="5"/>
  <c r="T230" i="5" s="1"/>
  <c r="R504" i="5"/>
  <c r="S504" i="5"/>
  <c r="T504" i="5" s="1"/>
  <c r="R523" i="5"/>
  <c r="S523" i="5"/>
  <c r="T523" i="5" s="1"/>
  <c r="R571" i="5"/>
  <c r="S571" i="5"/>
  <c r="T571" i="5" s="1"/>
  <c r="R742" i="5"/>
  <c r="S742" i="5"/>
  <c r="T742" i="5" s="1"/>
  <c r="R537" i="5"/>
  <c r="S537" i="5"/>
  <c r="T537" i="5" s="1"/>
  <c r="R535" i="5"/>
  <c r="S535" i="5"/>
  <c r="T535" i="5" s="1"/>
  <c r="R738" i="5"/>
  <c r="S738" i="5"/>
  <c r="T738" i="5" s="1"/>
  <c r="R428" i="5"/>
  <c r="S428" i="5"/>
  <c r="T428" i="5" s="1"/>
  <c r="R558" i="5"/>
  <c r="S558" i="5"/>
  <c r="T558" i="5" s="1"/>
  <c r="R432" i="5"/>
  <c r="S432" i="5"/>
  <c r="T432" i="5" s="1"/>
  <c r="R736" i="5"/>
  <c r="S736" i="5"/>
  <c r="T736" i="5" s="1"/>
  <c r="R429" i="5"/>
  <c r="S429" i="5"/>
  <c r="T429" i="5" s="1"/>
  <c r="R485" i="5"/>
  <c r="S485" i="5"/>
  <c r="T485" i="5" s="1"/>
  <c r="R743" i="5"/>
  <c r="S743" i="5"/>
  <c r="T743" i="5" s="1"/>
  <c r="R396" i="5"/>
  <c r="S396" i="5"/>
  <c r="T396" i="5" s="1"/>
  <c r="R503" i="5"/>
  <c r="S503" i="5"/>
  <c r="T503" i="5" s="1"/>
  <c r="R433" i="5"/>
  <c r="S433" i="5"/>
  <c r="T433" i="5" s="1"/>
  <c r="R567" i="5"/>
  <c r="S567" i="5"/>
  <c r="T567" i="5" s="1"/>
  <c r="R515" i="5"/>
  <c r="S515" i="5"/>
  <c r="T515" i="5" s="1"/>
  <c r="R395" i="5"/>
  <c r="S395" i="5"/>
  <c r="T395" i="5" s="1"/>
  <c r="R518" i="5"/>
  <c r="S518" i="5"/>
  <c r="T518" i="5" s="1"/>
  <c r="R484" i="5"/>
  <c r="S484" i="5"/>
  <c r="T484" i="5" s="1"/>
  <c r="R313" i="5"/>
  <c r="S313" i="5"/>
  <c r="T313" i="5" s="1"/>
  <c r="R413" i="5"/>
  <c r="S413" i="5"/>
  <c r="T413" i="5" s="1"/>
  <c r="R710" i="5"/>
  <c r="S710" i="5"/>
  <c r="T710" i="5" s="1"/>
  <c r="R406" i="5"/>
  <c r="S406" i="5"/>
  <c r="T406" i="5" s="1"/>
  <c r="R691" i="5"/>
  <c r="S691" i="5"/>
  <c r="T691" i="5" s="1"/>
  <c r="R709" i="5"/>
  <c r="S709" i="5"/>
  <c r="T709" i="5" s="1"/>
  <c r="R412" i="5"/>
  <c r="S412" i="5"/>
  <c r="T412" i="5" s="1"/>
  <c r="R708" i="5"/>
  <c r="S708" i="5"/>
  <c r="T708" i="5" s="1"/>
  <c r="R663" i="5"/>
  <c r="S663" i="5"/>
  <c r="T663" i="5" s="1"/>
  <c r="R659" i="5"/>
  <c r="S659" i="5"/>
  <c r="T659" i="5" s="1"/>
  <c r="R327" i="5"/>
  <c r="S327" i="5"/>
  <c r="T327" i="5" s="1"/>
  <c r="R281" i="5"/>
  <c r="S281" i="5"/>
  <c r="T281" i="5" s="1"/>
  <c r="R368" i="5"/>
  <c r="S368" i="5"/>
  <c r="T368" i="5" s="1"/>
  <c r="R299" i="5"/>
  <c r="S299" i="5"/>
  <c r="T299" i="5" s="1"/>
  <c r="R300" i="5"/>
  <c r="S300" i="5"/>
  <c r="T300" i="5" s="1"/>
  <c r="R282" i="5"/>
  <c r="S282" i="5"/>
  <c r="T282" i="5" s="1"/>
  <c r="R688" i="5"/>
  <c r="S688" i="5"/>
  <c r="T688" i="5" s="1"/>
  <c r="Q829" i="5"/>
  <c r="S825" i="5"/>
  <c r="Q818" i="5"/>
  <c r="S816" i="5"/>
  <c r="R591" i="5"/>
  <c r="S591" i="5"/>
  <c r="T591" i="5" s="1"/>
  <c r="R679" i="5"/>
  <c r="S679" i="5"/>
  <c r="T679" i="5" s="1"/>
  <c r="R452" i="5"/>
  <c r="S452" i="5"/>
  <c r="T452" i="5" s="1"/>
  <c r="R458" i="5"/>
  <c r="S458" i="5"/>
  <c r="T458" i="5" s="1"/>
  <c r="R348" i="5"/>
  <c r="S348" i="5"/>
  <c r="T348" i="5" s="1"/>
  <c r="R600" i="5"/>
  <c r="S600" i="5"/>
  <c r="T600" i="5" s="1"/>
  <c r="R465" i="5"/>
  <c r="S465" i="5"/>
  <c r="T465" i="5" s="1"/>
  <c r="R463" i="5"/>
  <c r="S463" i="5"/>
  <c r="T463" i="5" s="1"/>
  <c r="R338" i="5"/>
  <c r="S338" i="5"/>
  <c r="T338" i="5" s="1"/>
  <c r="R355" i="5"/>
  <c r="S355" i="5"/>
  <c r="T355" i="5" s="1"/>
  <c r="R289" i="5"/>
  <c r="S289" i="5"/>
  <c r="T289" i="5" s="1"/>
  <c r="R61" i="5"/>
  <c r="S61" i="5"/>
  <c r="T61" i="5" s="1"/>
  <c r="R62" i="5"/>
  <c r="S62" i="5"/>
  <c r="T62" i="5" s="1"/>
  <c r="R54" i="5"/>
  <c r="S54" i="5"/>
  <c r="T54" i="5" s="1"/>
  <c r="R264" i="5"/>
  <c r="S264" i="5"/>
  <c r="T264" i="5" s="1"/>
  <c r="R55" i="5"/>
  <c r="S55" i="5"/>
  <c r="T55" i="5" s="1"/>
  <c r="R263" i="5"/>
  <c r="S263" i="5"/>
  <c r="T263" i="5" s="1"/>
  <c r="R737" i="5"/>
  <c r="S737" i="5"/>
  <c r="T737" i="5" s="1"/>
  <c r="R735" i="5"/>
  <c r="S735" i="5"/>
  <c r="T735" i="5" s="1"/>
  <c r="R570" i="5"/>
  <c r="S570" i="5"/>
  <c r="T570" i="5" s="1"/>
  <c r="R517" i="5"/>
  <c r="S517" i="5"/>
  <c r="T517" i="5" s="1"/>
  <c r="R534" i="5"/>
  <c r="S534" i="5"/>
  <c r="T534" i="5" s="1"/>
  <c r="R397" i="5"/>
  <c r="S397" i="5"/>
  <c r="T397" i="5" s="1"/>
  <c r="R430" i="5"/>
  <c r="S430" i="5"/>
  <c r="T430" i="5" s="1"/>
  <c r="R481" i="5"/>
  <c r="S481" i="5"/>
  <c r="T481" i="5" s="1"/>
  <c r="R405" i="5"/>
  <c r="S405" i="5"/>
  <c r="T405" i="5" s="1"/>
  <c r="R707" i="5"/>
  <c r="S707" i="5"/>
  <c r="T707" i="5" s="1"/>
  <c r="R661" i="5"/>
  <c r="S661" i="5"/>
  <c r="T661" i="5" s="1"/>
  <c r="R466" i="5"/>
  <c r="S466" i="5"/>
  <c r="T466" i="5" s="1"/>
  <c r="R609" i="5"/>
  <c r="S609" i="5"/>
  <c r="T609" i="5" s="1"/>
  <c r="R588" i="5"/>
  <c r="S588" i="5"/>
  <c r="T588" i="5" s="1"/>
  <c r="R290" i="5"/>
  <c r="S290" i="5"/>
  <c r="T290" i="5" s="1"/>
  <c r="R65" i="5"/>
  <c r="S65" i="5"/>
  <c r="T65" i="5" s="1"/>
  <c r="R58" i="5"/>
  <c r="S58" i="5"/>
  <c r="T58" i="5" s="1"/>
  <c r="R56" i="5"/>
  <c r="S56" i="5"/>
  <c r="T56" i="5" s="1"/>
  <c r="R63" i="5"/>
  <c r="S63" i="5"/>
  <c r="T63" i="5" s="1"/>
  <c r="R536" i="5"/>
  <c r="S536" i="5"/>
  <c r="T536" i="5" s="1"/>
  <c r="R739" i="5"/>
  <c r="S739" i="5"/>
  <c r="T739" i="5" s="1"/>
  <c r="R431" i="5"/>
  <c r="S431" i="5"/>
  <c r="T431" i="5" s="1"/>
  <c r="R689" i="5"/>
  <c r="S689" i="5"/>
  <c r="T689" i="5" s="1"/>
  <c r="R464" i="5"/>
  <c r="S464" i="5"/>
  <c r="T464" i="5" s="1"/>
  <c r="R35" i="5"/>
  <c r="S35" i="5"/>
  <c r="T35" i="5" s="1"/>
  <c r="R41" i="5"/>
  <c r="S41" i="5"/>
  <c r="T41" i="5" s="1"/>
  <c r="R111" i="5"/>
  <c r="S111" i="5"/>
  <c r="T111" i="5" s="1"/>
  <c r="R142" i="5"/>
  <c r="S142" i="5"/>
  <c r="T142" i="5" s="1"/>
  <c r="R95" i="5"/>
  <c r="S95" i="5"/>
  <c r="T95" i="5" s="1"/>
  <c r="R126" i="5"/>
  <c r="S126" i="5"/>
  <c r="T126" i="5" s="1"/>
  <c r="R184" i="5"/>
  <c r="S184" i="5"/>
  <c r="T184" i="5" s="1"/>
  <c r="R165" i="5"/>
  <c r="S165" i="5"/>
  <c r="T165" i="5" s="1"/>
  <c r="R68" i="5"/>
  <c r="S68" i="5"/>
  <c r="T68" i="5" s="1"/>
  <c r="R257" i="5"/>
  <c r="S257" i="5"/>
  <c r="T257" i="5" s="1"/>
  <c r="R33" i="5"/>
  <c r="S33" i="5"/>
  <c r="T33" i="5" s="1"/>
  <c r="R309" i="5"/>
  <c r="S309" i="5"/>
  <c r="T309" i="5" s="1"/>
  <c r="R366" i="5"/>
  <c r="S366" i="5"/>
  <c r="T366" i="5" s="1"/>
  <c r="R270" i="5"/>
  <c r="S270" i="5"/>
  <c r="T270" i="5" s="1"/>
  <c r="R297" i="5"/>
  <c r="S297" i="5"/>
  <c r="T297" i="5" s="1"/>
  <c r="R179" i="5"/>
  <c r="S179" i="5"/>
  <c r="T179" i="5" s="1"/>
  <c r="R178" i="5"/>
  <c r="S178" i="5"/>
  <c r="T178" i="5" s="1"/>
  <c r="Q727" i="5"/>
  <c r="S724" i="5"/>
  <c r="R522" i="5"/>
  <c r="S522" i="5"/>
  <c r="T522" i="5" s="1"/>
  <c r="R389" i="5"/>
  <c r="S389" i="5"/>
  <c r="T389" i="5" s="1"/>
  <c r="R439" i="5"/>
  <c r="S439" i="5"/>
  <c r="T439" i="5" s="1"/>
  <c r="R490" i="5"/>
  <c r="S490" i="5"/>
  <c r="T490" i="5" s="1"/>
  <c r="R566" i="5"/>
  <c r="S566" i="5"/>
  <c r="T566" i="5" s="1"/>
  <c r="R499" i="5"/>
  <c r="S499" i="5"/>
  <c r="T499" i="5" s="1"/>
  <c r="R538" i="5"/>
  <c r="S538" i="5"/>
  <c r="T538" i="5" s="1"/>
  <c r="R733" i="5"/>
  <c r="S733" i="5"/>
  <c r="T733" i="5" s="1"/>
  <c r="R658" i="5"/>
  <c r="S658" i="5"/>
  <c r="T658" i="5" s="1"/>
  <c r="R419" i="5"/>
  <c r="S419" i="5"/>
  <c r="T419" i="5" s="1"/>
  <c r="R711" i="5"/>
  <c r="S711" i="5"/>
  <c r="T711" i="5" s="1"/>
  <c r="R692" i="5"/>
  <c r="S692" i="5"/>
  <c r="T692" i="5" s="1"/>
  <c r="R608" i="5"/>
  <c r="S608" i="5"/>
  <c r="T608" i="5" s="1"/>
  <c r="R459" i="5"/>
  <c r="S459" i="5"/>
  <c r="T459" i="5" s="1"/>
  <c r="R337" i="5"/>
  <c r="S337" i="5"/>
  <c r="T337" i="5" s="1"/>
  <c r="R21" i="5"/>
  <c r="S21" i="5"/>
  <c r="T21" i="5" s="1"/>
  <c r="R745" i="5"/>
  <c r="S745" i="5"/>
  <c r="T745" i="5" s="1"/>
  <c r="R539" i="5"/>
  <c r="S539" i="5"/>
  <c r="T539" i="5" s="1"/>
  <c r="R346" i="5"/>
  <c r="S346" i="5"/>
  <c r="T346" i="5" s="1"/>
  <c r="R449" i="5"/>
  <c r="S449" i="5"/>
  <c r="T449" i="5" s="1"/>
  <c r="R258" i="5"/>
  <c r="S258" i="5"/>
  <c r="T258" i="5" s="1"/>
  <c r="R380" i="5"/>
  <c r="S380" i="5"/>
  <c r="T380" i="5" s="1"/>
  <c r="R206" i="5"/>
  <c r="S206" i="5"/>
  <c r="T206" i="5" s="1"/>
  <c r="R519" i="5"/>
  <c r="S519" i="5"/>
  <c r="T519" i="5" s="1"/>
  <c r="R514" i="5"/>
  <c r="S514" i="5"/>
  <c r="T514" i="5" s="1"/>
  <c r="R734" i="5"/>
  <c r="S734" i="5"/>
  <c r="T734" i="5" s="1"/>
  <c r="R500" i="5"/>
  <c r="S500" i="5"/>
  <c r="T500" i="5" s="1"/>
  <c r="R676" i="5"/>
  <c r="S676" i="5"/>
  <c r="T676" i="5" s="1"/>
  <c r="R587" i="5"/>
  <c r="S587" i="5"/>
  <c r="T587" i="5" s="1"/>
  <c r="R690" i="5"/>
  <c r="S690" i="5"/>
  <c r="T690" i="5" s="1"/>
  <c r="R693" i="5"/>
  <c r="S693" i="5"/>
  <c r="T693" i="5" s="1"/>
  <c r="R653" i="5"/>
  <c r="S653" i="5"/>
  <c r="T653" i="5" s="1"/>
  <c r="Q283" i="5"/>
  <c r="S253" i="5"/>
  <c r="R295" i="5"/>
  <c r="S295" i="5"/>
  <c r="T295" i="5" s="1"/>
  <c r="R359" i="5"/>
  <c r="S359" i="5"/>
  <c r="T359" i="5" s="1"/>
  <c r="R533" i="5"/>
  <c r="R546" i="5" s="1"/>
  <c r="Q546" i="5"/>
  <c r="S533" i="5"/>
  <c r="R435" i="5"/>
  <c r="S435" i="5"/>
  <c r="T435" i="5" s="1"/>
  <c r="R486" i="5"/>
  <c r="S486" i="5"/>
  <c r="T486" i="5" s="1"/>
  <c r="R502" i="5"/>
  <c r="S502" i="5"/>
  <c r="T502" i="5" s="1"/>
  <c r="R393" i="5"/>
  <c r="S393" i="5"/>
  <c r="T393" i="5" s="1"/>
  <c r="R557" i="5"/>
  <c r="S557" i="5"/>
  <c r="T557" i="5" s="1"/>
  <c r="R416" i="5"/>
  <c r="S416" i="5"/>
  <c r="T416" i="5" s="1"/>
  <c r="R462" i="5"/>
  <c r="S462" i="5"/>
  <c r="T462" i="5" s="1"/>
  <c r="R349" i="5"/>
  <c r="S349" i="5"/>
  <c r="T349" i="5" s="1"/>
  <c r="R592" i="5"/>
  <c r="S592" i="5"/>
  <c r="T592" i="5" s="1"/>
  <c r="R336" i="5"/>
  <c r="S336" i="5"/>
  <c r="T336" i="5" s="1"/>
  <c r="R331" i="5"/>
  <c r="R333" i="5" s="1"/>
  <c r="Q333" i="5"/>
  <c r="S331" i="5"/>
  <c r="R254" i="5"/>
  <c r="S254" i="5"/>
  <c r="T254" i="5" s="1"/>
  <c r="R271" i="5"/>
  <c r="S271" i="5"/>
  <c r="T271" i="5" s="1"/>
  <c r="R516" i="5"/>
  <c r="S516" i="5"/>
  <c r="T516" i="5" s="1"/>
  <c r="R17" i="5"/>
  <c r="S17" i="5"/>
  <c r="T17" i="5" s="1"/>
  <c r="R85" i="5"/>
  <c r="S85" i="5"/>
  <c r="T85" i="5" s="1"/>
  <c r="R11" i="5"/>
  <c r="S11" i="5"/>
  <c r="T11" i="5" s="1"/>
  <c r="R73" i="5"/>
  <c r="S73" i="5"/>
  <c r="T73" i="5" s="1"/>
  <c r="R88" i="5"/>
  <c r="S88" i="5"/>
  <c r="T88" i="5" s="1"/>
  <c r="R87" i="5"/>
  <c r="S87" i="5"/>
  <c r="T87" i="5" s="1"/>
  <c r="R45" i="5"/>
  <c r="S45" i="5"/>
  <c r="T45" i="5" s="1"/>
  <c r="R275" i="5"/>
  <c r="S275" i="5"/>
  <c r="T275" i="5" s="1"/>
  <c r="R377" i="5"/>
  <c r="S377" i="5"/>
  <c r="T377" i="5" s="1"/>
  <c r="R112" i="5"/>
  <c r="S112" i="5"/>
  <c r="T112" i="5" s="1"/>
  <c r="R113" i="5"/>
  <c r="S113" i="5"/>
  <c r="T113" i="5" s="1"/>
  <c r="R114" i="5"/>
  <c r="S114" i="5"/>
  <c r="T114" i="5" s="1"/>
  <c r="R158" i="5"/>
  <c r="S158" i="5"/>
  <c r="T158" i="5" s="1"/>
  <c r="R19" i="5"/>
  <c r="S19" i="5"/>
  <c r="T19" i="5" s="1"/>
  <c r="R18" i="5"/>
  <c r="S18" i="5"/>
  <c r="T18" i="5" s="1"/>
  <c r="R176" i="5"/>
  <c r="S176" i="5"/>
  <c r="T176" i="5" s="1"/>
  <c r="R174" i="5"/>
  <c r="S174" i="5"/>
  <c r="T174" i="5" s="1"/>
  <c r="R426" i="5"/>
  <c r="R455" i="5" s="1"/>
  <c r="Q455" i="5"/>
  <c r="S426" i="5"/>
  <c r="R527" i="5"/>
  <c r="S527" i="5"/>
  <c r="T527" i="5" s="1"/>
  <c r="R744" i="5"/>
  <c r="S744" i="5"/>
  <c r="T744" i="5" s="1"/>
  <c r="R604" i="5"/>
  <c r="S604" i="5"/>
  <c r="T604" i="5" s="1"/>
  <c r="R379" i="5"/>
  <c r="S379" i="5"/>
  <c r="T379" i="5" s="1"/>
  <c r="R568" i="5"/>
  <c r="S568" i="5"/>
  <c r="T568" i="5" s="1"/>
  <c r="R747" i="5"/>
  <c r="S747" i="5"/>
  <c r="T747" i="5" s="1"/>
  <c r="R526" i="5"/>
  <c r="S526" i="5"/>
  <c r="T526" i="5" s="1"/>
  <c r="R746" i="5"/>
  <c r="S746" i="5"/>
  <c r="T746" i="5" s="1"/>
  <c r="R394" i="5"/>
  <c r="S394" i="5"/>
  <c r="T394" i="5" s="1"/>
  <c r="R705" i="5"/>
  <c r="S705" i="5"/>
  <c r="T705" i="5" s="1"/>
  <c r="R704" i="5"/>
  <c r="S704" i="5"/>
  <c r="T704" i="5" s="1"/>
  <c r="R698" i="5"/>
  <c r="S698" i="5"/>
  <c r="T698" i="5" s="1"/>
  <c r="R669" i="5"/>
  <c r="S669" i="5"/>
  <c r="T669" i="5" s="1"/>
  <c r="R667" i="5"/>
  <c r="S667" i="5"/>
  <c r="T667" i="5" s="1"/>
  <c r="R666" i="5"/>
  <c r="S666" i="5"/>
  <c r="T666" i="5" s="1"/>
  <c r="R664" i="5"/>
  <c r="S664" i="5"/>
  <c r="T664" i="5" s="1"/>
  <c r="R694" i="5"/>
  <c r="S694" i="5"/>
  <c r="T694" i="5" s="1"/>
  <c r="R398" i="5"/>
  <c r="S398" i="5"/>
  <c r="T398" i="5" s="1"/>
  <c r="R718" i="5"/>
  <c r="S718" i="5"/>
  <c r="T718" i="5" s="1"/>
  <c r="R8" i="5"/>
  <c r="S8" i="5"/>
  <c r="T8" i="5" s="1"/>
  <c r="R90" i="5"/>
  <c r="S90" i="5"/>
  <c r="T90" i="5" s="1"/>
  <c r="R89" i="5"/>
  <c r="S89" i="5"/>
  <c r="T89" i="5" s="1"/>
  <c r="R123" i="5"/>
  <c r="S123" i="5"/>
  <c r="T123" i="5" s="1"/>
  <c r="R125" i="5"/>
  <c r="S125" i="5"/>
  <c r="T125" i="5" s="1"/>
  <c r="R86" i="5"/>
  <c r="S86" i="5"/>
  <c r="T86" i="5" s="1"/>
  <c r="R39" i="5"/>
  <c r="S39" i="5"/>
  <c r="T39" i="5" s="1"/>
  <c r="R135" i="5"/>
  <c r="S135" i="5"/>
  <c r="T135" i="5" s="1"/>
  <c r="R136" i="5"/>
  <c r="S136" i="5"/>
  <c r="T136" i="5" s="1"/>
  <c r="R137" i="5"/>
  <c r="S137" i="5"/>
  <c r="T137" i="5" s="1"/>
  <c r="R42" i="5"/>
  <c r="S42" i="5"/>
  <c r="T42" i="5" s="1"/>
  <c r="R44" i="5"/>
  <c r="S44" i="5"/>
  <c r="T44" i="5" s="1"/>
  <c r="R43" i="5"/>
  <c r="S43" i="5"/>
  <c r="T43" i="5" s="1"/>
  <c r="R375" i="5"/>
  <c r="S375" i="5"/>
  <c r="T375" i="5" s="1"/>
  <c r="R145" i="5"/>
  <c r="S145" i="5"/>
  <c r="T145" i="5" s="1"/>
  <c r="R138" i="5"/>
  <c r="S138" i="5"/>
  <c r="T138" i="5" s="1"/>
  <c r="R139" i="5"/>
  <c r="S139" i="5"/>
  <c r="T139" i="5" s="1"/>
  <c r="R140" i="5"/>
  <c r="S140" i="5"/>
  <c r="T140" i="5" s="1"/>
  <c r="R92" i="5"/>
  <c r="S92" i="5"/>
  <c r="T92" i="5" s="1"/>
  <c r="R146" i="5"/>
  <c r="S146" i="5"/>
  <c r="T146" i="5" s="1"/>
  <c r="R102" i="5"/>
  <c r="S102" i="5"/>
  <c r="T102" i="5" s="1"/>
  <c r="R147" i="5"/>
  <c r="S147" i="5"/>
  <c r="T147" i="5" s="1"/>
  <c r="R99" i="5"/>
  <c r="S99" i="5"/>
  <c r="T99" i="5" s="1"/>
  <c r="R148" i="5"/>
  <c r="S148" i="5"/>
  <c r="T148" i="5" s="1"/>
  <c r="R36" i="5"/>
  <c r="S36" i="5"/>
  <c r="T36" i="5" s="1"/>
  <c r="R149" i="5"/>
  <c r="S149" i="5"/>
  <c r="T149" i="5" s="1"/>
  <c r="R181" i="5"/>
  <c r="S181" i="5"/>
  <c r="T181" i="5" s="1"/>
  <c r="R110" i="5"/>
  <c r="S110" i="5"/>
  <c r="T110" i="5" s="1"/>
  <c r="R182" i="5"/>
  <c r="S182" i="5"/>
  <c r="T182" i="5" s="1"/>
  <c r="R274" i="5"/>
  <c r="S274" i="5"/>
  <c r="T274" i="5" s="1"/>
  <c r="R273" i="5"/>
  <c r="S273" i="5"/>
  <c r="T273" i="5" s="1"/>
  <c r="R287" i="5"/>
  <c r="S287" i="5"/>
  <c r="T287" i="5" s="1"/>
  <c r="R75" i="5"/>
  <c r="S75" i="5"/>
  <c r="T75" i="5" s="1"/>
  <c r="R187" i="5"/>
  <c r="S187" i="5"/>
  <c r="T187" i="5" s="1"/>
  <c r="R117" i="5"/>
  <c r="S117" i="5"/>
  <c r="T117" i="5" s="1"/>
  <c r="R118" i="5"/>
  <c r="S118" i="5"/>
  <c r="T118" i="5" s="1"/>
  <c r="R150" i="5"/>
  <c r="S150" i="5"/>
  <c r="T150" i="5" s="1"/>
  <c r="R98" i="5"/>
  <c r="S98" i="5"/>
  <c r="T98" i="5" s="1"/>
  <c r="R119" i="5"/>
  <c r="S119" i="5"/>
  <c r="T119" i="5" s="1"/>
  <c r="R120" i="5"/>
  <c r="S120" i="5"/>
  <c r="T120" i="5" s="1"/>
  <c r="R288" i="5"/>
  <c r="S288" i="5"/>
  <c r="T288" i="5" s="1"/>
  <c r="R100" i="5"/>
  <c r="S100" i="5"/>
  <c r="T100" i="5" s="1"/>
  <c r="R159" i="5"/>
  <c r="S159" i="5"/>
  <c r="T159" i="5" s="1"/>
  <c r="R97" i="5"/>
  <c r="S97" i="5"/>
  <c r="T97" i="5" s="1"/>
  <c r="R37" i="5"/>
  <c r="S37" i="5"/>
  <c r="T37" i="5" s="1"/>
  <c r="R121" i="5"/>
  <c r="S121" i="5"/>
  <c r="T121" i="5" s="1"/>
  <c r="R38" i="5"/>
  <c r="S38" i="5"/>
  <c r="T38" i="5" s="1"/>
  <c r="R94" i="5"/>
  <c r="S94" i="5"/>
  <c r="T94" i="5" s="1"/>
  <c r="R163" i="5"/>
  <c r="S163" i="5"/>
  <c r="T163" i="5" s="1"/>
  <c r="R93" i="5"/>
  <c r="S93" i="5"/>
  <c r="T93" i="5" s="1"/>
  <c r="R164" i="5"/>
  <c r="S164" i="5"/>
  <c r="T164" i="5" s="1"/>
  <c r="R122" i="5"/>
  <c r="S122" i="5"/>
  <c r="T122" i="5" s="1"/>
  <c r="R101" i="5"/>
  <c r="S101" i="5"/>
  <c r="T101" i="5" s="1"/>
  <c r="R91" i="5"/>
  <c r="S91" i="5"/>
  <c r="T91" i="5" s="1"/>
  <c r="R240" i="5"/>
  <c r="S240" i="5"/>
  <c r="T240" i="5" s="1"/>
  <c r="R239" i="5"/>
  <c r="S239" i="5"/>
  <c r="T239" i="5" s="1"/>
  <c r="R238" i="5"/>
  <c r="S238" i="5"/>
  <c r="T238" i="5" s="1"/>
  <c r="R237" i="5"/>
  <c r="S237" i="5"/>
  <c r="T237" i="5" s="1"/>
  <c r="R236" i="5"/>
  <c r="S236" i="5"/>
  <c r="T236" i="5" s="1"/>
  <c r="R235" i="5"/>
  <c r="S235" i="5"/>
  <c r="T235" i="5" s="1"/>
  <c r="R225" i="5"/>
  <c r="S225" i="5"/>
  <c r="T225" i="5" s="1"/>
  <c r="R224" i="5"/>
  <c r="S224" i="5"/>
  <c r="T224" i="5" s="1"/>
  <c r="R223" i="5"/>
  <c r="S223" i="5"/>
  <c r="T223" i="5" s="1"/>
  <c r="R222" i="5"/>
  <c r="S222" i="5"/>
  <c r="T222" i="5" s="1"/>
  <c r="R221" i="5"/>
  <c r="S221" i="5"/>
  <c r="T221" i="5" s="1"/>
  <c r="R220" i="5"/>
  <c r="S220" i="5"/>
  <c r="T220" i="5" s="1"/>
  <c r="R219" i="5"/>
  <c r="S219" i="5"/>
  <c r="T219" i="5" s="1"/>
  <c r="R218" i="5"/>
  <c r="S218" i="5"/>
  <c r="T218" i="5" s="1"/>
  <c r="R217" i="5"/>
  <c r="S217" i="5"/>
  <c r="T217" i="5" s="1"/>
  <c r="R214" i="5"/>
  <c r="S214" i="5"/>
  <c r="T214" i="5" s="1"/>
  <c r="R212" i="5"/>
  <c r="S212" i="5"/>
  <c r="T212" i="5" s="1"/>
  <c r="R204" i="5"/>
  <c r="S204" i="5"/>
  <c r="T204" i="5" s="1"/>
  <c r="R197" i="5"/>
  <c r="S197" i="5"/>
  <c r="T197" i="5" s="1"/>
  <c r="R190" i="5"/>
  <c r="S190" i="5"/>
  <c r="T190" i="5" s="1"/>
  <c r="R189" i="5"/>
  <c r="S189" i="5"/>
  <c r="T189" i="5" s="1"/>
  <c r="R226" i="5"/>
  <c r="S226" i="5"/>
  <c r="T226" i="5" s="1"/>
  <c r="R186" i="5"/>
  <c r="S186" i="5"/>
  <c r="T186" i="5" s="1"/>
  <c r="R180" i="5"/>
  <c r="S180" i="5"/>
  <c r="T180" i="5" s="1"/>
  <c r="R177" i="5"/>
  <c r="S177" i="5"/>
  <c r="T177" i="5" s="1"/>
  <c r="R175" i="5"/>
  <c r="S175" i="5"/>
  <c r="T175" i="5" s="1"/>
  <c r="R166" i="5"/>
  <c r="S166" i="5"/>
  <c r="T166" i="5" s="1"/>
  <c r="R162" i="5"/>
  <c r="S162" i="5"/>
  <c r="T162" i="5" s="1"/>
  <c r="R188" i="5"/>
  <c r="S188" i="5"/>
  <c r="T188" i="5" s="1"/>
  <c r="R243" i="5"/>
  <c r="S243" i="5"/>
  <c r="T243" i="5" s="1"/>
  <c r="R241" i="5"/>
  <c r="S241" i="5"/>
  <c r="T241" i="5" s="1"/>
  <c r="R569" i="5"/>
  <c r="S569" i="5"/>
  <c r="T569" i="5" s="1"/>
  <c r="R513" i="5"/>
  <c r="S513" i="5"/>
  <c r="T513" i="5" s="1"/>
  <c r="R491" i="5"/>
  <c r="S491" i="5"/>
  <c r="T491" i="5" s="1"/>
  <c r="R390" i="5"/>
  <c r="S390" i="5"/>
  <c r="T390" i="5" s="1"/>
  <c r="R427" i="5"/>
  <c r="S427" i="5"/>
  <c r="T427" i="5" s="1"/>
  <c r="R492" i="5"/>
  <c r="S492" i="5"/>
  <c r="T492" i="5" s="1"/>
  <c r="R611" i="5"/>
  <c r="S611" i="5"/>
  <c r="T611" i="5" s="1"/>
  <c r="R606" i="5"/>
  <c r="S606" i="5"/>
  <c r="T606" i="5" s="1"/>
  <c r="R610" i="5"/>
  <c r="S610" i="5"/>
  <c r="T610" i="5" s="1"/>
  <c r="R599" i="5"/>
  <c r="S599" i="5"/>
  <c r="T599" i="5" s="1"/>
  <c r="R602" i="5"/>
  <c r="S602" i="5"/>
  <c r="T602" i="5" s="1"/>
  <c r="R306" i="5"/>
  <c r="S306" i="5"/>
  <c r="T306" i="5" s="1"/>
  <c r="R358" i="5"/>
  <c r="S358" i="5"/>
  <c r="T358" i="5" s="1"/>
  <c r="R365" i="5"/>
  <c r="S365" i="5"/>
  <c r="T365" i="5" s="1"/>
  <c r="R256" i="5"/>
  <c r="S256" i="5"/>
  <c r="T256" i="5" s="1"/>
  <c r="R320" i="5"/>
  <c r="S320" i="5"/>
  <c r="T320" i="5" s="1"/>
  <c r="R308" i="5"/>
  <c r="S308" i="5"/>
  <c r="T308" i="5" s="1"/>
  <c r="R286" i="5"/>
  <c r="S286" i="5"/>
  <c r="T286" i="5" s="1"/>
  <c r="R285" i="5"/>
  <c r="R303" i="5" s="1"/>
  <c r="Q303" i="5"/>
  <c r="S285" i="5"/>
  <c r="R360" i="5"/>
  <c r="S360" i="5"/>
  <c r="T360" i="5" s="1"/>
  <c r="R319" i="5"/>
  <c r="S319" i="5"/>
  <c r="T319" i="5" s="1"/>
  <c r="R683" i="5"/>
  <c r="R701" i="5" s="1"/>
  <c r="Q701" i="5"/>
  <c r="S683" i="5"/>
  <c r="R717" i="5"/>
  <c r="S717" i="5"/>
  <c r="T717" i="5" s="1"/>
  <c r="R665" i="5"/>
  <c r="S665" i="5"/>
  <c r="T665" i="5" s="1"/>
  <c r="R719" i="5"/>
  <c r="S719" i="5"/>
  <c r="T719" i="5" s="1"/>
  <c r="R326" i="5"/>
  <c r="S326" i="5"/>
  <c r="T326" i="5" s="1"/>
  <c r="R715" i="5"/>
  <c r="S715" i="5"/>
  <c r="T715" i="5" s="1"/>
  <c r="R420" i="5"/>
  <c r="S420" i="5"/>
  <c r="T420" i="5" s="1"/>
  <c r="R418" i="5"/>
  <c r="S418" i="5"/>
  <c r="T418" i="5" s="1"/>
  <c r="R699" i="5"/>
  <c r="S699" i="5"/>
  <c r="T699" i="5" s="1"/>
  <c r="R525" i="5"/>
  <c r="S525" i="5"/>
  <c r="T525" i="5" s="1"/>
  <c r="R697" i="5"/>
  <c r="S697" i="5"/>
  <c r="T697" i="5" s="1"/>
  <c r="R328" i="5"/>
  <c r="S328" i="5"/>
  <c r="T328" i="5" s="1"/>
  <c r="R335" i="5"/>
  <c r="R343" i="5" s="1"/>
  <c r="Q343" i="5"/>
  <c r="S335" i="5"/>
  <c r="R678" i="5"/>
  <c r="S678" i="5"/>
  <c r="T678" i="5" s="1"/>
  <c r="R448" i="5"/>
  <c r="S448" i="5"/>
  <c r="T448" i="5" s="1"/>
  <c r="R345" i="5"/>
  <c r="R351" i="5" s="1"/>
  <c r="Q351" i="5"/>
  <c r="S345" i="5"/>
  <c r="R460" i="5"/>
  <c r="S460" i="5"/>
  <c r="T460" i="5" s="1"/>
  <c r="R585" i="5"/>
  <c r="S585" i="5"/>
  <c r="T585" i="5" s="1"/>
  <c r="R583" i="5"/>
  <c r="S583" i="5"/>
  <c r="T583" i="5" s="1"/>
  <c r="R716" i="5"/>
  <c r="S716" i="5"/>
  <c r="T716" i="5" s="1"/>
  <c r="R603" i="5"/>
  <c r="S603" i="5"/>
  <c r="T603" i="5" s="1"/>
  <c r="R605" i="5"/>
  <c r="S605" i="5"/>
  <c r="T605" i="5" s="1"/>
  <c r="Q199" i="5"/>
  <c r="S5" i="5"/>
  <c r="I139" i="4" l="1"/>
  <c r="L142" i="4"/>
  <c r="Q20" i="2"/>
  <c r="Q21" i="2"/>
  <c r="Q22" i="2"/>
  <c r="Q23" i="2"/>
  <c r="Q24" i="2"/>
  <c r="Q25" i="2"/>
  <c r="P26" i="2"/>
  <c r="O20" i="2"/>
  <c r="O21" i="2"/>
  <c r="O22" i="2"/>
  <c r="O23" i="2"/>
  <c r="O24" i="2"/>
  <c r="O25" i="2"/>
  <c r="N26" i="2"/>
  <c r="M20" i="2"/>
  <c r="M21" i="2"/>
  <c r="M22" i="2"/>
  <c r="M23" i="2"/>
  <c r="M24" i="2"/>
  <c r="M25" i="2"/>
  <c r="L26" i="2"/>
  <c r="K20" i="2"/>
  <c r="K21" i="2"/>
  <c r="K22" i="2"/>
  <c r="K23" i="2"/>
  <c r="K24" i="2"/>
  <c r="K25" i="2"/>
  <c r="J26" i="2"/>
  <c r="I20" i="2"/>
  <c r="I21" i="2"/>
  <c r="I22" i="2"/>
  <c r="I23" i="2"/>
  <c r="I24" i="2"/>
  <c r="I25" i="2"/>
  <c r="H26" i="2"/>
  <c r="G20" i="2"/>
  <c r="G21" i="2"/>
  <c r="G22" i="2"/>
  <c r="G23" i="2"/>
  <c r="G24" i="2"/>
  <c r="G25" i="2"/>
  <c r="F26" i="2"/>
  <c r="E20" i="2"/>
  <c r="E21" i="2"/>
  <c r="E22" i="2"/>
  <c r="E23" i="2"/>
  <c r="E24" i="2"/>
  <c r="E25" i="2"/>
  <c r="D26" i="2"/>
  <c r="C20" i="2"/>
  <c r="C21" i="2"/>
  <c r="C22" i="2"/>
  <c r="C23" i="2"/>
  <c r="C24" i="2"/>
  <c r="C25" i="2"/>
  <c r="B26" i="2"/>
  <c r="L13" i="9"/>
  <c r="C5" i="15"/>
  <c r="L22" i="13"/>
  <c r="C7" i="15"/>
  <c r="D7" i="15" s="1"/>
  <c r="T305" i="5"/>
  <c r="T323" i="5" s="1"/>
  <c r="S323" i="5"/>
  <c r="P323" i="5" s="1"/>
  <c r="S646" i="5"/>
  <c r="P646" i="5" s="1"/>
  <c r="S580" i="5"/>
  <c r="P580" i="5" s="1"/>
  <c r="S885" i="5"/>
  <c r="P885" i="5" s="1"/>
  <c r="S772" i="5"/>
  <c r="P772" i="5" s="1"/>
  <c r="S794" i="5"/>
  <c r="P794" i="5" s="1"/>
  <c r="S758" i="5"/>
  <c r="P758" i="5" s="1"/>
  <c r="S806" i="5"/>
  <c r="P806" i="5" s="1"/>
  <c r="S845" i="5"/>
  <c r="P845" i="5" s="1"/>
  <c r="T373" i="5"/>
  <c r="T386" i="5" s="1"/>
  <c r="S386" i="5"/>
  <c r="P386" i="5" s="1"/>
  <c r="T353" i="5"/>
  <c r="T371" i="5" s="1"/>
  <c r="S371" i="5"/>
  <c r="P371" i="5" s="1"/>
  <c r="T201" i="5"/>
  <c r="T251" i="5" s="1"/>
  <c r="S251" i="5"/>
  <c r="P251" i="5" s="1"/>
  <c r="T497" i="5"/>
  <c r="T508" i="5" s="1"/>
  <c r="S508" i="5"/>
  <c r="P508" i="5" s="1"/>
  <c r="T479" i="5"/>
  <c r="T495" i="5" s="1"/>
  <c r="S495" i="5"/>
  <c r="P495" i="5" s="1"/>
  <c r="T729" i="5"/>
  <c r="T751" i="5" s="1"/>
  <c r="S751" i="5"/>
  <c r="P751" i="5" s="1"/>
  <c r="T657" i="5"/>
  <c r="T673" i="5" s="1"/>
  <c r="S673" i="5"/>
  <c r="P673" i="5" s="1"/>
  <c r="T403" i="5"/>
  <c r="T424" i="5" s="1"/>
  <c r="S424" i="5"/>
  <c r="P424" i="5" s="1"/>
  <c r="T325" i="5"/>
  <c r="T329" i="5" s="1"/>
  <c r="S329" i="5"/>
  <c r="P329" i="5" s="1"/>
  <c r="T703" i="5"/>
  <c r="T722" i="5" s="1"/>
  <c r="S722" i="5"/>
  <c r="P722" i="5" s="1"/>
  <c r="S477" i="5"/>
  <c r="P477" i="5" s="1"/>
  <c r="S655" i="5"/>
  <c r="P655" i="5" s="1"/>
  <c r="T582" i="5"/>
  <c r="T594" i="5" s="1"/>
  <c r="S594" i="5"/>
  <c r="P594" i="5" s="1"/>
  <c r="T457" i="5"/>
  <c r="T469" i="5" s="1"/>
  <c r="S469" i="5"/>
  <c r="P469" i="5" s="1"/>
  <c r="T675" i="5"/>
  <c r="T681" i="5" s="1"/>
  <c r="S681" i="5"/>
  <c r="P681" i="5" s="1"/>
  <c r="T596" i="5"/>
  <c r="T613" i="5" s="1"/>
  <c r="S613" i="5"/>
  <c r="P613" i="5" s="1"/>
  <c r="S531" i="5"/>
  <c r="P531" i="5" s="1"/>
  <c r="S633" i="5"/>
  <c r="P633" i="5" s="1"/>
  <c r="S642" i="5"/>
  <c r="P642" i="5" s="1"/>
  <c r="T388" i="5"/>
  <c r="T401" i="5" s="1"/>
  <c r="S401" i="5"/>
  <c r="P401" i="5" s="1"/>
  <c r="S829" i="5"/>
  <c r="P829" i="5" s="1"/>
  <c r="S818" i="5"/>
  <c r="P818" i="5" s="1"/>
  <c r="S727" i="5"/>
  <c r="P727" i="5" s="1"/>
  <c r="S283" i="5"/>
  <c r="P283" i="5" s="1"/>
  <c r="T533" i="5"/>
  <c r="T546" i="5" s="1"/>
  <c r="S546" i="5"/>
  <c r="P546" i="5" s="1"/>
  <c r="T331" i="5"/>
  <c r="T333" i="5" s="1"/>
  <c r="S333" i="5"/>
  <c r="P333" i="5" s="1"/>
  <c r="T426" i="5"/>
  <c r="T455" i="5" s="1"/>
  <c r="S455" i="5"/>
  <c r="P455" i="5" s="1"/>
  <c r="T285" i="5"/>
  <c r="T303" i="5" s="1"/>
  <c r="S303" i="5"/>
  <c r="P303" i="5" s="1"/>
  <c r="T683" i="5"/>
  <c r="T701" i="5" s="1"/>
  <c r="S701" i="5"/>
  <c r="P701" i="5" s="1"/>
  <c r="T335" i="5"/>
  <c r="T343" i="5" s="1"/>
  <c r="S343" i="5"/>
  <c r="P343" i="5" s="1"/>
  <c r="T345" i="5"/>
  <c r="T351" i="5" s="1"/>
  <c r="S351" i="5"/>
  <c r="P351" i="5" s="1"/>
  <c r="S199" i="5"/>
  <c r="P199" i="5" s="1"/>
  <c r="F6" i="7" l="1"/>
  <c r="K6" i="7" s="1"/>
  <c r="F7" i="7"/>
  <c r="K7" i="7" s="1"/>
  <c r="F8" i="7"/>
  <c r="K8" i="7" s="1"/>
  <c r="F9" i="7"/>
  <c r="K9" i="7" s="1"/>
  <c r="F10" i="7"/>
  <c r="K10" i="7" s="1"/>
  <c r="F11" i="7"/>
  <c r="K11" i="7" s="1"/>
  <c r="F12" i="7"/>
  <c r="K12" i="7" s="1"/>
  <c r="F13" i="7"/>
  <c r="K13" i="7" s="1"/>
  <c r="F14" i="7"/>
  <c r="K14" i="7" s="1"/>
  <c r="F15" i="7"/>
  <c r="K15" i="7" s="1"/>
  <c r="F16" i="7"/>
  <c r="K16" i="7" s="1"/>
  <c r="F17" i="7"/>
  <c r="K17" i="7" s="1"/>
  <c r="F18" i="7"/>
  <c r="K18" i="7" s="1"/>
  <c r="F19" i="7"/>
  <c r="K19" i="7" s="1"/>
  <c r="F20" i="7"/>
  <c r="K20" i="7" s="1"/>
  <c r="F21" i="7"/>
  <c r="K21" i="7" s="1"/>
  <c r="F22" i="7"/>
  <c r="K22" i="7" s="1"/>
  <c r="F23" i="7"/>
  <c r="K23" i="7" s="1"/>
  <c r="F24" i="7"/>
  <c r="K24" i="7" s="1"/>
  <c r="F25" i="7"/>
  <c r="K25" i="7" s="1"/>
  <c r="F26" i="7"/>
  <c r="K26" i="7" s="1"/>
  <c r="F27" i="7"/>
  <c r="K27" i="7" s="1"/>
  <c r="F28" i="7"/>
  <c r="K28" i="7" s="1"/>
  <c r="F29" i="7"/>
  <c r="K29" i="7" s="1"/>
  <c r="F30" i="7"/>
  <c r="K30" i="7" s="1"/>
  <c r="F31" i="7"/>
  <c r="K31" i="7" s="1"/>
  <c r="F32" i="7"/>
  <c r="K32" i="7" s="1"/>
  <c r="F33" i="7"/>
  <c r="K33" i="7" s="1"/>
  <c r="F34" i="7"/>
  <c r="K34" i="7" s="1"/>
  <c r="F35" i="7"/>
  <c r="K35" i="7" s="1"/>
  <c r="F36" i="7"/>
  <c r="K36" i="7" s="1"/>
  <c r="F37" i="7"/>
  <c r="K37" i="7" s="1"/>
  <c r="F38" i="7"/>
  <c r="K38" i="7" s="1"/>
  <c r="F39" i="7"/>
  <c r="K39" i="7" s="1"/>
  <c r="F40" i="7"/>
  <c r="K40" i="7" s="1"/>
  <c r="F41" i="7"/>
  <c r="K41" i="7" s="1"/>
  <c r="F42" i="7"/>
  <c r="K42" i="7" s="1"/>
  <c r="F43" i="7"/>
  <c r="K43" i="7" s="1"/>
  <c r="F44" i="7"/>
  <c r="K44" i="7" s="1"/>
  <c r="F45" i="7"/>
  <c r="K45" i="7" s="1"/>
  <c r="F46" i="7"/>
  <c r="K46" i="7" s="1"/>
  <c r="F47" i="7"/>
  <c r="K47" i="7" s="1"/>
  <c r="F48" i="7"/>
  <c r="K48" i="7" s="1"/>
  <c r="F49" i="7"/>
  <c r="K49" i="7" s="1"/>
  <c r="F50" i="7"/>
  <c r="K50" i="7" s="1"/>
  <c r="F51" i="7"/>
  <c r="K51" i="7" s="1"/>
  <c r="F52" i="7"/>
  <c r="K52" i="7" s="1"/>
  <c r="F53" i="7"/>
  <c r="K53" i="7" s="1"/>
  <c r="F54" i="7"/>
  <c r="K54" i="7" s="1"/>
  <c r="F55" i="7"/>
  <c r="K55" i="7" s="1"/>
  <c r="F56" i="7"/>
  <c r="K56" i="7" s="1"/>
  <c r="F57" i="7"/>
  <c r="K57" i="7" s="1"/>
  <c r="F58" i="7"/>
  <c r="K58" i="7" s="1"/>
  <c r="F59" i="7"/>
  <c r="K59" i="7" s="1"/>
  <c r="F60" i="7"/>
  <c r="K60" i="7" s="1"/>
  <c r="F61" i="7"/>
  <c r="K61" i="7" s="1"/>
  <c r="F62" i="7"/>
  <c r="K62" i="7" s="1"/>
  <c r="F63" i="7"/>
  <c r="K63" i="7" s="1"/>
  <c r="F64" i="7"/>
  <c r="K64" i="7" s="1"/>
  <c r="F65" i="7"/>
  <c r="K65" i="7" s="1"/>
  <c r="F66" i="7"/>
  <c r="K66" i="7" s="1"/>
  <c r="F67" i="7"/>
  <c r="K67" i="7" s="1"/>
  <c r="F68" i="7"/>
  <c r="K68" i="7" s="1"/>
  <c r="F69" i="7"/>
  <c r="K69" i="7" s="1"/>
  <c r="F70" i="7"/>
  <c r="K70" i="7" s="1"/>
  <c r="F71" i="7"/>
  <c r="K71" i="7" s="1"/>
  <c r="F72" i="7"/>
  <c r="K72" i="7" s="1"/>
  <c r="F73" i="7"/>
  <c r="K73" i="7" s="1"/>
  <c r="F74" i="7"/>
  <c r="K74" i="7" s="1"/>
  <c r="F75" i="7"/>
  <c r="K75" i="7" s="1"/>
  <c r="Q28" i="2"/>
  <c r="Q29" i="2"/>
  <c r="Q30" i="2"/>
  <c r="Q31" i="2"/>
  <c r="Q32" i="2"/>
  <c r="Q33" i="2"/>
  <c r="Q34" i="2"/>
  <c r="O28" i="2"/>
  <c r="O29" i="2"/>
  <c r="O30" i="2"/>
  <c r="O31" i="2"/>
  <c r="O32" i="2"/>
  <c r="O33" i="2"/>
  <c r="O34" i="2"/>
  <c r="M28" i="2"/>
  <c r="M29" i="2"/>
  <c r="M30" i="2"/>
  <c r="M31" i="2"/>
  <c r="M32" i="2"/>
  <c r="M33" i="2"/>
  <c r="M34" i="2"/>
  <c r="K28" i="2"/>
  <c r="K29" i="2"/>
  <c r="K30" i="2"/>
  <c r="K31" i="2"/>
  <c r="K32" i="2"/>
  <c r="K33" i="2"/>
  <c r="K34" i="2"/>
  <c r="I28" i="2"/>
  <c r="I29" i="2"/>
  <c r="I30" i="2"/>
  <c r="I31" i="2"/>
  <c r="I32" i="2"/>
  <c r="I33" i="2"/>
  <c r="I34" i="2"/>
  <c r="G28" i="2"/>
  <c r="G29" i="2"/>
  <c r="G30" i="2"/>
  <c r="G31" i="2"/>
  <c r="G32" i="2"/>
  <c r="G33" i="2"/>
  <c r="G34" i="2"/>
  <c r="E28" i="2"/>
  <c r="E29" i="2"/>
  <c r="E30" i="2"/>
  <c r="E31" i="2"/>
  <c r="E32" i="2"/>
  <c r="E33" i="2"/>
  <c r="E34" i="2"/>
  <c r="C28" i="2"/>
  <c r="C29" i="2"/>
  <c r="C30" i="2"/>
  <c r="C31" i="2"/>
  <c r="C32" i="2"/>
  <c r="C33" i="2"/>
  <c r="C34" i="2"/>
  <c r="D5" i="15"/>
  <c r="P35" i="2" l="1"/>
  <c r="N35" i="2"/>
  <c r="L35" i="2"/>
  <c r="J35" i="2"/>
  <c r="H35" i="2"/>
  <c r="F35" i="2"/>
  <c r="D35" i="2"/>
  <c r="B35" i="2"/>
  <c r="Q41" i="2" l="1"/>
  <c r="Q42" i="2"/>
  <c r="Q43" i="2"/>
  <c r="Q37" i="2"/>
  <c r="P39" i="2" s="1"/>
  <c r="O41" i="2"/>
  <c r="O42" i="2"/>
  <c r="O43" i="2"/>
  <c r="O37" i="2"/>
  <c r="N39" i="2" s="1"/>
  <c r="M41" i="2"/>
  <c r="M42" i="2"/>
  <c r="M43" i="2"/>
  <c r="M37" i="2"/>
  <c r="L39" i="2" s="1"/>
  <c r="K41" i="2"/>
  <c r="K42" i="2"/>
  <c r="E52" i="2" s="1"/>
  <c r="K43" i="2"/>
  <c r="G52" i="2" s="1"/>
  <c r="K37" i="2"/>
  <c r="J39" i="2" s="1"/>
  <c r="C52" i="2" s="1"/>
  <c r="I41" i="2"/>
  <c r="I42" i="2"/>
  <c r="E51" i="2" s="1"/>
  <c r="I43" i="2"/>
  <c r="G51" i="2" s="1"/>
  <c r="I37" i="2"/>
  <c r="H39" i="2" s="1"/>
  <c r="C51" i="2" s="1"/>
  <c r="G41" i="2"/>
  <c r="G42" i="2"/>
  <c r="E49" i="2" s="1"/>
  <c r="G43" i="2"/>
  <c r="G49" i="2" s="1"/>
  <c r="G37" i="2"/>
  <c r="F39" i="2" s="1"/>
  <c r="C49" i="2" s="1"/>
  <c r="E41" i="2"/>
  <c r="E42" i="2"/>
  <c r="E48" i="2" s="1"/>
  <c r="E43" i="2"/>
  <c r="G48" i="2" s="1"/>
  <c r="E37" i="2"/>
  <c r="D39" i="2" s="1"/>
  <c r="C48" i="2" s="1"/>
  <c r="C41" i="2"/>
  <c r="C42" i="2"/>
  <c r="E47" i="2" s="1"/>
  <c r="E50" i="2" s="1"/>
  <c r="D53" i="2" s="1"/>
  <c r="C43" i="2"/>
  <c r="G47" i="2" s="1"/>
  <c r="G50" i="2" s="1"/>
  <c r="F53" i="2" s="1"/>
  <c r="C37" i="2"/>
  <c r="B39" i="2" s="1"/>
  <c r="C47" i="2" s="1"/>
  <c r="C50" i="2" s="1"/>
  <c r="B53" i="2" s="1"/>
  <c r="M60" i="2" l="1"/>
  <c r="K60" i="2"/>
  <c r="I60" i="2"/>
  <c r="G60" i="2"/>
  <c r="E60" i="2"/>
  <c r="C60" i="2"/>
  <c r="M58" i="2"/>
  <c r="K58" i="2"/>
  <c r="I58" i="2"/>
  <c r="G58" i="2"/>
  <c r="E58" i="2"/>
  <c r="C58" i="2"/>
  <c r="M57" i="2"/>
  <c r="M59" i="2" s="1"/>
  <c r="L61" i="2" s="1"/>
  <c r="G9" i="12" s="1"/>
  <c r="I9" i="12" s="1"/>
  <c r="J9" i="12" s="1"/>
  <c r="K9" i="12" s="1"/>
  <c r="L9" i="12" s="1"/>
  <c r="K57" i="2"/>
  <c r="K59" i="2" s="1"/>
  <c r="J61" i="2" s="1"/>
  <c r="G8" i="12" s="1"/>
  <c r="I8" i="12" s="1"/>
  <c r="J8" i="12" s="1"/>
  <c r="K8" i="12" s="1"/>
  <c r="L8" i="12" s="1"/>
  <c r="I57" i="2"/>
  <c r="I59" i="2" s="1"/>
  <c r="H61" i="2" s="1"/>
  <c r="G57" i="2"/>
  <c r="G59" i="2" s="1"/>
  <c r="F61" i="2" s="1"/>
  <c r="G6" i="9" s="1"/>
  <c r="E57" i="2"/>
  <c r="E59" i="2" s="1"/>
  <c r="D61" i="2" s="1"/>
  <c r="C57" i="2"/>
  <c r="C59" i="2" s="1"/>
  <c r="B61" i="2" s="1"/>
  <c r="G6" i="12" s="1"/>
  <c r="I6" i="12" s="1"/>
  <c r="J6" i="12" s="1"/>
  <c r="K6" i="12" s="1"/>
  <c r="G10" i="9"/>
  <c r="G9" i="9"/>
  <c r="G8" i="9"/>
  <c r="I136" i="4"/>
  <c r="I135" i="4"/>
  <c r="I134" i="4"/>
  <c r="I133" i="4"/>
  <c r="I132" i="4"/>
  <c r="I131" i="4"/>
  <c r="I130" i="4"/>
  <c r="I129" i="4"/>
  <c r="I128" i="4"/>
  <c r="I127" i="4"/>
  <c r="I126" i="4"/>
  <c r="I125" i="4"/>
  <c r="H76" i="3"/>
  <c r="H75" i="3"/>
  <c r="H74" i="3"/>
  <c r="I115" i="4" s="1"/>
  <c r="H73" i="3"/>
  <c r="I113" i="4" s="1"/>
  <c r="H72" i="3"/>
  <c r="I119" i="4" s="1"/>
  <c r="H71" i="3"/>
  <c r="I116" i="4" s="1"/>
  <c r="H70" i="3"/>
  <c r="H69" i="3"/>
  <c r="H68" i="3"/>
  <c r="H67" i="3"/>
  <c r="H66" i="3"/>
  <c r="H65" i="3"/>
  <c r="I106" i="4" s="1"/>
  <c r="H64" i="3"/>
  <c r="H63" i="3"/>
  <c r="H62" i="3"/>
  <c r="H61" i="3"/>
  <c r="H60" i="3"/>
  <c r="H59" i="3"/>
  <c r="H58" i="3"/>
  <c r="H57" i="3"/>
  <c r="H56" i="3"/>
  <c r="H55" i="3"/>
  <c r="I81" i="4" s="1"/>
  <c r="H54" i="3"/>
  <c r="H53" i="3"/>
  <c r="H52" i="3"/>
  <c r="H51" i="3"/>
  <c r="H50" i="3"/>
  <c r="I49" i="4" s="1"/>
  <c r="H49" i="3"/>
  <c r="I52" i="4" s="1"/>
  <c r="H48" i="3"/>
  <c r="H47" i="3"/>
  <c r="I44" i="4" s="1"/>
  <c r="H46" i="3"/>
  <c r="I40" i="4" s="1"/>
  <c r="H45" i="3"/>
  <c r="I45" i="4" s="1"/>
  <c r="H44" i="3"/>
  <c r="H43" i="3"/>
  <c r="H42" i="3"/>
  <c r="H41" i="3"/>
  <c r="H40" i="3"/>
  <c r="I33" i="4" s="1"/>
  <c r="H39" i="3"/>
  <c r="H38" i="3"/>
  <c r="H37" i="3"/>
  <c r="H36" i="3"/>
  <c r="I28" i="4" s="1"/>
  <c r="H35" i="3"/>
  <c r="H34" i="3"/>
  <c r="H33" i="3"/>
  <c r="H32" i="3"/>
  <c r="H31" i="3"/>
  <c r="H30" i="3"/>
  <c r="I69" i="4" s="1"/>
  <c r="H29" i="3"/>
  <c r="I67" i="4" s="1"/>
  <c r="H28" i="3"/>
  <c r="I73" i="4" s="1"/>
  <c r="H27" i="3"/>
  <c r="I70" i="4" s="1"/>
  <c r="H26" i="3"/>
  <c r="H25" i="3"/>
  <c r="H24" i="3"/>
  <c r="H23" i="3"/>
  <c r="H22" i="3"/>
  <c r="I61" i="4" s="1"/>
  <c r="H21" i="3"/>
  <c r="I93" i="4" s="1"/>
  <c r="H20" i="3"/>
  <c r="I6" i="4" s="1"/>
  <c r="H19" i="3"/>
  <c r="H18" i="3"/>
  <c r="H17" i="3"/>
  <c r="H16" i="3"/>
  <c r="H15" i="3"/>
  <c r="H14" i="3"/>
  <c r="H13" i="3"/>
  <c r="H12" i="3"/>
  <c r="H11" i="3"/>
  <c r="H10" i="3"/>
  <c r="H9" i="3"/>
  <c r="H8" i="3"/>
  <c r="H7" i="3"/>
  <c r="H6" i="3"/>
  <c r="G6" i="13" l="1"/>
  <c r="G7" i="13"/>
  <c r="G8" i="13"/>
  <c r="H20" i="14" s="1"/>
  <c r="G9" i="13"/>
  <c r="G10" i="13"/>
  <c r="G11" i="13"/>
  <c r="H114" i="14" s="1"/>
  <c r="G12" i="13"/>
  <c r="H22" i="14" s="1"/>
  <c r="G13" i="13"/>
  <c r="G14" i="13"/>
  <c r="G15" i="13"/>
  <c r="H115" i="14" s="1"/>
  <c r="G16" i="13"/>
  <c r="H23" i="14" s="1"/>
  <c r="G17" i="13"/>
  <c r="G18" i="13"/>
  <c r="H8" i="14" s="1"/>
  <c r="G19" i="13"/>
  <c r="H9" i="14" s="1"/>
  <c r="H6" i="10"/>
  <c r="K6" i="10" s="1"/>
  <c r="H10" i="10"/>
  <c r="K10" i="10" s="1"/>
  <c r="H14" i="10"/>
  <c r="K14" i="10" s="1"/>
  <c r="H18" i="10"/>
  <c r="K18" i="10" s="1"/>
  <c r="H22" i="10"/>
  <c r="K22" i="10" s="1"/>
  <c r="H26" i="10"/>
  <c r="K26" i="10" s="1"/>
  <c r="H30" i="10"/>
  <c r="K30" i="10" s="1"/>
  <c r="H34" i="10"/>
  <c r="K34" i="10" s="1"/>
  <c r="H38" i="10"/>
  <c r="K38" i="10" s="1"/>
  <c r="H42" i="10"/>
  <c r="K42" i="10" s="1"/>
  <c r="H46" i="10"/>
  <c r="K46" i="10" s="1"/>
  <c r="H50" i="10"/>
  <c r="K50" i="10" s="1"/>
  <c r="H54" i="10"/>
  <c r="K54" i="10" s="1"/>
  <c r="H58" i="10"/>
  <c r="K58" i="10" s="1"/>
  <c r="H62" i="10"/>
  <c r="K62" i="10" s="1"/>
  <c r="H66" i="10"/>
  <c r="K66" i="10" s="1"/>
  <c r="H70" i="10"/>
  <c r="K70" i="10" s="1"/>
  <c r="H74" i="10"/>
  <c r="K74" i="10" s="1"/>
  <c r="H78" i="10"/>
  <c r="K78" i="10" s="1"/>
  <c r="H82" i="10"/>
  <c r="K82" i="10" s="1"/>
  <c r="H86" i="10"/>
  <c r="K86" i="10" s="1"/>
  <c r="G7" i="9"/>
  <c r="G7" i="12"/>
  <c r="I7" i="12" s="1"/>
  <c r="J7" i="12" s="1"/>
  <c r="K7" i="12" s="1"/>
  <c r="L7" i="12" s="1"/>
  <c r="K10" i="12"/>
  <c r="L6" i="12"/>
  <c r="M136" i="4"/>
  <c r="K136" i="4"/>
  <c r="P363" i="5"/>
  <c r="H135" i="6"/>
  <c r="M135" i="4"/>
  <c r="K135" i="4"/>
  <c r="P615" i="5"/>
  <c r="P617" i="5"/>
  <c r="P619" i="5"/>
  <c r="P621" i="5"/>
  <c r="P623" i="5"/>
  <c r="P624" i="5"/>
  <c r="P640" i="5"/>
  <c r="P645" i="5"/>
  <c r="P648" i="5"/>
  <c r="P860" i="5"/>
  <c r="P877" i="5"/>
  <c r="P882" i="5"/>
  <c r="P883" i="5"/>
  <c r="H134" i="6"/>
  <c r="M134" i="4"/>
  <c r="K134" i="4"/>
  <c r="P506" i="5"/>
  <c r="P563" i="5"/>
  <c r="P564" i="5"/>
  <c r="H133" i="6"/>
  <c r="M133" i="4"/>
  <c r="K133" i="4"/>
  <c r="P753" i="5"/>
  <c r="P757" i="5"/>
  <c r="P760" i="5"/>
  <c r="P761" i="5"/>
  <c r="P768" i="5"/>
  <c r="P769" i="5"/>
  <c r="P774" i="5"/>
  <c r="P776" i="5"/>
  <c r="P778" i="5"/>
  <c r="P779" i="5"/>
  <c r="P783" i="5"/>
  <c r="P796" i="5"/>
  <c r="P798" i="5"/>
  <c r="P801" i="5"/>
  <c r="P808" i="5"/>
  <c r="P809" i="5"/>
  <c r="P810" i="5"/>
  <c r="P814" i="5"/>
  <c r="P817" i="5"/>
  <c r="P820" i="5"/>
  <c r="P826" i="5"/>
  <c r="P831" i="5"/>
  <c r="P833" i="5"/>
  <c r="P835" i="5"/>
  <c r="P837" i="5"/>
  <c r="P841" i="5"/>
  <c r="P847" i="5"/>
  <c r="P848" i="5"/>
  <c r="P850" i="5"/>
  <c r="P854" i="5"/>
  <c r="P856" i="5"/>
  <c r="P861" i="5"/>
  <c r="P868" i="5"/>
  <c r="P870" i="5"/>
  <c r="P872" i="5"/>
  <c r="P887" i="5"/>
  <c r="P889" i="5"/>
  <c r="P891" i="5"/>
  <c r="P893" i="5"/>
  <c r="H132" i="6"/>
  <c r="M132" i="4"/>
  <c r="K132" i="4"/>
  <c r="P654" i="5"/>
  <c r="H131" i="6"/>
  <c r="M131" i="4"/>
  <c r="K131" i="4"/>
  <c r="P584" i="5"/>
  <c r="H130" i="6"/>
  <c r="M130" i="4"/>
  <c r="K130" i="4"/>
  <c r="P385" i="5"/>
  <c r="P423" i="5"/>
  <c r="P672" i="5"/>
  <c r="P750" i="5"/>
  <c r="H129" i="6"/>
  <c r="M129" i="4"/>
  <c r="K129" i="4"/>
  <c r="P198" i="5"/>
  <c r="P280" i="5"/>
  <c r="P302" i="5"/>
  <c r="P322" i="5"/>
  <c r="P350" i="5"/>
  <c r="P370" i="5"/>
  <c r="P384" i="5"/>
  <c r="P400" i="5"/>
  <c r="P422" i="5"/>
  <c r="P454" i="5"/>
  <c r="P468" i="5"/>
  <c r="P494" i="5"/>
  <c r="P507" i="5"/>
  <c r="P530" i="5"/>
  <c r="P545" i="5"/>
  <c r="P579" i="5"/>
  <c r="P593" i="5"/>
  <c r="P671" i="5"/>
  <c r="P721" i="5"/>
  <c r="P749" i="5"/>
  <c r="H128" i="6"/>
  <c r="M128" i="4"/>
  <c r="K128" i="4"/>
  <c r="P301" i="5"/>
  <c r="P720" i="5"/>
  <c r="H127" i="6"/>
  <c r="M127" i="4"/>
  <c r="K127" i="4"/>
  <c r="P279" i="5"/>
  <c r="P321" i="5"/>
  <c r="P369" i="5"/>
  <c r="P383" i="5"/>
  <c r="P399" i="5"/>
  <c r="P453" i="5"/>
  <c r="P493" i="5"/>
  <c r="P529" i="5"/>
  <c r="P612" i="5"/>
  <c r="P670" i="5"/>
  <c r="P680" i="5"/>
  <c r="P700" i="5"/>
  <c r="P748" i="5"/>
  <c r="H126" i="6"/>
  <c r="M126" i="4"/>
  <c r="K126" i="4"/>
  <c r="P31" i="5"/>
  <c r="P32" i="5"/>
  <c r="H125" i="6"/>
  <c r="M125" i="4"/>
  <c r="K125" i="4"/>
  <c r="P34" i="5"/>
  <c r="H124" i="6"/>
  <c r="M115" i="4"/>
  <c r="K115" i="4"/>
  <c r="P472" i="5"/>
  <c r="H114" i="6"/>
  <c r="M113" i="4"/>
  <c r="K113" i="4"/>
  <c r="P881" i="5"/>
  <c r="P884" i="5"/>
  <c r="H112" i="6"/>
  <c r="M119" i="4"/>
  <c r="K119" i="4"/>
  <c r="P632" i="5"/>
  <c r="P638" i="5"/>
  <c r="P725" i="5"/>
  <c r="P791" i="5"/>
  <c r="P793" i="5"/>
  <c r="H118" i="6"/>
  <c r="M116" i="4"/>
  <c r="K116" i="4"/>
  <c r="P756" i="5"/>
  <c r="P762" i="5"/>
  <c r="P770" i="5"/>
  <c r="P802" i="5"/>
  <c r="P804" i="5"/>
  <c r="P821" i="5"/>
  <c r="P827" i="5"/>
  <c r="P842" i="5"/>
  <c r="P843" i="5"/>
  <c r="P851" i="5"/>
  <c r="P862" i="5"/>
  <c r="H115" i="6"/>
  <c r="I111" i="4"/>
  <c r="I112" i="4"/>
  <c r="M106" i="4"/>
  <c r="K106" i="4"/>
  <c r="P880" i="5"/>
  <c r="H105" i="6"/>
  <c r="M81" i="4"/>
  <c r="K81" i="4"/>
  <c r="P574" i="5"/>
  <c r="H80" i="6"/>
  <c r="I82" i="4"/>
  <c r="I85" i="4"/>
  <c r="M49" i="4"/>
  <c r="K49" i="4"/>
  <c r="P576" i="5"/>
  <c r="P652" i="5"/>
  <c r="H48" i="6"/>
  <c r="M52" i="4"/>
  <c r="K52" i="4"/>
  <c r="P724" i="5"/>
  <c r="H51" i="6"/>
  <c r="M44" i="4"/>
  <c r="K44" i="4"/>
  <c r="P577" i="5"/>
  <c r="H43" i="6"/>
  <c r="M40" i="4"/>
  <c r="K40" i="4"/>
  <c r="P629" i="5"/>
  <c r="P789" i="5"/>
  <c r="H39" i="6"/>
  <c r="M45" i="4"/>
  <c r="K45" i="4"/>
  <c r="P865" i="5"/>
  <c r="H44" i="6"/>
  <c r="M33" i="4"/>
  <c r="K33" i="4"/>
  <c r="P253" i="5"/>
  <c r="P501" i="5"/>
  <c r="P524" i="5"/>
  <c r="P560" i="5"/>
  <c r="H32" i="6"/>
  <c r="I35" i="4"/>
  <c r="I37" i="4"/>
  <c r="M28" i="4"/>
  <c r="K28" i="4"/>
  <c r="P628" i="5"/>
  <c r="P631" i="5"/>
  <c r="H27" i="6"/>
  <c r="M69" i="4"/>
  <c r="K69" i="4"/>
  <c r="P475" i="5"/>
  <c r="P575" i="5"/>
  <c r="P651" i="5"/>
  <c r="H68" i="6"/>
  <c r="M67" i="4"/>
  <c r="K67" i="4"/>
  <c r="P879" i="5"/>
  <c r="H66" i="6"/>
  <c r="M73" i="4"/>
  <c r="K73" i="4"/>
  <c r="P630" i="5"/>
  <c r="P641" i="5"/>
  <c r="P726" i="5"/>
  <c r="P787" i="5"/>
  <c r="H72" i="6"/>
  <c r="M70" i="4"/>
  <c r="K70" i="4"/>
  <c r="P764" i="5"/>
  <c r="P771" i="5"/>
  <c r="P780" i="5"/>
  <c r="P805" i="5"/>
  <c r="P811" i="5"/>
  <c r="P816" i="5"/>
  <c r="P822" i="5"/>
  <c r="P825" i="5"/>
  <c r="P828" i="5"/>
  <c r="P836" i="5"/>
  <c r="P849" i="5"/>
  <c r="P857" i="5"/>
  <c r="P864" i="5"/>
  <c r="P871" i="5"/>
  <c r="H69" i="6"/>
  <c r="I76" i="4"/>
  <c r="I77" i="4"/>
  <c r="I63" i="4"/>
  <c r="I95" i="4"/>
  <c r="M61" i="4"/>
  <c r="K61" i="4"/>
  <c r="P57" i="5"/>
  <c r="P59" i="5"/>
  <c r="P64" i="5"/>
  <c r="P66" i="5"/>
  <c r="H60" i="6"/>
  <c r="M93" i="4"/>
  <c r="K93" i="4"/>
  <c r="P510" i="5"/>
  <c r="P521" i="5"/>
  <c r="H92" i="6"/>
  <c r="M6" i="4"/>
  <c r="K6" i="4"/>
  <c r="P5" i="5"/>
  <c r="H5" i="6"/>
  <c r="I10" i="4"/>
  <c r="I12" i="4"/>
  <c r="H13" i="14" l="1"/>
  <c r="H19" i="14"/>
  <c r="H27" i="14"/>
  <c r="H56" i="14"/>
  <c r="H61" i="14"/>
  <c r="H66" i="14"/>
  <c r="H71" i="14"/>
  <c r="H76" i="14"/>
  <c r="H81" i="14"/>
  <c r="H87" i="14"/>
  <c r="H93" i="14"/>
  <c r="H98" i="14"/>
  <c r="H103" i="14"/>
  <c r="H108" i="14"/>
  <c r="H119" i="14"/>
  <c r="H124" i="14"/>
  <c r="H133" i="14"/>
  <c r="H137" i="14"/>
  <c r="H142" i="14"/>
  <c r="H6" i="14"/>
  <c r="H32" i="14"/>
  <c r="H38" i="14"/>
  <c r="H44" i="14"/>
  <c r="H50" i="14"/>
  <c r="H14" i="14"/>
  <c r="H21" i="14"/>
  <c r="H28" i="14"/>
  <c r="H57" i="14"/>
  <c r="H62" i="14"/>
  <c r="H67" i="14"/>
  <c r="H72" i="14"/>
  <c r="H77" i="14"/>
  <c r="H82" i="14"/>
  <c r="H88" i="14"/>
  <c r="H94" i="14"/>
  <c r="H99" i="14"/>
  <c r="H104" i="14"/>
  <c r="H109" i="14"/>
  <c r="H120" i="14"/>
  <c r="H125" i="14"/>
  <c r="H138" i="14"/>
  <c r="H143" i="14"/>
  <c r="H7" i="14"/>
  <c r="H33" i="14"/>
  <c r="H39" i="14"/>
  <c r="H45" i="14"/>
  <c r="H51" i="14"/>
  <c r="H15" i="14"/>
  <c r="H83" i="14"/>
  <c r="H89" i="14"/>
  <c r="H110" i="14"/>
  <c r="H129" i="14"/>
  <c r="H34" i="14"/>
  <c r="H40" i="14"/>
  <c r="H46" i="14"/>
  <c r="H52" i="14"/>
  <c r="L6" i="10"/>
  <c r="K7" i="10"/>
  <c r="L10" i="10"/>
  <c r="K11" i="10"/>
  <c r="L14" i="10"/>
  <c r="K15" i="10"/>
  <c r="L18" i="10"/>
  <c r="K19" i="10"/>
  <c r="L22" i="10"/>
  <c r="K23" i="10"/>
  <c r="L26" i="10"/>
  <c r="K27" i="10"/>
  <c r="L30" i="10"/>
  <c r="K31" i="10"/>
  <c r="L34" i="10"/>
  <c r="K35" i="10"/>
  <c r="L38" i="10"/>
  <c r="K39" i="10"/>
  <c r="L42" i="10"/>
  <c r="K43" i="10"/>
  <c r="L46" i="10"/>
  <c r="K47" i="10"/>
  <c r="L50" i="10"/>
  <c r="K51" i="10"/>
  <c r="L54" i="10"/>
  <c r="K55" i="10"/>
  <c r="L58" i="10"/>
  <c r="K59" i="10"/>
  <c r="L62" i="10"/>
  <c r="K63" i="10"/>
  <c r="L66" i="10"/>
  <c r="K67" i="10"/>
  <c r="L70" i="10"/>
  <c r="K71" i="10"/>
  <c r="L74" i="10"/>
  <c r="K75" i="10"/>
  <c r="L78" i="10"/>
  <c r="K79" i="10"/>
  <c r="L82" i="10"/>
  <c r="K83" i="10"/>
  <c r="L86" i="10"/>
  <c r="K87" i="10"/>
  <c r="L10" i="12"/>
  <c r="K12" i="12"/>
  <c r="T363" i="5"/>
  <c r="R363" i="5"/>
  <c r="T615" i="5"/>
  <c r="R615" i="5"/>
  <c r="T617" i="5"/>
  <c r="R617" i="5"/>
  <c r="T619" i="5"/>
  <c r="R619" i="5"/>
  <c r="T621" i="5"/>
  <c r="R621" i="5"/>
  <c r="T623" i="5"/>
  <c r="T625" i="5" s="1"/>
  <c r="R623" i="5"/>
  <c r="R625" i="5" s="1"/>
  <c r="T624" i="5"/>
  <c r="R624" i="5"/>
  <c r="T640" i="5"/>
  <c r="R640" i="5"/>
  <c r="T645" i="5"/>
  <c r="R645" i="5"/>
  <c r="T648" i="5"/>
  <c r="R648" i="5"/>
  <c r="T860" i="5"/>
  <c r="T866" i="5" s="1"/>
  <c r="R860" i="5"/>
  <c r="R866" i="5" s="1"/>
  <c r="T877" i="5"/>
  <c r="R877" i="5"/>
  <c r="T882" i="5"/>
  <c r="R882" i="5"/>
  <c r="T883" i="5"/>
  <c r="R883" i="5"/>
  <c r="T506" i="5"/>
  <c r="R506" i="5"/>
  <c r="T563" i="5"/>
  <c r="R563" i="5"/>
  <c r="T564" i="5"/>
  <c r="R564" i="5"/>
  <c r="T753" i="5"/>
  <c r="R753" i="5"/>
  <c r="T757" i="5"/>
  <c r="R757" i="5"/>
  <c r="T760" i="5"/>
  <c r="T765" i="5" s="1"/>
  <c r="R760" i="5"/>
  <c r="R765" i="5" s="1"/>
  <c r="T761" i="5"/>
  <c r="R761" i="5"/>
  <c r="T768" i="5"/>
  <c r="R768" i="5"/>
  <c r="T769" i="5"/>
  <c r="R769" i="5"/>
  <c r="T774" i="5"/>
  <c r="R774" i="5"/>
  <c r="T776" i="5"/>
  <c r="R776" i="5"/>
  <c r="T778" i="5"/>
  <c r="T781" i="5" s="1"/>
  <c r="R778" i="5"/>
  <c r="R781" i="5" s="1"/>
  <c r="T779" i="5"/>
  <c r="R779" i="5"/>
  <c r="T783" i="5"/>
  <c r="R783" i="5"/>
  <c r="T796" i="5"/>
  <c r="R796" i="5"/>
  <c r="T798" i="5"/>
  <c r="R798" i="5"/>
  <c r="T801" i="5"/>
  <c r="R801" i="5"/>
  <c r="T808" i="5"/>
  <c r="T812" i="5" s="1"/>
  <c r="R808" i="5"/>
  <c r="R812" i="5" s="1"/>
  <c r="T809" i="5"/>
  <c r="R809" i="5"/>
  <c r="T810" i="5"/>
  <c r="R810" i="5"/>
  <c r="T814" i="5"/>
  <c r="R814" i="5"/>
  <c r="T817" i="5"/>
  <c r="R817" i="5"/>
  <c r="T820" i="5"/>
  <c r="T823" i="5" s="1"/>
  <c r="R820" i="5"/>
  <c r="R823" i="5" s="1"/>
  <c r="T826" i="5"/>
  <c r="R826" i="5"/>
  <c r="T831" i="5"/>
  <c r="R831" i="5"/>
  <c r="T833" i="5"/>
  <c r="R833" i="5"/>
  <c r="T835" i="5"/>
  <c r="T838" i="5" s="1"/>
  <c r="R835" i="5"/>
  <c r="R838" i="5" s="1"/>
  <c r="T837" i="5"/>
  <c r="R837" i="5"/>
  <c r="T841" i="5"/>
  <c r="R841" i="5"/>
  <c r="T847" i="5"/>
  <c r="T852" i="5" s="1"/>
  <c r="R847" i="5"/>
  <c r="R852" i="5" s="1"/>
  <c r="T848" i="5"/>
  <c r="R848" i="5"/>
  <c r="T850" i="5"/>
  <c r="R850" i="5"/>
  <c r="T854" i="5"/>
  <c r="R854" i="5"/>
  <c r="T856" i="5"/>
  <c r="T858" i="5" s="1"/>
  <c r="R856" i="5"/>
  <c r="R858" i="5" s="1"/>
  <c r="T861" i="5"/>
  <c r="R861" i="5"/>
  <c r="T868" i="5"/>
  <c r="T873" i="5" s="1"/>
  <c r="R868" i="5"/>
  <c r="R873" i="5" s="1"/>
  <c r="T870" i="5"/>
  <c r="R870" i="5"/>
  <c r="T872" i="5"/>
  <c r="R872" i="5"/>
  <c r="T887" i="5"/>
  <c r="R887" i="5"/>
  <c r="T889" i="5"/>
  <c r="R889" i="5"/>
  <c r="T891" i="5"/>
  <c r="R891" i="5"/>
  <c r="T893" i="5"/>
  <c r="T894" i="5" s="1"/>
  <c r="R893" i="5"/>
  <c r="R894" i="5" s="1"/>
  <c r="T654" i="5"/>
  <c r="R654" i="5"/>
  <c r="T584" i="5"/>
  <c r="R584" i="5"/>
  <c r="T385" i="5"/>
  <c r="R385" i="5"/>
  <c r="T423" i="5"/>
  <c r="R423" i="5"/>
  <c r="T672" i="5"/>
  <c r="R672" i="5"/>
  <c r="T750" i="5"/>
  <c r="R750" i="5"/>
  <c r="T198" i="5"/>
  <c r="R198" i="5"/>
  <c r="T280" i="5"/>
  <c r="R280" i="5"/>
  <c r="T302" i="5"/>
  <c r="R302" i="5"/>
  <c r="T322" i="5"/>
  <c r="R322" i="5"/>
  <c r="T350" i="5"/>
  <c r="R350" i="5"/>
  <c r="T370" i="5"/>
  <c r="R370" i="5"/>
  <c r="T384" i="5"/>
  <c r="R384" i="5"/>
  <c r="T400" i="5"/>
  <c r="R400" i="5"/>
  <c r="T422" i="5"/>
  <c r="R422" i="5"/>
  <c r="T454" i="5"/>
  <c r="R454" i="5"/>
  <c r="T468" i="5"/>
  <c r="R468" i="5"/>
  <c r="T494" i="5"/>
  <c r="R494" i="5"/>
  <c r="T507" i="5"/>
  <c r="R507" i="5"/>
  <c r="T530" i="5"/>
  <c r="R530" i="5"/>
  <c r="T545" i="5"/>
  <c r="R545" i="5"/>
  <c r="T579" i="5"/>
  <c r="R579" i="5"/>
  <c r="T593" i="5"/>
  <c r="R593" i="5"/>
  <c r="T671" i="5"/>
  <c r="R671" i="5"/>
  <c r="T721" i="5"/>
  <c r="R721" i="5"/>
  <c r="T749" i="5"/>
  <c r="R749" i="5"/>
  <c r="T301" i="5"/>
  <c r="R301" i="5"/>
  <c r="T720" i="5"/>
  <c r="R720" i="5"/>
  <c r="T279" i="5"/>
  <c r="R279" i="5"/>
  <c r="T321" i="5"/>
  <c r="R321" i="5"/>
  <c r="T369" i="5"/>
  <c r="R369" i="5"/>
  <c r="T383" i="5"/>
  <c r="R383" i="5"/>
  <c r="T399" i="5"/>
  <c r="R399" i="5"/>
  <c r="T453" i="5"/>
  <c r="R453" i="5"/>
  <c r="T493" i="5"/>
  <c r="R493" i="5"/>
  <c r="T529" i="5"/>
  <c r="R529" i="5"/>
  <c r="T612" i="5"/>
  <c r="R612" i="5"/>
  <c r="T670" i="5"/>
  <c r="R670" i="5"/>
  <c r="T680" i="5"/>
  <c r="R680" i="5"/>
  <c r="T700" i="5"/>
  <c r="R700" i="5"/>
  <c r="T748" i="5"/>
  <c r="R748" i="5"/>
  <c r="T31" i="5"/>
  <c r="R31" i="5"/>
  <c r="T32" i="5"/>
  <c r="R32" i="5"/>
  <c r="T34" i="5"/>
  <c r="R34" i="5"/>
  <c r="T472" i="5"/>
  <c r="R472" i="5"/>
  <c r="T881" i="5"/>
  <c r="R881" i="5"/>
  <c r="T884" i="5"/>
  <c r="R884" i="5"/>
  <c r="T632" i="5"/>
  <c r="R632" i="5"/>
  <c r="T638" i="5"/>
  <c r="R638" i="5"/>
  <c r="T725" i="5"/>
  <c r="R725" i="5"/>
  <c r="T791" i="5"/>
  <c r="R791" i="5"/>
  <c r="T793" i="5"/>
  <c r="R793" i="5"/>
  <c r="T756" i="5"/>
  <c r="R756" i="5"/>
  <c r="T762" i="5"/>
  <c r="R762" i="5"/>
  <c r="T770" i="5"/>
  <c r="R770" i="5"/>
  <c r="T802" i="5"/>
  <c r="R802" i="5"/>
  <c r="T804" i="5"/>
  <c r="R804" i="5"/>
  <c r="T821" i="5"/>
  <c r="R821" i="5"/>
  <c r="T827" i="5"/>
  <c r="R827" i="5"/>
  <c r="T842" i="5"/>
  <c r="R842" i="5"/>
  <c r="T843" i="5"/>
  <c r="R843" i="5"/>
  <c r="T851" i="5"/>
  <c r="R851" i="5"/>
  <c r="T862" i="5"/>
  <c r="R862" i="5"/>
  <c r="M111" i="4"/>
  <c r="K111" i="4"/>
  <c r="P755" i="5"/>
  <c r="P767" i="5"/>
  <c r="P785" i="5"/>
  <c r="P800" i="5"/>
  <c r="P840" i="5"/>
  <c r="P844" i="5"/>
  <c r="H110" i="6"/>
  <c r="M112" i="4"/>
  <c r="K112" i="4"/>
  <c r="P520" i="5"/>
  <c r="P548" i="5"/>
  <c r="P549" i="5"/>
  <c r="P550" i="5"/>
  <c r="P636" i="5"/>
  <c r="P637" i="5"/>
  <c r="P644" i="5"/>
  <c r="P875" i="5"/>
  <c r="P876" i="5"/>
  <c r="P878" i="5"/>
  <c r="H111" i="6"/>
  <c r="T880" i="5"/>
  <c r="R880" i="5"/>
  <c r="T574" i="5"/>
  <c r="R574" i="5"/>
  <c r="M82" i="4"/>
  <c r="K82" i="4"/>
  <c r="P803" i="5"/>
  <c r="P863" i="5"/>
  <c r="H81" i="6"/>
  <c r="M85" i="4"/>
  <c r="K85" i="4"/>
  <c r="P627" i="5"/>
  <c r="P635" i="5"/>
  <c r="P639" i="5"/>
  <c r="P786" i="5"/>
  <c r="P790" i="5"/>
  <c r="P792" i="5"/>
  <c r="H84" i="6"/>
  <c r="T576" i="5"/>
  <c r="R576" i="5"/>
  <c r="T652" i="5"/>
  <c r="R652" i="5"/>
  <c r="T724" i="5"/>
  <c r="T727" i="5" s="1"/>
  <c r="R724" i="5"/>
  <c r="R727" i="5" s="1"/>
  <c r="T577" i="5"/>
  <c r="R577" i="5"/>
  <c r="T629" i="5"/>
  <c r="R629" i="5"/>
  <c r="T789" i="5"/>
  <c r="R789" i="5"/>
  <c r="T865" i="5"/>
  <c r="R865" i="5"/>
  <c r="T253" i="5"/>
  <c r="T283" i="5" s="1"/>
  <c r="R253" i="5"/>
  <c r="R283" i="5" s="1"/>
  <c r="T501" i="5"/>
  <c r="R501" i="5"/>
  <c r="T524" i="5"/>
  <c r="R524" i="5"/>
  <c r="T560" i="5"/>
  <c r="R560" i="5"/>
  <c r="M35" i="4"/>
  <c r="K35" i="4"/>
  <c r="P763" i="5"/>
  <c r="H34" i="6"/>
  <c r="M37" i="4"/>
  <c r="K37" i="4"/>
  <c r="P381" i="5"/>
  <c r="P441" i="5"/>
  <c r="P489" i="5"/>
  <c r="P556" i="5"/>
  <c r="P788" i="5"/>
  <c r="H36" i="6"/>
  <c r="T628" i="5"/>
  <c r="R628" i="5"/>
  <c r="T631" i="5"/>
  <c r="R631" i="5"/>
  <c r="T475" i="5"/>
  <c r="R475" i="5"/>
  <c r="T575" i="5"/>
  <c r="R575" i="5"/>
  <c r="T651" i="5"/>
  <c r="R651" i="5"/>
  <c r="T879" i="5"/>
  <c r="R879" i="5"/>
  <c r="T630" i="5"/>
  <c r="R630" i="5"/>
  <c r="T641" i="5"/>
  <c r="R641" i="5"/>
  <c r="T726" i="5"/>
  <c r="R726" i="5"/>
  <c r="T787" i="5"/>
  <c r="R787" i="5"/>
  <c r="T764" i="5"/>
  <c r="R764" i="5"/>
  <c r="T771" i="5"/>
  <c r="R771" i="5"/>
  <c r="T780" i="5"/>
  <c r="R780" i="5"/>
  <c r="T805" i="5"/>
  <c r="R805" i="5"/>
  <c r="T811" i="5"/>
  <c r="R811" i="5"/>
  <c r="T816" i="5"/>
  <c r="T818" i="5" s="1"/>
  <c r="R816" i="5"/>
  <c r="R818" i="5" s="1"/>
  <c r="T822" i="5"/>
  <c r="R822" i="5"/>
  <c r="T825" i="5"/>
  <c r="T829" i="5" s="1"/>
  <c r="R825" i="5"/>
  <c r="R829" i="5" s="1"/>
  <c r="T828" i="5"/>
  <c r="R828" i="5"/>
  <c r="T836" i="5"/>
  <c r="R836" i="5"/>
  <c r="T849" i="5"/>
  <c r="R849" i="5"/>
  <c r="T857" i="5"/>
  <c r="R857" i="5"/>
  <c r="T864" i="5"/>
  <c r="R864" i="5"/>
  <c r="T871" i="5"/>
  <c r="R871" i="5"/>
  <c r="M76" i="4"/>
  <c r="K76" i="4"/>
  <c r="P170" i="5"/>
  <c r="P172" i="5"/>
  <c r="P194" i="5"/>
  <c r="P196" i="5"/>
  <c r="H75" i="6"/>
  <c r="M77" i="4"/>
  <c r="K77" i="4"/>
  <c r="P25" i="5"/>
  <c r="P28" i="5"/>
  <c r="P30" i="5"/>
  <c r="P51" i="5"/>
  <c r="P53" i="5"/>
  <c r="P82" i="5"/>
  <c r="P84" i="5"/>
  <c r="P107" i="5"/>
  <c r="P109" i="5"/>
  <c r="P132" i="5"/>
  <c r="P134" i="5"/>
  <c r="P155" i="5"/>
  <c r="P157" i="5"/>
  <c r="H76" i="6"/>
  <c r="M63" i="4"/>
  <c r="K63" i="4"/>
  <c r="P474" i="5"/>
  <c r="H62" i="6"/>
  <c r="M95" i="4"/>
  <c r="K95" i="4"/>
  <c r="P471" i="5"/>
  <c r="P650" i="5"/>
  <c r="H94" i="6"/>
  <c r="T57" i="5"/>
  <c r="R57" i="5"/>
  <c r="T59" i="5"/>
  <c r="R59" i="5"/>
  <c r="T64" i="5"/>
  <c r="R64" i="5"/>
  <c r="T66" i="5"/>
  <c r="R66" i="5"/>
  <c r="T510" i="5"/>
  <c r="T531" i="5" s="1"/>
  <c r="R510" i="5"/>
  <c r="R531" i="5" s="1"/>
  <c r="T521" i="5"/>
  <c r="R521" i="5"/>
  <c r="T5" i="5"/>
  <c r="T199" i="5" s="1"/>
  <c r="R5" i="5"/>
  <c r="R199" i="5" s="1"/>
  <c r="M10" i="4"/>
  <c r="K10" i="4"/>
  <c r="P473" i="5"/>
  <c r="P476" i="5"/>
  <c r="P578" i="5"/>
  <c r="H9" i="6"/>
  <c r="M12" i="4"/>
  <c r="K12" i="4"/>
  <c r="P391" i="5"/>
  <c r="P392" i="5"/>
  <c r="P440" i="5"/>
  <c r="P442" i="5"/>
  <c r="P512" i="5"/>
  <c r="P543" i="5"/>
  <c r="P544" i="5"/>
  <c r="P555" i="5"/>
  <c r="P562" i="5"/>
  <c r="P732" i="5"/>
  <c r="H11" i="6"/>
  <c r="L7" i="10" l="1"/>
  <c r="M7" i="10" s="1"/>
  <c r="M6" i="10"/>
  <c r="L11" i="10"/>
  <c r="M11" i="10" s="1"/>
  <c r="M10" i="10"/>
  <c r="L15" i="10"/>
  <c r="M15" i="10" s="1"/>
  <c r="M14" i="10"/>
  <c r="L19" i="10"/>
  <c r="M19" i="10" s="1"/>
  <c r="M18" i="10"/>
  <c r="L23" i="10"/>
  <c r="M23" i="10" s="1"/>
  <c r="M22" i="10"/>
  <c r="L27" i="10"/>
  <c r="M27" i="10" s="1"/>
  <c r="M26" i="10"/>
  <c r="L31" i="10"/>
  <c r="M31" i="10" s="1"/>
  <c r="M30" i="10"/>
  <c r="L35" i="10"/>
  <c r="M35" i="10" s="1"/>
  <c r="M34" i="10"/>
  <c r="L39" i="10"/>
  <c r="M39" i="10" s="1"/>
  <c r="M38" i="10"/>
  <c r="L43" i="10"/>
  <c r="M43" i="10" s="1"/>
  <c r="M42" i="10"/>
  <c r="L47" i="10"/>
  <c r="M47" i="10" s="1"/>
  <c r="M46" i="10"/>
  <c r="L51" i="10"/>
  <c r="M51" i="10" s="1"/>
  <c r="M50" i="10"/>
  <c r="L55" i="10"/>
  <c r="M55" i="10" s="1"/>
  <c r="M54" i="10"/>
  <c r="L59" i="10"/>
  <c r="M59" i="10" s="1"/>
  <c r="M58" i="10"/>
  <c r="L63" i="10"/>
  <c r="M63" i="10" s="1"/>
  <c r="M62" i="10"/>
  <c r="L67" i="10"/>
  <c r="M67" i="10" s="1"/>
  <c r="M66" i="10"/>
  <c r="L71" i="10"/>
  <c r="M71" i="10" s="1"/>
  <c r="M70" i="10"/>
  <c r="L75" i="10"/>
  <c r="M75" i="10" s="1"/>
  <c r="M74" i="10"/>
  <c r="L79" i="10"/>
  <c r="M79" i="10" s="1"/>
  <c r="M78" i="10"/>
  <c r="L83" i="10"/>
  <c r="M83" i="10" s="1"/>
  <c r="M82" i="10"/>
  <c r="L87" i="10"/>
  <c r="M87" i="10" s="1"/>
  <c r="M86" i="10"/>
  <c r="L12" i="12"/>
  <c r="C6" i="15"/>
  <c r="T755" i="5"/>
  <c r="T758" i="5" s="1"/>
  <c r="R755" i="5"/>
  <c r="R758" i="5" s="1"/>
  <c r="T767" i="5"/>
  <c r="T772" i="5" s="1"/>
  <c r="R767" i="5"/>
  <c r="R772" i="5" s="1"/>
  <c r="T785" i="5"/>
  <c r="T794" i="5" s="1"/>
  <c r="R785" i="5"/>
  <c r="R794" i="5" s="1"/>
  <c r="T800" i="5"/>
  <c r="T806" i="5" s="1"/>
  <c r="R800" i="5"/>
  <c r="R806" i="5" s="1"/>
  <c r="T840" i="5"/>
  <c r="T845" i="5" s="1"/>
  <c r="R840" i="5"/>
  <c r="R845" i="5" s="1"/>
  <c r="T844" i="5"/>
  <c r="R844" i="5"/>
  <c r="T520" i="5"/>
  <c r="R520" i="5"/>
  <c r="T548" i="5"/>
  <c r="T580" i="5" s="1"/>
  <c r="R548" i="5"/>
  <c r="R580" i="5" s="1"/>
  <c r="T549" i="5"/>
  <c r="R549" i="5"/>
  <c r="T550" i="5"/>
  <c r="R550" i="5"/>
  <c r="T636" i="5"/>
  <c r="R636" i="5"/>
  <c r="T637" i="5"/>
  <c r="R637" i="5"/>
  <c r="T644" i="5"/>
  <c r="T646" i="5" s="1"/>
  <c r="R644" i="5"/>
  <c r="R646" i="5" s="1"/>
  <c r="T875" i="5"/>
  <c r="T885" i="5" s="1"/>
  <c r="R875" i="5"/>
  <c r="R885" i="5" s="1"/>
  <c r="T876" i="5"/>
  <c r="R876" i="5"/>
  <c r="T878" i="5"/>
  <c r="R878" i="5"/>
  <c r="T803" i="5"/>
  <c r="R803" i="5"/>
  <c r="T863" i="5"/>
  <c r="R863" i="5"/>
  <c r="T627" i="5"/>
  <c r="T633" i="5" s="1"/>
  <c r="R627" i="5"/>
  <c r="R633" i="5" s="1"/>
  <c r="T635" i="5"/>
  <c r="T642" i="5" s="1"/>
  <c r="R635" i="5"/>
  <c r="R642" i="5" s="1"/>
  <c r="T639" i="5"/>
  <c r="R639" i="5"/>
  <c r="T786" i="5"/>
  <c r="R786" i="5"/>
  <c r="T790" i="5"/>
  <c r="R790" i="5"/>
  <c r="T792" i="5"/>
  <c r="R792" i="5"/>
  <c r="T763" i="5"/>
  <c r="R763" i="5"/>
  <c r="T381" i="5"/>
  <c r="R381" i="5"/>
  <c r="T441" i="5"/>
  <c r="R441" i="5"/>
  <c r="T489" i="5"/>
  <c r="R489" i="5"/>
  <c r="T556" i="5"/>
  <c r="R556" i="5"/>
  <c r="T788" i="5"/>
  <c r="R788" i="5"/>
  <c r="T170" i="5"/>
  <c r="R170" i="5"/>
  <c r="T172" i="5"/>
  <c r="R172" i="5"/>
  <c r="T194" i="5"/>
  <c r="R194" i="5"/>
  <c r="T196" i="5"/>
  <c r="R196" i="5"/>
  <c r="T25" i="5"/>
  <c r="R25" i="5"/>
  <c r="T28" i="5"/>
  <c r="R28" i="5"/>
  <c r="T30" i="5"/>
  <c r="R30" i="5"/>
  <c r="T51" i="5"/>
  <c r="R51" i="5"/>
  <c r="T53" i="5"/>
  <c r="R53" i="5"/>
  <c r="T82" i="5"/>
  <c r="R82" i="5"/>
  <c r="T84" i="5"/>
  <c r="R84" i="5"/>
  <c r="T107" i="5"/>
  <c r="R107" i="5"/>
  <c r="T109" i="5"/>
  <c r="R109" i="5"/>
  <c r="T132" i="5"/>
  <c r="R132" i="5"/>
  <c r="T134" i="5"/>
  <c r="R134" i="5"/>
  <c r="T155" i="5"/>
  <c r="R155" i="5"/>
  <c r="T157" i="5"/>
  <c r="R157" i="5"/>
  <c r="T474" i="5"/>
  <c r="R474" i="5"/>
  <c r="T471" i="5"/>
  <c r="T477" i="5" s="1"/>
  <c r="R471" i="5"/>
  <c r="R477" i="5" s="1"/>
  <c r="T650" i="5"/>
  <c r="T655" i="5" s="1"/>
  <c r="R650" i="5"/>
  <c r="R655" i="5" s="1"/>
  <c r="T473" i="5"/>
  <c r="R473" i="5"/>
  <c r="T476" i="5"/>
  <c r="R476" i="5"/>
  <c r="T578" i="5"/>
  <c r="R578" i="5"/>
  <c r="T391" i="5"/>
  <c r="R391" i="5"/>
  <c r="T392" i="5"/>
  <c r="R392" i="5"/>
  <c r="T440" i="5"/>
  <c r="R440" i="5"/>
  <c r="T442" i="5"/>
  <c r="R442" i="5"/>
  <c r="T512" i="5"/>
  <c r="R512" i="5"/>
  <c r="T543" i="5"/>
  <c r="R543" i="5"/>
  <c r="T544" i="5"/>
  <c r="R544" i="5"/>
  <c r="T555" i="5"/>
  <c r="R555" i="5"/>
  <c r="T562" i="5"/>
  <c r="R562" i="5"/>
  <c r="T732" i="5"/>
  <c r="R732" i="5"/>
  <c r="M137" i="4"/>
  <c r="M142" i="4" s="1"/>
  <c r="K137" i="4"/>
  <c r="J75" i="7"/>
  <c r="L75" i="7" s="1"/>
  <c r="N75" i="7" s="1"/>
  <c r="J74" i="7"/>
  <c r="L74" i="7" s="1"/>
  <c r="N74" i="7" s="1"/>
  <c r="J73" i="7"/>
  <c r="L73" i="7" s="1"/>
  <c r="N73" i="7" s="1"/>
  <c r="J72" i="7"/>
  <c r="L72" i="7" s="1"/>
  <c r="N72" i="7" s="1"/>
  <c r="J71" i="7"/>
  <c r="L71" i="7" s="1"/>
  <c r="N71" i="7" s="1"/>
  <c r="J70" i="7"/>
  <c r="L70" i="7" s="1"/>
  <c r="N70" i="7" s="1"/>
  <c r="J69" i="7"/>
  <c r="L69" i="7" s="1"/>
  <c r="N69" i="7" s="1"/>
  <c r="J68" i="7"/>
  <c r="L68" i="7" s="1"/>
  <c r="N68" i="7" s="1"/>
  <c r="J67" i="7"/>
  <c r="L67" i="7" s="1"/>
  <c r="N67" i="7" s="1"/>
  <c r="J66" i="7"/>
  <c r="L66" i="7" s="1"/>
  <c r="N66" i="7" s="1"/>
  <c r="J65" i="7"/>
  <c r="L65" i="7" s="1"/>
  <c r="N65" i="7" s="1"/>
  <c r="J64" i="7"/>
  <c r="L64" i="7" s="1"/>
  <c r="N64" i="7" s="1"/>
  <c r="J63" i="7"/>
  <c r="L63" i="7" s="1"/>
  <c r="N63" i="7" s="1"/>
  <c r="J62" i="7"/>
  <c r="L62" i="7" s="1"/>
  <c r="N62" i="7" s="1"/>
  <c r="J61" i="7"/>
  <c r="L61" i="7" s="1"/>
  <c r="N61" i="7" s="1"/>
  <c r="J60" i="7"/>
  <c r="L60" i="7" s="1"/>
  <c r="N60" i="7" s="1"/>
  <c r="J59" i="7"/>
  <c r="L59" i="7" s="1"/>
  <c r="N59" i="7" s="1"/>
  <c r="J58" i="7"/>
  <c r="L58" i="7" s="1"/>
  <c r="N58" i="7" s="1"/>
  <c r="J57" i="7"/>
  <c r="L57" i="7" s="1"/>
  <c r="N57" i="7" s="1"/>
  <c r="J56" i="7"/>
  <c r="L56" i="7" s="1"/>
  <c r="N56" i="7" s="1"/>
  <c r="J55" i="7"/>
  <c r="L55" i="7" s="1"/>
  <c r="N55" i="7" s="1"/>
  <c r="J54" i="7"/>
  <c r="L54" i="7" s="1"/>
  <c r="N54" i="7" s="1"/>
  <c r="J53" i="7"/>
  <c r="L53" i="7" s="1"/>
  <c r="N53" i="7" s="1"/>
  <c r="J52" i="7"/>
  <c r="L52" i="7" s="1"/>
  <c r="N52" i="7" s="1"/>
  <c r="J51" i="7"/>
  <c r="L51" i="7" s="1"/>
  <c r="N51" i="7" s="1"/>
  <c r="J50" i="7"/>
  <c r="L50" i="7" s="1"/>
  <c r="N50" i="7" s="1"/>
  <c r="J49" i="7"/>
  <c r="L49" i="7" s="1"/>
  <c r="N49" i="7" s="1"/>
  <c r="J48" i="7"/>
  <c r="L48" i="7" s="1"/>
  <c r="N48" i="7" s="1"/>
  <c r="J47" i="7"/>
  <c r="L47" i="7" s="1"/>
  <c r="N47" i="7" s="1"/>
  <c r="J46" i="7"/>
  <c r="L46" i="7" s="1"/>
  <c r="N46" i="7" s="1"/>
  <c r="J45" i="7"/>
  <c r="L45" i="7" s="1"/>
  <c r="N45" i="7" s="1"/>
  <c r="J44" i="7"/>
  <c r="L44" i="7" s="1"/>
  <c r="N44" i="7" s="1"/>
  <c r="J43" i="7"/>
  <c r="L43" i="7" s="1"/>
  <c r="N43" i="7" s="1"/>
  <c r="J42" i="7"/>
  <c r="L42" i="7" s="1"/>
  <c r="N42" i="7" s="1"/>
  <c r="J41" i="7"/>
  <c r="L41" i="7" s="1"/>
  <c r="N41" i="7" s="1"/>
  <c r="J40" i="7"/>
  <c r="L40" i="7" s="1"/>
  <c r="N40" i="7" s="1"/>
  <c r="J39" i="7"/>
  <c r="L39" i="7" s="1"/>
  <c r="N39" i="7" s="1"/>
  <c r="J38" i="7"/>
  <c r="L38" i="7" s="1"/>
  <c r="N38" i="7" s="1"/>
  <c r="J37" i="7"/>
  <c r="L37" i="7" s="1"/>
  <c r="N37" i="7" s="1"/>
  <c r="J36" i="7"/>
  <c r="L36" i="7" s="1"/>
  <c r="N36" i="7" s="1"/>
  <c r="J35" i="7"/>
  <c r="L35" i="7" s="1"/>
  <c r="N35" i="7" s="1"/>
  <c r="J34" i="7"/>
  <c r="L34" i="7" s="1"/>
  <c r="N34" i="7" s="1"/>
  <c r="J33" i="7"/>
  <c r="L33" i="7" s="1"/>
  <c r="N33" i="7" s="1"/>
  <c r="J32" i="7"/>
  <c r="L32" i="7" s="1"/>
  <c r="N32" i="7" s="1"/>
  <c r="J31" i="7"/>
  <c r="L31" i="7" s="1"/>
  <c r="N31" i="7" s="1"/>
  <c r="J30" i="7"/>
  <c r="L30" i="7" s="1"/>
  <c r="N30" i="7" s="1"/>
  <c r="J29" i="7"/>
  <c r="L29" i="7" s="1"/>
  <c r="N29" i="7" s="1"/>
  <c r="J28" i="7"/>
  <c r="L28" i="7" s="1"/>
  <c r="N28" i="7" s="1"/>
  <c r="J27" i="7"/>
  <c r="L27" i="7" s="1"/>
  <c r="N27" i="7" s="1"/>
  <c r="J26" i="7"/>
  <c r="L26" i="7" s="1"/>
  <c r="N26" i="7" s="1"/>
  <c r="J25" i="7"/>
  <c r="L25" i="7" s="1"/>
  <c r="N25" i="7" s="1"/>
  <c r="J24" i="7"/>
  <c r="L24" i="7" s="1"/>
  <c r="N24" i="7" s="1"/>
  <c r="J23" i="7"/>
  <c r="L23" i="7" s="1"/>
  <c r="N23" i="7" s="1"/>
  <c r="J22" i="7"/>
  <c r="L22" i="7" s="1"/>
  <c r="N22" i="7" s="1"/>
  <c r="J21" i="7"/>
  <c r="L21" i="7" s="1"/>
  <c r="N21" i="7" s="1"/>
  <c r="J20" i="7"/>
  <c r="L20" i="7" s="1"/>
  <c r="N20" i="7" s="1"/>
  <c r="J19" i="7"/>
  <c r="L19" i="7" s="1"/>
  <c r="N19" i="7" s="1"/>
  <c r="J18" i="7"/>
  <c r="L18" i="7" s="1"/>
  <c r="N18" i="7" s="1"/>
  <c r="J17" i="7"/>
  <c r="L17" i="7" s="1"/>
  <c r="N17" i="7" s="1"/>
  <c r="J16" i="7"/>
  <c r="L16" i="7" s="1"/>
  <c r="N16" i="7" s="1"/>
  <c r="J15" i="7"/>
  <c r="L15" i="7" s="1"/>
  <c r="N15" i="7" s="1"/>
  <c r="J14" i="7"/>
  <c r="L14" i="7" s="1"/>
  <c r="N14" i="7" s="1"/>
  <c r="J13" i="7"/>
  <c r="L13" i="7" s="1"/>
  <c r="N13" i="7" s="1"/>
  <c r="J12" i="7"/>
  <c r="L12" i="7" s="1"/>
  <c r="N12" i="7" s="1"/>
  <c r="J11" i="7"/>
  <c r="L11" i="7" s="1"/>
  <c r="N11" i="7" s="1"/>
  <c r="J10" i="7"/>
  <c r="L10" i="7" s="1"/>
  <c r="N10" i="7" s="1"/>
  <c r="J9" i="7"/>
  <c r="L9" i="7" s="1"/>
  <c r="N9" i="7" s="1"/>
  <c r="J8" i="7"/>
  <c r="L8" i="7" s="1"/>
  <c r="N8" i="7" s="1"/>
  <c r="J7" i="7"/>
  <c r="L7" i="7" s="1"/>
  <c r="N7" i="7" s="1"/>
  <c r="J6" i="7"/>
  <c r="L6" i="7" s="1"/>
  <c r="N6" i="7" s="1"/>
  <c r="C16" i="15" l="1"/>
  <c r="D6" i="15"/>
  <c r="O75" i="7"/>
  <c r="G73" i="8"/>
  <c r="H73" i="8" s="1"/>
  <c r="I73" i="8" s="1"/>
  <c r="O74" i="7"/>
  <c r="G72" i="8"/>
  <c r="H72" i="8" s="1"/>
  <c r="I72" i="8" s="1"/>
  <c r="O73" i="7"/>
  <c r="G71" i="8"/>
  <c r="H71" i="8" s="1"/>
  <c r="I71" i="8" s="1"/>
  <c r="O72" i="7"/>
  <c r="G70" i="8"/>
  <c r="H70" i="8" s="1"/>
  <c r="I70" i="8" s="1"/>
  <c r="O71" i="7"/>
  <c r="G69" i="8"/>
  <c r="H69" i="8" s="1"/>
  <c r="I69" i="8" s="1"/>
  <c r="O70" i="7"/>
  <c r="G68" i="8"/>
  <c r="H68" i="8" s="1"/>
  <c r="I68" i="8" s="1"/>
  <c r="O69" i="7"/>
  <c r="G67" i="8"/>
  <c r="H67" i="8" s="1"/>
  <c r="I67" i="8" s="1"/>
  <c r="O68" i="7"/>
  <c r="G66" i="8"/>
  <c r="H66" i="8" s="1"/>
  <c r="I66" i="8" s="1"/>
  <c r="O67" i="7"/>
  <c r="G65" i="8"/>
  <c r="H65" i="8" s="1"/>
  <c r="I65" i="8" s="1"/>
  <c r="O66" i="7"/>
  <c r="G64" i="8"/>
  <c r="H64" i="8" s="1"/>
  <c r="I64" i="8" s="1"/>
  <c r="O65" i="7"/>
  <c r="G63" i="8"/>
  <c r="H63" i="8" s="1"/>
  <c r="I63" i="8" s="1"/>
  <c r="O64" i="7"/>
  <c r="G62" i="8"/>
  <c r="H62" i="8" s="1"/>
  <c r="I62" i="8" s="1"/>
  <c r="O63" i="7"/>
  <c r="G61" i="8"/>
  <c r="H61" i="8" s="1"/>
  <c r="I61" i="8" s="1"/>
  <c r="O62" i="7"/>
  <c r="G60" i="8"/>
  <c r="H60" i="8" s="1"/>
  <c r="I60" i="8" s="1"/>
  <c r="O61" i="7"/>
  <c r="G59" i="8"/>
  <c r="H59" i="8" s="1"/>
  <c r="I59" i="8" s="1"/>
  <c r="O60" i="7"/>
  <c r="G58" i="8"/>
  <c r="H58" i="8" s="1"/>
  <c r="I58" i="8" s="1"/>
  <c r="O59" i="7"/>
  <c r="G57" i="8"/>
  <c r="H57" i="8" s="1"/>
  <c r="I57" i="8" s="1"/>
  <c r="O58" i="7"/>
  <c r="G56" i="8"/>
  <c r="H56" i="8" s="1"/>
  <c r="I56" i="8" s="1"/>
  <c r="O57" i="7"/>
  <c r="G55" i="8"/>
  <c r="H55" i="8" s="1"/>
  <c r="I55" i="8" s="1"/>
  <c r="O56" i="7"/>
  <c r="G54" i="8"/>
  <c r="H54" i="8" s="1"/>
  <c r="I54" i="8" s="1"/>
  <c r="O55" i="7"/>
  <c r="G53" i="8"/>
  <c r="H53" i="8" s="1"/>
  <c r="I53" i="8" s="1"/>
  <c r="O54" i="7"/>
  <c r="G52" i="8"/>
  <c r="H52" i="8" s="1"/>
  <c r="I52" i="8" s="1"/>
  <c r="O53" i="7"/>
  <c r="G51" i="8"/>
  <c r="H51" i="8" s="1"/>
  <c r="I51" i="8" s="1"/>
  <c r="O52" i="7"/>
  <c r="G50" i="8"/>
  <c r="H50" i="8" s="1"/>
  <c r="I50" i="8" s="1"/>
  <c r="O51" i="7"/>
  <c r="G49" i="8"/>
  <c r="H49" i="8" s="1"/>
  <c r="I49" i="8" s="1"/>
  <c r="O50" i="7"/>
  <c r="G48" i="8"/>
  <c r="H48" i="8" s="1"/>
  <c r="I48" i="8" s="1"/>
  <c r="O49" i="7"/>
  <c r="G47" i="8"/>
  <c r="H47" i="8" s="1"/>
  <c r="I47" i="8" s="1"/>
  <c r="O48" i="7"/>
  <c r="G46" i="8"/>
  <c r="H46" i="8" s="1"/>
  <c r="I46" i="8" s="1"/>
  <c r="O47" i="7"/>
  <c r="G45" i="8"/>
  <c r="H45" i="8" s="1"/>
  <c r="I45" i="8" s="1"/>
  <c r="O46" i="7"/>
  <c r="G44" i="8"/>
  <c r="H44" i="8" s="1"/>
  <c r="I44" i="8" s="1"/>
  <c r="O45" i="7"/>
  <c r="G43" i="8"/>
  <c r="H43" i="8" s="1"/>
  <c r="I43" i="8" s="1"/>
  <c r="O44" i="7"/>
  <c r="G42" i="8"/>
  <c r="H42" i="8" s="1"/>
  <c r="I42" i="8" s="1"/>
  <c r="O43" i="7"/>
  <c r="G41" i="8"/>
  <c r="H41" i="8" s="1"/>
  <c r="I41" i="8" s="1"/>
  <c r="O42" i="7"/>
  <c r="G40" i="8"/>
  <c r="H40" i="8" s="1"/>
  <c r="I40" i="8" s="1"/>
  <c r="O41" i="7"/>
  <c r="G39" i="8"/>
  <c r="H39" i="8" s="1"/>
  <c r="I39" i="8" s="1"/>
  <c r="O40" i="7"/>
  <c r="G38" i="8"/>
  <c r="H38" i="8" s="1"/>
  <c r="I38" i="8" s="1"/>
  <c r="O39" i="7"/>
  <c r="G37" i="8"/>
  <c r="H37" i="8" s="1"/>
  <c r="I37" i="8" s="1"/>
  <c r="O38" i="7"/>
  <c r="G36" i="8"/>
  <c r="H36" i="8" s="1"/>
  <c r="I36" i="8" s="1"/>
  <c r="O37" i="7"/>
  <c r="G35" i="8"/>
  <c r="H35" i="8" s="1"/>
  <c r="I35" i="8" s="1"/>
  <c r="O36" i="7"/>
  <c r="G34" i="8"/>
  <c r="H34" i="8" s="1"/>
  <c r="I34" i="8" s="1"/>
  <c r="O35" i="7"/>
  <c r="G33" i="8"/>
  <c r="H33" i="8" s="1"/>
  <c r="I33" i="8" s="1"/>
  <c r="O34" i="7"/>
  <c r="G32" i="8"/>
  <c r="H32" i="8" s="1"/>
  <c r="I32" i="8" s="1"/>
  <c r="O33" i="7"/>
  <c r="G31" i="8"/>
  <c r="H31" i="8" s="1"/>
  <c r="I31" i="8" s="1"/>
  <c r="O32" i="7"/>
  <c r="G30" i="8"/>
  <c r="H30" i="8" s="1"/>
  <c r="I30" i="8" s="1"/>
  <c r="O31" i="7"/>
  <c r="G29" i="8"/>
  <c r="H29" i="8" s="1"/>
  <c r="I29" i="8" s="1"/>
  <c r="O30" i="7"/>
  <c r="G28" i="8"/>
  <c r="H28" i="8" s="1"/>
  <c r="I28" i="8" s="1"/>
  <c r="O29" i="7"/>
  <c r="G27" i="8"/>
  <c r="H27" i="8" s="1"/>
  <c r="I27" i="8" s="1"/>
  <c r="O28" i="7"/>
  <c r="G26" i="8"/>
  <c r="H26" i="8" s="1"/>
  <c r="I26" i="8" s="1"/>
  <c r="O27" i="7"/>
  <c r="G25" i="8"/>
  <c r="H25" i="8" s="1"/>
  <c r="I25" i="8" s="1"/>
  <c r="O26" i="7"/>
  <c r="G24" i="8"/>
  <c r="H24" i="8" s="1"/>
  <c r="I24" i="8" s="1"/>
  <c r="O25" i="7"/>
  <c r="G23" i="8"/>
  <c r="H23" i="8" s="1"/>
  <c r="I23" i="8" s="1"/>
  <c r="O24" i="7"/>
  <c r="G22" i="8"/>
  <c r="H22" i="8" s="1"/>
  <c r="I22" i="8" s="1"/>
  <c r="O23" i="7"/>
  <c r="G21" i="8"/>
  <c r="H21" i="8" s="1"/>
  <c r="I21" i="8" s="1"/>
  <c r="O22" i="7"/>
  <c r="G20" i="8"/>
  <c r="H20" i="8" s="1"/>
  <c r="I20" i="8" s="1"/>
  <c r="O21" i="7"/>
  <c r="G19" i="8"/>
  <c r="H19" i="8" s="1"/>
  <c r="I19" i="8" s="1"/>
  <c r="O20" i="7"/>
  <c r="G18" i="8"/>
  <c r="H18" i="8" s="1"/>
  <c r="I18" i="8" s="1"/>
  <c r="O19" i="7"/>
  <c r="G17" i="8"/>
  <c r="H17" i="8" s="1"/>
  <c r="I17" i="8" s="1"/>
  <c r="O18" i="7"/>
  <c r="G16" i="8"/>
  <c r="H16" i="8" s="1"/>
  <c r="I16" i="8" s="1"/>
  <c r="O17" i="7"/>
  <c r="G15" i="8"/>
  <c r="H15" i="8" s="1"/>
  <c r="I15" i="8" s="1"/>
  <c r="O16" i="7"/>
  <c r="G14" i="8"/>
  <c r="H14" i="8" s="1"/>
  <c r="I14" i="8" s="1"/>
  <c r="O15" i="7"/>
  <c r="G13" i="8"/>
  <c r="H13" i="8" s="1"/>
  <c r="I13" i="8" s="1"/>
  <c r="O14" i="7"/>
  <c r="G12" i="8"/>
  <c r="H12" i="8" s="1"/>
  <c r="I12" i="8" s="1"/>
  <c r="O13" i="7"/>
  <c r="G11" i="8"/>
  <c r="H11" i="8" s="1"/>
  <c r="I11" i="8" s="1"/>
  <c r="O12" i="7"/>
  <c r="G10" i="8"/>
  <c r="H10" i="8" s="1"/>
  <c r="I10" i="8" s="1"/>
  <c r="O11" i="7"/>
  <c r="G9" i="8"/>
  <c r="H9" i="8" s="1"/>
  <c r="I9" i="8" s="1"/>
  <c r="O10" i="7"/>
  <c r="G8" i="8"/>
  <c r="H8" i="8" s="1"/>
  <c r="I8" i="8" s="1"/>
  <c r="O9" i="7"/>
  <c r="G7" i="8"/>
  <c r="H7" i="8" s="1"/>
  <c r="I7" i="8" s="1"/>
  <c r="O8" i="7"/>
  <c r="G6" i="8"/>
  <c r="H6" i="8" s="1"/>
  <c r="I6" i="8" s="1"/>
  <c r="O7" i="7"/>
  <c r="G5" i="8"/>
  <c r="H5" i="8" s="1"/>
  <c r="I5" i="8" s="1"/>
  <c r="O6" i="7"/>
  <c r="O76" i="7" s="1"/>
  <c r="O79" i="7" s="1"/>
  <c r="O81" i="7" s="1"/>
  <c r="N76" i="7"/>
  <c r="N79" i="7" s="1"/>
  <c r="N81" i="7" s="1"/>
  <c r="G4" i="8"/>
  <c r="H4" i="8" l="1"/>
  <c r="G75" i="8"/>
  <c r="C4" i="15" s="1"/>
  <c r="I4" i="8" l="1"/>
  <c r="I75" i="8" s="1"/>
  <c r="H75" i="8"/>
  <c r="D4" i="15"/>
  <c r="C9" i="15"/>
  <c r="D9" i="15" s="1"/>
  <c r="C12" i="15"/>
  <c r="E12" i="15" s="1"/>
</calcChain>
</file>

<file path=xl/sharedStrings.xml><?xml version="1.0" encoding="utf-8"?>
<sst xmlns="http://schemas.openxmlformats.org/spreadsheetml/2006/main" count="12150" uniqueCount="1395">
  <si>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</si>
  <si>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</si>
  <si>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</si>
  <si>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</si>
  <si>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</si>
  <si>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</si>
  <si>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</si>
  <si>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</si>
  <si>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</si>
  <si>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5W</t>
  </si>
  <si>
    <t>4W</t>
  </si>
  <si>
    <t>3W</t>
  </si>
  <si>
    <t>2W</t>
  </si>
  <si>
    <t>1W</t>
  </si>
  <si>
    <t>26J</t>
  </si>
  <si>
    <t>12J</t>
  </si>
  <si>
    <t>10J</t>
  </si>
  <si>
    <t>9J</t>
  </si>
  <si>
    <t>7J</t>
  </si>
  <si>
    <t>6J</t>
  </si>
  <si>
    <t>4J</t>
  </si>
  <si>
    <t>3J</t>
  </si>
  <si>
    <t>2J</t>
  </si>
  <si>
    <t>1J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</si>
  <si>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</si>
  <si>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</si>
  <si>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</si>
  <si>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</si>
  <si>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</si>
  <si>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</si>
  <si>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</si>
  <si>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</si>
  <si>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</si>
  <si>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</si>
  <si>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</si>
  <si>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</si>
  <si>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</si>
  <si>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</si>
  <si>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</si>
  <si>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</si>
  <si>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specialist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</si>
  <si>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</si>
  <si>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</si>
  <si>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</si>
  <si>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</si>
  <si>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</si>
  <si>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</si>
  <si>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</si>
  <si>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</si>
  <si>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</si>
  <si>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</si>
  <si>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</si>
  <si>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</si>
  <si>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</si>
  <si>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</si>
  <si>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</si>
  <si>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</si>
  <si>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</si>
  <si>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</si>
  <si>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</si>
  <si>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</si>
  <si>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</si>
  <si>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</si>
  <si>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</si>
  <si>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</si>
  <si>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</si>
  <si>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</si>
  <si>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</si>
  <si>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</si>
  <si>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</si>
  <si>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</si>
  <si>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</si>
  <si>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</si>
  <si>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</si>
  <si>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</si>
  <si>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</si>
  <si>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</si>
  <si>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TARIEVEN REGULIER WERK</t>
  </si>
  <si>
    <t>Werkdag</t>
  </si>
  <si>
    <t>Weekend</t>
  </si>
  <si>
    <t>Feestdag</t>
  </si>
  <si>
    <t>Aandeel</t>
  </si>
  <si>
    <t>Tarief</t>
  </si>
  <si>
    <t>Gewogen tarief uitvoering</t>
  </si>
  <si>
    <t>Tarieven regulier werk</t>
  </si>
  <si>
    <t>TARIEVEN REGIE WERK</t>
  </si>
  <si>
    <t>Uurtarief regie werk</t>
  </si>
  <si>
    <t>Uurtarief regie specialistich</t>
  </si>
  <si>
    <t>Uurtarief specialistisch vloeronderhoud</t>
  </si>
  <si>
    <t>Uurtarief glasbewassing</t>
  </si>
  <si>
    <t>Uuirtarief medewerker bouwschoonmaak</t>
  </si>
  <si>
    <t>Uuirtarief mw specialitisch bouwschoonma</t>
  </si>
  <si>
    <t>Tarieven regie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</si>
  <si>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</si>
  <si>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</si>
  <si>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</si>
  <si>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</si>
  <si>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</si>
  <si>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</si>
  <si>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</si>
  <si>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</si>
  <si>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</si>
  <si>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BCHB</t>
  </si>
  <si>
    <t xml:space="preserve">B    </t>
  </si>
  <si>
    <t>Belcel harde vloer (basis)</t>
  </si>
  <si>
    <t>m²/uur</t>
  </si>
  <si>
    <t>BCHV</t>
  </si>
  <si>
    <t>Belcel harde vloer (volledig)</t>
  </si>
  <si>
    <t>BKHB</t>
  </si>
  <si>
    <t>Kantoorruimte hard (basis)</t>
  </si>
  <si>
    <t>BKHV</t>
  </si>
  <si>
    <t>Kantoorruimte hard (volledig)</t>
  </si>
  <si>
    <t>BKZB</t>
  </si>
  <si>
    <t>Kantoorruimte zacht (basis)</t>
  </si>
  <si>
    <t>BKZV</t>
  </si>
  <si>
    <t>Kantoorruimte zacht (volledig)</t>
  </si>
  <si>
    <t>BRHB</t>
  </si>
  <si>
    <t>Receptie/ontvangst/wachtruimte - hard (basis)</t>
  </si>
  <si>
    <t>BRHV</t>
  </si>
  <si>
    <t>Receptie/ontvangst/wachtruimte - hard (volledig)</t>
  </si>
  <si>
    <t>BVHB</t>
  </si>
  <si>
    <t>Spreek-/overleg-/vergaderruimte/studio hard (basis)</t>
  </si>
  <si>
    <t>BVHV</t>
  </si>
  <si>
    <t>Spreek-/overleg-/vergaderruimte/studio hard (volledig)</t>
  </si>
  <si>
    <t>BVZB</t>
  </si>
  <si>
    <t>Spreek-/overleg-/vergaderruimte/studio zacht (basis)</t>
  </si>
  <si>
    <t>BVZV</t>
  </si>
  <si>
    <t>Spreek-/overleg-/vergaderruimte/studio zacht (volledig)</t>
  </si>
  <si>
    <t>LAHB</t>
  </si>
  <si>
    <t>Laboratorium hard (basis)</t>
  </si>
  <si>
    <t>LAHV</t>
  </si>
  <si>
    <t>Laboratorium hard (volledig)</t>
  </si>
  <si>
    <t>BBHV</t>
  </si>
  <si>
    <t xml:space="preserve">H    </t>
  </si>
  <si>
    <t>Behandel/onderzoeksruimte - hard (volledig)</t>
  </si>
  <si>
    <t>VBHV</t>
  </si>
  <si>
    <t xml:space="preserve">NNT  </t>
  </si>
  <si>
    <t>Buitenterrein/ parkeerterrein (volledig)</t>
  </si>
  <si>
    <t>SDHB</t>
  </si>
  <si>
    <t xml:space="preserve">S    </t>
  </si>
  <si>
    <t>Doucheruimte hard (basis)</t>
  </si>
  <si>
    <t>SDHV</t>
  </si>
  <si>
    <t>Doucheruimte hard (volledig)</t>
  </si>
  <si>
    <t>SKHB</t>
  </si>
  <si>
    <t>Kleedruimte hard (basis)</t>
  </si>
  <si>
    <t>SKHV</t>
  </si>
  <si>
    <t>Kleedruimte hard (volledig)</t>
  </si>
  <si>
    <t>STHB</t>
  </si>
  <si>
    <t>Sanitaire ruimte/toiletten hard (basis)</t>
  </si>
  <si>
    <t>STHV</t>
  </si>
  <si>
    <t>Sanitaire ruimte/toiletten hard (volledig)</t>
  </si>
  <si>
    <t>SWHB</t>
  </si>
  <si>
    <t>Wasruimte hard (basis)</t>
  </si>
  <si>
    <t>SWHV</t>
  </si>
  <si>
    <t>Wasruimte hard (volledig)</t>
  </si>
  <si>
    <t>EAHB</t>
  </si>
  <si>
    <t xml:space="preserve">V    </t>
  </si>
  <si>
    <t>Werkplaats hard (verminder vloer) (basis)</t>
  </si>
  <si>
    <t>EAHV</t>
  </si>
  <si>
    <t>Werkplaats hard (verminder vloer) (volledig)</t>
  </si>
  <si>
    <t>ERHV</t>
  </si>
  <si>
    <t>Expositieruimte harde vloeren (volledig)</t>
  </si>
  <si>
    <t>MAHB</t>
  </si>
  <si>
    <t>Magazijn/berg-/opslagruimte hard (basis)</t>
  </si>
  <si>
    <t>MAHV</t>
  </si>
  <si>
    <t>Magazijn/berg-/opslagruimte hard (volledig)</t>
  </si>
  <si>
    <t>MAZV</t>
  </si>
  <si>
    <t>Magazijn/berg/opslagruimte hard (volledig)</t>
  </si>
  <si>
    <t>Magazijn/berg-/opslagruimte zacht (volledig)</t>
  </si>
  <si>
    <t>RKHB</t>
  </si>
  <si>
    <t>keuken  hard (basis)</t>
  </si>
  <si>
    <t>RKHV</t>
  </si>
  <si>
    <t>keuken  hard (volledig)</t>
  </si>
  <si>
    <t>RPHB</t>
  </si>
  <si>
    <t>Pantry/koffiehoek  hard (basis)</t>
  </si>
  <si>
    <t>RPHV</t>
  </si>
  <si>
    <t>Pantry/koffiehoek hard (volledig)</t>
  </si>
  <si>
    <t>RRHB</t>
  </si>
  <si>
    <t>Restaurant/kantine/verblijfsruimte hard (basis)</t>
  </si>
  <si>
    <t>RRHV</t>
  </si>
  <si>
    <t>Restaurant/kantine/verblijfsruimte hard (volledig)</t>
  </si>
  <si>
    <t>RRZB</t>
  </si>
  <si>
    <t>Restaurant/kantine/verblijfsruimte zacht (basis)</t>
  </si>
  <si>
    <t>RRZV</t>
  </si>
  <si>
    <t>Restaurant/kantine/verblijfsruimte zacht (volledig)</t>
  </si>
  <si>
    <t>VAHB</t>
  </si>
  <si>
    <t>Verkeersruimte algemeen  hard (basis)</t>
  </si>
  <si>
    <t>VAHV</t>
  </si>
  <si>
    <t>Verkeersruimte algemeen hard (volledig)</t>
  </si>
  <si>
    <t>VAZB</t>
  </si>
  <si>
    <t>Verkeersruimte algemeen zacht (basis)</t>
  </si>
  <si>
    <t>VAZV</t>
  </si>
  <si>
    <t>Verkeersruimte algemeen zacht (volledig)</t>
  </si>
  <si>
    <t>VEHB</t>
  </si>
  <si>
    <t>Entree hard (basis)</t>
  </si>
  <si>
    <t>VEHV</t>
  </si>
  <si>
    <t>Entree hard (volledig)</t>
  </si>
  <si>
    <t>VEZB</t>
  </si>
  <si>
    <t>Entree zachte vloeren (basis)</t>
  </si>
  <si>
    <t>VEZV</t>
  </si>
  <si>
    <t>Entree zachte vloeren (volledig)</t>
  </si>
  <si>
    <t>VLHB</t>
  </si>
  <si>
    <t>Lift hard (basis)</t>
  </si>
  <si>
    <t>VLHV</t>
  </si>
  <si>
    <t>Lift hard (volledig)</t>
  </si>
  <si>
    <t>VOHB</t>
  </si>
  <si>
    <t>Kopieer/printer-kluis-/locker/,garderoberuimten, reprografie (basis)</t>
  </si>
  <si>
    <t>VOHV</t>
  </si>
  <si>
    <t>Kopieer/printer-kluis-/locker/,garderoberuimten, reprografi (volledig)</t>
  </si>
  <si>
    <t>VOZB</t>
  </si>
  <si>
    <t>Kopieer/printer-kluis-/locker/,garderoberuimten, reprografi (basis)</t>
  </si>
  <si>
    <t>VOZV</t>
  </si>
  <si>
    <t>VRHV</t>
  </si>
  <si>
    <t>Technische ruimte hard (volledig)</t>
  </si>
  <si>
    <t>VTHB</t>
  </si>
  <si>
    <t>Trappenhuis/trap hard (basis)</t>
  </si>
  <si>
    <t>VTHV</t>
  </si>
  <si>
    <t>Trappenhuis/trap hard (volledig)</t>
  </si>
  <si>
    <t>VTZB</t>
  </si>
  <si>
    <t>Trappenhuis/trap zacht (basis)</t>
  </si>
  <si>
    <t>VTZV</t>
  </si>
  <si>
    <t>Trappenhuis/trap zacht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</si>
  <si>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</si>
  <si>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</si>
  <si>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</si>
  <si>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</si>
  <si>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</si>
  <si>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</si>
  <si>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</si>
  <si>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</si>
  <si>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BBH</t>
  </si>
  <si>
    <t>interieur</t>
  </si>
  <si>
    <t>Behandel-/onderzoeksruimte harde vloeren</t>
  </si>
  <si>
    <t>BCH</t>
  </si>
  <si>
    <t>Belcel harde vloer</t>
  </si>
  <si>
    <t>BKH</t>
  </si>
  <si>
    <t>Kantoorruimte harde vloer</t>
  </si>
  <si>
    <t>BKZ</t>
  </si>
  <si>
    <t>Kantoorruimte zachte vloer</t>
  </si>
  <si>
    <t>BRH</t>
  </si>
  <si>
    <t>Receptie/ontvangst-/wachtruimte harde vloer</t>
  </si>
  <si>
    <t>BVH</t>
  </si>
  <si>
    <t>Spreek-/overleg-/vergaderruimte/studio harde vloer</t>
  </si>
  <si>
    <t>BVZ</t>
  </si>
  <si>
    <t>Spreek-/overleg-/vergaderruimte/studio zachte vloer</t>
  </si>
  <si>
    <t>EAH</t>
  </si>
  <si>
    <t>Werkplaats harde vloer</t>
  </si>
  <si>
    <t>ERH</t>
  </si>
  <si>
    <t>Expositie ruimte harde vloer</t>
  </si>
  <si>
    <t>LAH</t>
  </si>
  <si>
    <t>Laboratorium harde vloer</t>
  </si>
  <si>
    <t>MAH</t>
  </si>
  <si>
    <t>Magazijn-/ berg-/opslagruimte harde vloer</t>
  </si>
  <si>
    <t>RKH</t>
  </si>
  <si>
    <t>Keuken harde vloer</t>
  </si>
  <si>
    <t>RPH</t>
  </si>
  <si>
    <t>Pantry/koffiehoek harde vloer</t>
  </si>
  <si>
    <t>RRH</t>
  </si>
  <si>
    <t>Restaurant/kantine/verblijfsruimte harde vloer</t>
  </si>
  <si>
    <t>RRZ</t>
  </si>
  <si>
    <t>Restaurant/kantine/verblijfsruimte zachte vloer</t>
  </si>
  <si>
    <t>SDH</t>
  </si>
  <si>
    <t>Douche/wasruimte harde vloer</t>
  </si>
  <si>
    <t>SDHN</t>
  </si>
  <si>
    <t>Naloop douche/wasruimte harde vloer</t>
  </si>
  <si>
    <t>SKH</t>
  </si>
  <si>
    <t>Kleedruimte harde vloer</t>
  </si>
  <si>
    <t>STH</t>
  </si>
  <si>
    <t>Sanitaire ruimte/toiletten harde vloer</t>
  </si>
  <si>
    <t>STHN</t>
  </si>
  <si>
    <t>Sanitaire ruimte/toiletten harde vloer naloop</t>
  </si>
  <si>
    <t>SWH</t>
  </si>
  <si>
    <t>Wasruimte harde vloer</t>
  </si>
  <si>
    <t>VAH</t>
  </si>
  <si>
    <t>Verkeersruimte algemeen harde vloer</t>
  </si>
  <si>
    <t>VAZ</t>
  </si>
  <si>
    <t>Verkeersruimte algemeen zachte vloer</t>
  </si>
  <si>
    <t>VBH</t>
  </si>
  <si>
    <t>Buitenterrein/ parkeerplaats</t>
  </si>
  <si>
    <t>VEH</t>
  </si>
  <si>
    <t>Entree harde vloer</t>
  </si>
  <si>
    <t>VEZ</t>
  </si>
  <si>
    <t>Entree zachte vloer</t>
  </si>
  <si>
    <t>VLH</t>
  </si>
  <si>
    <t>Lift harde vloer</t>
  </si>
  <si>
    <t>VOH</t>
  </si>
  <si>
    <t>Kopieer/printer ruimten, reprografie, garderoberuimten, kluisjesruimte</t>
  </si>
  <si>
    <t>VOZ</t>
  </si>
  <si>
    <t>VRH</t>
  </si>
  <si>
    <t>Technische ruimte harde vloeren</t>
  </si>
  <si>
    <t>VTH</t>
  </si>
  <si>
    <t>Trappenhuis harde vloer</t>
  </si>
  <si>
    <t>VTZ</t>
  </si>
  <si>
    <t>Trappenhuis zachte vloer</t>
  </si>
  <si>
    <t>Z301</t>
  </si>
  <si>
    <t>Terras reinigen Kantoor Apeldoorn</t>
  </si>
  <si>
    <t>Z401</t>
  </si>
  <si>
    <t>Dieptereiniging keuken/spoelkeuken</t>
  </si>
  <si>
    <t>Z002</t>
  </si>
  <si>
    <t>extra</t>
  </si>
  <si>
    <t>Koffiezet apparaat reinigen</t>
  </si>
  <si>
    <t>min./stuk</t>
  </si>
  <si>
    <t>Z101</t>
  </si>
  <si>
    <t>Koelkast reinigen</t>
  </si>
  <si>
    <t>Z201</t>
  </si>
  <si>
    <t>Vaatwasmachine in- en uitruimen</t>
  </si>
  <si>
    <t>Z600</t>
  </si>
  <si>
    <t>Bedieningsruimte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</si>
  <si>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</si>
  <si>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</si>
  <si>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</si>
  <si>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</si>
  <si>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</si>
  <si>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</si>
  <si>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</si>
  <si>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HOTELNR</t>
  </si>
  <si>
    <t>RUIMTENAAM</t>
  </si>
  <si>
    <t>VLOER</t>
  </si>
  <si>
    <t>WERK-SOORT</t>
  </si>
  <si>
    <t>DAG-KRACHT</t>
  </si>
  <si>
    <t>0001 - Hoofdkantoor Apeldoorn, Steenbokstraat 10, Apeldoorn</t>
  </si>
  <si>
    <t>0001</t>
  </si>
  <si>
    <t>00</t>
  </si>
  <si>
    <t>0.01</t>
  </si>
  <si>
    <t>Tourniquet</t>
  </si>
  <si>
    <t>tapijt</t>
  </si>
  <si>
    <t>0.02</t>
  </si>
  <si>
    <t>Centrale hal</t>
  </si>
  <si>
    <t>marmer</t>
  </si>
  <si>
    <t>0.03</t>
  </si>
  <si>
    <t>Receptie</t>
  </si>
  <si>
    <t>linoleum</t>
  </si>
  <si>
    <t>0.04</t>
  </si>
  <si>
    <t>Garderobe</t>
  </si>
  <si>
    <t>0.05</t>
  </si>
  <si>
    <t>Gang</t>
  </si>
  <si>
    <t>0.06</t>
  </si>
  <si>
    <t>Vergaderruimte</t>
  </si>
  <si>
    <t>0.07</t>
  </si>
  <si>
    <t>0.08</t>
  </si>
  <si>
    <t>Portaal</t>
  </si>
  <si>
    <t>betontegel</t>
  </si>
  <si>
    <t>0.09</t>
  </si>
  <si>
    <t>Noodentree</t>
  </si>
  <si>
    <t>0.10</t>
  </si>
  <si>
    <t>Traphal</t>
  </si>
  <si>
    <t>gietvloer</t>
  </si>
  <si>
    <t>0.11</t>
  </si>
  <si>
    <t>Trap BG-1</t>
  </si>
  <si>
    <t>0.12</t>
  </si>
  <si>
    <t>0.13</t>
  </si>
  <si>
    <t>0.14</t>
  </si>
  <si>
    <t>Vergaderzaal</t>
  </si>
  <si>
    <t>0.15</t>
  </si>
  <si>
    <t>0.15a</t>
  </si>
  <si>
    <t>Pantry</t>
  </si>
  <si>
    <t>0.16</t>
  </si>
  <si>
    <t>0.17</t>
  </si>
  <si>
    <t>hout</t>
  </si>
  <si>
    <t>0.18</t>
  </si>
  <si>
    <t>Toiletgroep heren</t>
  </si>
  <si>
    <t>0.19</t>
  </si>
  <si>
    <t>Lift</t>
  </si>
  <si>
    <t>0.20</t>
  </si>
  <si>
    <t>Toiletgroep dames</t>
  </si>
  <si>
    <t>0.21</t>
  </si>
  <si>
    <t>Miva toilet</t>
  </si>
  <si>
    <t>0.22</t>
  </si>
  <si>
    <t>Spoelkeuken</t>
  </si>
  <si>
    <t>tegels</t>
  </si>
  <si>
    <t>0.23</t>
  </si>
  <si>
    <t>Keuken</t>
  </si>
  <si>
    <t>0.24</t>
  </si>
  <si>
    <t>Restaurant - werkcafe</t>
  </si>
  <si>
    <t>0.24A</t>
  </si>
  <si>
    <t>Buitenterras Restaurant - werkcafe</t>
  </si>
  <si>
    <t>steen</t>
  </si>
  <si>
    <t>0.25</t>
  </si>
  <si>
    <t>Werkcafe</t>
  </si>
  <si>
    <t>pvc</t>
  </si>
  <si>
    <t>0.26</t>
  </si>
  <si>
    <t>Kantoortuin</t>
  </si>
  <si>
    <t>0.27</t>
  </si>
  <si>
    <t>0.27a</t>
  </si>
  <si>
    <t>Call cell</t>
  </si>
  <si>
    <t>0.27b</t>
  </si>
  <si>
    <t>0.28</t>
  </si>
  <si>
    <t>Reproruimte</t>
  </si>
  <si>
    <t>0.30</t>
  </si>
  <si>
    <t>Personeelskamer</t>
  </si>
  <si>
    <t>0.31</t>
  </si>
  <si>
    <t>0.32</t>
  </si>
  <si>
    <t>0.33</t>
  </si>
  <si>
    <t>Kantoor</t>
  </si>
  <si>
    <t>0.34</t>
  </si>
  <si>
    <t>Overlegruimte</t>
  </si>
  <si>
    <t>0.35</t>
  </si>
  <si>
    <t>0.36</t>
  </si>
  <si>
    <t>0.37</t>
  </si>
  <si>
    <t>0.38</t>
  </si>
  <si>
    <t>0.39</t>
  </si>
  <si>
    <t>0.40</t>
  </si>
  <si>
    <t>0.41</t>
  </si>
  <si>
    <t>Kleedruimte heren</t>
  </si>
  <si>
    <t>0.42</t>
  </si>
  <si>
    <t>Douche</t>
  </si>
  <si>
    <t>0.43</t>
  </si>
  <si>
    <t>0.44</t>
  </si>
  <si>
    <t>0.48</t>
  </si>
  <si>
    <t>Kleedruimte dames</t>
  </si>
  <si>
    <t>0.49</t>
  </si>
  <si>
    <t>0.50</t>
  </si>
  <si>
    <t>0.51</t>
  </si>
  <si>
    <t>0.52</t>
  </si>
  <si>
    <t>0.54</t>
  </si>
  <si>
    <t>01</t>
  </si>
  <si>
    <t>1.01</t>
  </si>
  <si>
    <t>1.02</t>
  </si>
  <si>
    <t>Trap 1-2</t>
  </si>
  <si>
    <t>1.03</t>
  </si>
  <si>
    <t>1.04</t>
  </si>
  <si>
    <t>1.05</t>
  </si>
  <si>
    <t>1.06</t>
  </si>
  <si>
    <t>Directie secr.</t>
  </si>
  <si>
    <t>1.07</t>
  </si>
  <si>
    <t>1.08</t>
  </si>
  <si>
    <t>1.09</t>
  </si>
  <si>
    <t>1.10</t>
  </si>
  <si>
    <t>1.10a</t>
  </si>
  <si>
    <t>1.11</t>
  </si>
  <si>
    <t>1.12</t>
  </si>
  <si>
    <t>1.13</t>
  </si>
  <si>
    <t>Vergaderruimte 8</t>
  </si>
  <si>
    <t>1.14</t>
  </si>
  <si>
    <t>1.15</t>
  </si>
  <si>
    <t>Vergaderruimte dijkgraaf</t>
  </si>
  <si>
    <t>1.16</t>
  </si>
  <si>
    <t>1.17</t>
  </si>
  <si>
    <t>1.17a</t>
  </si>
  <si>
    <t>1.17b</t>
  </si>
  <si>
    <t>1.18</t>
  </si>
  <si>
    <t>1.18a</t>
  </si>
  <si>
    <t>1.18b</t>
  </si>
  <si>
    <t>1.19</t>
  </si>
  <si>
    <t>1.20</t>
  </si>
  <si>
    <t>1.22</t>
  </si>
  <si>
    <t>1.23</t>
  </si>
  <si>
    <t>1.24</t>
  </si>
  <si>
    <t>1.25</t>
  </si>
  <si>
    <t>1.25a</t>
  </si>
  <si>
    <t>1.25b</t>
  </si>
  <si>
    <t>1.26</t>
  </si>
  <si>
    <t>1.27</t>
  </si>
  <si>
    <t>1.28</t>
  </si>
  <si>
    <t>Hal</t>
  </si>
  <si>
    <t>1.29</t>
  </si>
  <si>
    <t>1.30</t>
  </si>
  <si>
    <t>1.31</t>
  </si>
  <si>
    <t>1.32</t>
  </si>
  <si>
    <t>1.33</t>
  </si>
  <si>
    <t>1.34</t>
  </si>
  <si>
    <t>1.35</t>
  </si>
  <si>
    <t>02</t>
  </si>
  <si>
    <t>2.01</t>
  </si>
  <si>
    <t>2.02</t>
  </si>
  <si>
    <t>Trap 2-3</t>
  </si>
  <si>
    <t>2.03</t>
  </si>
  <si>
    <t>2.04</t>
  </si>
  <si>
    <t>2.05</t>
  </si>
  <si>
    <t>2.06</t>
  </si>
  <si>
    <t>2.07</t>
  </si>
  <si>
    <t>2.07a</t>
  </si>
  <si>
    <t>2.07b</t>
  </si>
  <si>
    <t>2.08</t>
  </si>
  <si>
    <t>2.09</t>
  </si>
  <si>
    <t>Test ICT</t>
  </si>
  <si>
    <t>2.10</t>
  </si>
  <si>
    <t>2.11</t>
  </si>
  <si>
    <t>2.12</t>
  </si>
  <si>
    <t>2.12a</t>
  </si>
  <si>
    <t>2.13</t>
  </si>
  <si>
    <t>2.14</t>
  </si>
  <si>
    <t>2.15</t>
  </si>
  <si>
    <t>2.16</t>
  </si>
  <si>
    <t>2.16a</t>
  </si>
  <si>
    <t>2.16b</t>
  </si>
  <si>
    <t>2.17</t>
  </si>
  <si>
    <t>2.19</t>
  </si>
  <si>
    <t>2.20</t>
  </si>
  <si>
    <t>2.21</t>
  </si>
  <si>
    <t>2.23</t>
  </si>
  <si>
    <t>2.24</t>
  </si>
  <si>
    <t>2.25</t>
  </si>
  <si>
    <t>2.26</t>
  </si>
  <si>
    <t>2.27</t>
  </si>
  <si>
    <t>2.28</t>
  </si>
  <si>
    <t>2.29</t>
  </si>
  <si>
    <t>2.29a</t>
  </si>
  <si>
    <t>2.29b</t>
  </si>
  <si>
    <t>2.30</t>
  </si>
  <si>
    <t>2.31</t>
  </si>
  <si>
    <t>2.32</t>
  </si>
  <si>
    <t>2.33</t>
  </si>
  <si>
    <t>2.34</t>
  </si>
  <si>
    <t>2.35</t>
  </si>
  <si>
    <t>2.36</t>
  </si>
  <si>
    <t>03</t>
  </si>
  <si>
    <t>3.01</t>
  </si>
  <si>
    <t>3.02</t>
  </si>
  <si>
    <t>3.05</t>
  </si>
  <si>
    <t>3.05a</t>
  </si>
  <si>
    <t>3.05b</t>
  </si>
  <si>
    <t>3.06</t>
  </si>
  <si>
    <t>3.07</t>
  </si>
  <si>
    <t>3.08</t>
  </si>
  <si>
    <t>3.09</t>
  </si>
  <si>
    <t>3.10</t>
  </si>
  <si>
    <t>3.11</t>
  </si>
  <si>
    <t>3.12</t>
  </si>
  <si>
    <t>3.13</t>
  </si>
  <si>
    <t>3.14</t>
  </si>
  <si>
    <t>3.15</t>
  </si>
  <si>
    <t>3.16</t>
  </si>
  <si>
    <t>3.17</t>
  </si>
  <si>
    <t>Voorportaal rookruimte</t>
  </si>
  <si>
    <t>straattegel</t>
  </si>
  <si>
    <t>3.18</t>
  </si>
  <si>
    <t>Rookruimte</t>
  </si>
  <si>
    <t>3.20</t>
  </si>
  <si>
    <t>3.20a</t>
  </si>
  <si>
    <t>3.20b</t>
  </si>
  <si>
    <t>3.21</t>
  </si>
  <si>
    <t>3.23</t>
  </si>
  <si>
    <t>3.24</t>
  </si>
  <si>
    <t>3.25</t>
  </si>
  <si>
    <t>3.25a</t>
  </si>
  <si>
    <t>3.26</t>
  </si>
  <si>
    <t>3.27</t>
  </si>
  <si>
    <t>3.28</t>
  </si>
  <si>
    <t>3.29</t>
  </si>
  <si>
    <t>3.30</t>
  </si>
  <si>
    <t>3.31</t>
  </si>
  <si>
    <t>3.32</t>
  </si>
  <si>
    <t>3.33</t>
  </si>
  <si>
    <t>XTRA</t>
  </si>
  <si>
    <t>Extra werkzaamheden</t>
  </si>
  <si>
    <t>Totaal werkdag</t>
  </si>
  <si>
    <t>0002 - Kantoor Apeldoorn, Steenbokstraat 21, Apeldoorn</t>
  </si>
  <si>
    <t>0002</t>
  </si>
  <si>
    <t>Entree hoodingang</t>
  </si>
  <si>
    <t>centrale hal</t>
  </si>
  <si>
    <t>lift</t>
  </si>
  <si>
    <t>gang links</t>
  </si>
  <si>
    <t>lino</t>
  </si>
  <si>
    <t>trap Links</t>
  </si>
  <si>
    <t>Sanitair</t>
  </si>
  <si>
    <t>MIVA+ Douche</t>
  </si>
  <si>
    <t>Trap rechts</t>
  </si>
  <si>
    <t>garderobe</t>
  </si>
  <si>
    <t>Berging</t>
  </si>
  <si>
    <t>Trap 1e/2e</t>
  </si>
  <si>
    <t>Verkeersruimte</t>
  </si>
  <si>
    <t>Ds toilet</t>
  </si>
  <si>
    <t>tegel</t>
  </si>
  <si>
    <t>Garderobe toilet</t>
  </si>
  <si>
    <t>Hr toilet</t>
  </si>
  <si>
    <t>Traphal 2e</t>
  </si>
  <si>
    <t>1001 - RWZI Amersfoort, Neonweg 30, Amersfoort</t>
  </si>
  <si>
    <t>1001</t>
  </si>
  <si>
    <t>B0.01</t>
  </si>
  <si>
    <t>archief</t>
  </si>
  <si>
    <t>B0.02</t>
  </si>
  <si>
    <t>Werkplaats</t>
  </si>
  <si>
    <t>B0.03</t>
  </si>
  <si>
    <t>Onderzoeksruimte</t>
  </si>
  <si>
    <t>Z005</t>
  </si>
  <si>
    <t>B0.04</t>
  </si>
  <si>
    <t>kantoorruimte</t>
  </si>
  <si>
    <t>B0.05</t>
  </si>
  <si>
    <t>Kantine</t>
  </si>
  <si>
    <t>B0.06</t>
  </si>
  <si>
    <t>S0.01</t>
  </si>
  <si>
    <t>toilet</t>
  </si>
  <si>
    <t>S0.02</t>
  </si>
  <si>
    <t>S0.03</t>
  </si>
  <si>
    <t>S0.04</t>
  </si>
  <si>
    <t>wasruimte</t>
  </si>
  <si>
    <t>S0.05</t>
  </si>
  <si>
    <t>kleedruimte</t>
  </si>
  <si>
    <t>S0.06</t>
  </si>
  <si>
    <t>Kleedruimte</t>
  </si>
  <si>
    <t>V0.01</t>
  </si>
  <si>
    <t>Entree</t>
  </si>
  <si>
    <t>coral</t>
  </si>
  <si>
    <t>V0.02</t>
  </si>
  <si>
    <t>V0.03</t>
  </si>
  <si>
    <t>trappenhuis</t>
  </si>
  <si>
    <t>natuursteen</t>
  </si>
  <si>
    <t>V0.04</t>
  </si>
  <si>
    <t>V0.05</t>
  </si>
  <si>
    <t>B1.01</t>
  </si>
  <si>
    <t>presentatieruimte</t>
  </si>
  <si>
    <t>B1.02a</t>
  </si>
  <si>
    <t>Werkruimte</t>
  </si>
  <si>
    <t>B1.03</t>
  </si>
  <si>
    <t>B1.04</t>
  </si>
  <si>
    <t>B1.05</t>
  </si>
  <si>
    <t>B1.06</t>
  </si>
  <si>
    <t>S1.01</t>
  </si>
  <si>
    <t>V1.01</t>
  </si>
  <si>
    <t>V1.02</t>
  </si>
  <si>
    <t>ENGG</t>
  </si>
  <si>
    <t>S0.07</t>
  </si>
  <si>
    <t>chauffeurstoilet</t>
  </si>
  <si>
    <t>S0.08</t>
  </si>
  <si>
    <t>Toilet</t>
  </si>
  <si>
    <t>1011 - RWZI Apeldoorn Bedrijfsgebouw 1, Stadhoudersmolenweg 40, Apeldoorn</t>
  </si>
  <si>
    <t>1011</t>
  </si>
  <si>
    <t>Kantoorruimte</t>
  </si>
  <si>
    <t>Doucheruimte</t>
  </si>
  <si>
    <t>inloopmat</t>
  </si>
  <si>
    <t>Laboratorium</t>
  </si>
  <si>
    <t>Garderobe/repro</t>
  </si>
  <si>
    <t>BIJG</t>
  </si>
  <si>
    <t>Toilet Bedrijfsgebouw 3</t>
  </si>
  <si>
    <t>Wastafelruimte Bedrijfsgebouw 3</t>
  </si>
  <si>
    <t>1012 - RWZI Apeldoorn Bedrijfsgebouw 2, Stadhoudersmolenweg 40, Apeldoorn</t>
  </si>
  <si>
    <t>1012</t>
  </si>
  <si>
    <t>Trap</t>
  </si>
  <si>
    <t>rubbernoppen</t>
  </si>
  <si>
    <t>0.03b</t>
  </si>
  <si>
    <t>Monsterlokaal</t>
  </si>
  <si>
    <t>beton</t>
  </si>
  <si>
    <t>gietvloer (ruw)</t>
  </si>
  <si>
    <t>1.04b</t>
  </si>
  <si>
    <t>Urinoir</t>
  </si>
  <si>
    <t>1.04c</t>
  </si>
  <si>
    <t>Toilet heren</t>
  </si>
  <si>
    <t>1.04d</t>
  </si>
  <si>
    <t>Toilet dames</t>
  </si>
  <si>
    <t>Wasruimte</t>
  </si>
  <si>
    <t>1.07a</t>
  </si>
  <si>
    <t>Trapje</t>
  </si>
  <si>
    <t>rubber</t>
  </si>
  <si>
    <t>computervloer</t>
  </si>
  <si>
    <t>Controlekamer</t>
  </si>
  <si>
    <t>1014 - RWZI Apeldoorn Portiersgebouw, Stadhoudersmolenweg 40, Apeldoorn</t>
  </si>
  <si>
    <t>1014</t>
  </si>
  <si>
    <t>Monsterruimte</t>
  </si>
  <si>
    <t>1015 - RWZI Apeldoorn Slibontvanger, Stadhoudersmolenweg 40, Apeldoorn</t>
  </si>
  <si>
    <t>1015</t>
  </si>
  <si>
    <t>1021 - RWZI Bennekom, Langesteeg 3, Bennekom</t>
  </si>
  <si>
    <t>1021</t>
  </si>
  <si>
    <t>Kantine/Vergaderruimte</t>
  </si>
  <si>
    <t>Trappenhuis</t>
  </si>
  <si>
    <t>1031 - RWZI Brummen, Holthuizerweg 14, Brummen</t>
  </si>
  <si>
    <t>1031</t>
  </si>
  <si>
    <t>Toiletruimte</t>
  </si>
  <si>
    <t>1041 - RWZI Ede, Dwarsweg 5, Ede</t>
  </si>
  <si>
    <t>1041</t>
  </si>
  <si>
    <t>staal</t>
  </si>
  <si>
    <t>beton/coating</t>
  </si>
  <si>
    <t>Verkeersruimten</t>
  </si>
  <si>
    <t>Balkon buiten</t>
  </si>
  <si>
    <t>Buitentoilet</t>
  </si>
  <si>
    <t>1042 - RWZI Ede Voorlichtingsgebouw, Dwarsweg 13, Ede</t>
  </si>
  <si>
    <t>1042</t>
  </si>
  <si>
    <t>Presentatieruimte</t>
  </si>
  <si>
    <t>CV ruimte</t>
  </si>
  <si>
    <t>1051 - RWZI Elburg, Industriestraat 31, Elburg</t>
  </si>
  <si>
    <t>1051</t>
  </si>
  <si>
    <t>Administratieve ruimte</t>
  </si>
  <si>
    <t>Was/kleedruimte</t>
  </si>
  <si>
    <t>Bedrijfsruimte</t>
  </si>
  <si>
    <t>1061 - RWZI Epe, Hammerstraat 40, Epe</t>
  </si>
  <si>
    <t>1061</t>
  </si>
  <si>
    <t>0.01a</t>
  </si>
  <si>
    <t>dhgt</t>
  </si>
  <si>
    <t>0.01b</t>
  </si>
  <si>
    <t>roostervloer</t>
  </si>
  <si>
    <t>Halletje</t>
  </si>
  <si>
    <t>Toilet/urinoir</t>
  </si>
  <si>
    <t>0.12a</t>
  </si>
  <si>
    <t>Gang/garderobe</t>
  </si>
  <si>
    <t>0.12b</t>
  </si>
  <si>
    <t>Gang/hal</t>
  </si>
  <si>
    <t>Kantoorruimte/vergaderruimte</t>
  </si>
  <si>
    <t>Gang met zitje</t>
  </si>
  <si>
    <t>1071 - RWZI Harderwijk, Lorentzstraat 5, Harderwijk</t>
  </si>
  <si>
    <t>1071</t>
  </si>
  <si>
    <t>Technische ruimte</t>
  </si>
  <si>
    <t>V0.11</t>
  </si>
  <si>
    <t>Voorlichtingsgebouw, Voorlichtingsruimte</t>
  </si>
  <si>
    <t>V0.12</t>
  </si>
  <si>
    <t>Voorlichtingsgebouw, Pantry</t>
  </si>
  <si>
    <t>V0.13</t>
  </si>
  <si>
    <t>Voorlichtingsgebouw, Hal</t>
  </si>
  <si>
    <t>V0.14</t>
  </si>
  <si>
    <t>Voorlichtingsgebouw, Voorportaal</t>
  </si>
  <si>
    <t>V0.15</t>
  </si>
  <si>
    <t>Voorlichtingsgebouw, Toiletten</t>
  </si>
  <si>
    <t>1081 - RWZI Hattem, Hilsdijk 106, Hattem</t>
  </si>
  <si>
    <t>1081</t>
  </si>
  <si>
    <t>Voorruimte</t>
  </si>
  <si>
    <t>1091 - RWZI Heerde, Postweg 39, Heerde</t>
  </si>
  <si>
    <t>1091</t>
  </si>
  <si>
    <t>Proces-controleruimte</t>
  </si>
  <si>
    <t>Toilet/doucheruimte</t>
  </si>
  <si>
    <t>1101 - RWZI Nijkerk, Ambachtsstraat 6, Nijkerk</t>
  </si>
  <si>
    <t>1101</t>
  </si>
  <si>
    <t>beton/steen</t>
  </si>
  <si>
    <t>Stookruimte</t>
  </si>
  <si>
    <t>1111 - RWZI Renkum, Bokkedijk 2, Renkum</t>
  </si>
  <si>
    <t>1111</t>
  </si>
  <si>
    <t>Archief</t>
  </si>
  <si>
    <t>1121 - RWZI Soest, Maatweg 10, Soest</t>
  </si>
  <si>
    <t>1121</t>
  </si>
  <si>
    <t>Entree buiten</t>
  </si>
  <si>
    <t>Toilet/douche</t>
  </si>
  <si>
    <t>Computerruimte</t>
  </si>
  <si>
    <t>1131 - RWZI Terwolde, Bandijk 3, Terwolde</t>
  </si>
  <si>
    <t>1131</t>
  </si>
  <si>
    <t>Labratorium</t>
  </si>
  <si>
    <t>Douche ruimte</t>
  </si>
  <si>
    <t>0.29</t>
  </si>
  <si>
    <t>0.29a</t>
  </si>
  <si>
    <t>0.29b</t>
  </si>
  <si>
    <t>0.29c</t>
  </si>
  <si>
    <t>Kopieruimte</t>
  </si>
  <si>
    <t>0.29d</t>
  </si>
  <si>
    <t>Extra werkzaamheden Kantine</t>
  </si>
  <si>
    <t>1141 - RWZI Veenendaal, Slaperdijk 2a, Veenendaal</t>
  </si>
  <si>
    <t>1141</t>
  </si>
  <si>
    <t>-1</t>
  </si>
  <si>
    <t>-1.01</t>
  </si>
  <si>
    <t>Pompenruimte</t>
  </si>
  <si>
    <t>-1.02</t>
  </si>
  <si>
    <t>-1.03</t>
  </si>
  <si>
    <t>Kantine/werkplaats</t>
  </si>
  <si>
    <t>0.05a</t>
  </si>
  <si>
    <t>0.05b</t>
  </si>
  <si>
    <t>Werkplek</t>
  </si>
  <si>
    <t>1151 - RWZI Woudenberg, Zegheweg 38, Woudenberg</t>
  </si>
  <si>
    <t>1151</t>
  </si>
  <si>
    <t>1161 - De Taats, Grebbedijk 57, Wageningen</t>
  </si>
  <si>
    <t>1161</t>
  </si>
  <si>
    <t>Entree/hal</t>
  </si>
  <si>
    <t>Toiletten</t>
  </si>
  <si>
    <t>Belcel</t>
  </si>
  <si>
    <t>0.07a</t>
  </si>
  <si>
    <t>1.03a</t>
  </si>
  <si>
    <t>Koffie apparaat</t>
  </si>
  <si>
    <t>2011 - Gemaal De Haar, Zuidereind 9, Baarn</t>
  </si>
  <si>
    <t>2011</t>
  </si>
  <si>
    <t>2021 - Gemaal Zeldert, Zuidereind 35, Baarn</t>
  </si>
  <si>
    <t>2021</t>
  </si>
  <si>
    <t>2041 - Gemaal Veendijk, Oostdijk 1, Bunschoten-Spakenburg</t>
  </si>
  <si>
    <t>2041</t>
  </si>
  <si>
    <t>2051 - Gemaal Westdijk, Westdijk 1, Bunschoten-Spakenburg</t>
  </si>
  <si>
    <t>2051</t>
  </si>
  <si>
    <t>2061 - Gemaal Tydeman, Eemweg 47, Eemnes</t>
  </si>
  <si>
    <t>2061</t>
  </si>
  <si>
    <t>2071 - Gemaal Eemnes, Korte Maasweg 5, Eemnes</t>
  </si>
  <si>
    <t>2071</t>
  </si>
  <si>
    <t>Expositieruimte</t>
  </si>
  <si>
    <t>2091 - Gemaal Malesluis, Slaagseweg 1, Hoogland</t>
  </si>
  <si>
    <t>2091</t>
  </si>
  <si>
    <t>2111 - Gemaal Putten, Arlersteeg 30, Putten</t>
  </si>
  <si>
    <t>2111</t>
  </si>
  <si>
    <t>2121 - Gemaal Grote Melm, Korte Melmweg 1, Soest</t>
  </si>
  <si>
    <t>2121</t>
  </si>
  <si>
    <t>2151 - Gemaal Veluwe, Weverdijk 4, Wapenveld</t>
  </si>
  <si>
    <t>2151</t>
  </si>
  <si>
    <t>Kantine/Keuken</t>
  </si>
  <si>
    <t>Opslag</t>
  </si>
  <si>
    <t>2181 - Steunpunt Gemaal De Wenden, Kleine Woldweg 38a, Noordeinde</t>
  </si>
  <si>
    <t>2181</t>
  </si>
  <si>
    <t>Entreehal</t>
  </si>
  <si>
    <t>metaal</t>
  </si>
  <si>
    <t>Kleedkamer</t>
  </si>
  <si>
    <t>Sanitaire ruimte</t>
  </si>
  <si>
    <t>Spreekruimte</t>
  </si>
  <si>
    <t>2191 - Vlijtsekade 221, Vlijtsekade 221, Apeldoorn</t>
  </si>
  <si>
    <t>2191</t>
  </si>
  <si>
    <t>0.1</t>
  </si>
  <si>
    <t>0.2</t>
  </si>
  <si>
    <t>0.3</t>
  </si>
  <si>
    <t>0.4</t>
  </si>
  <si>
    <t>0.5</t>
  </si>
  <si>
    <t>3001 - Steunpunt Kleine Gat, Zuidereind 11a, Baarn</t>
  </si>
  <si>
    <t>3001</t>
  </si>
  <si>
    <t>Kleed/ urinoir</t>
  </si>
  <si>
    <t>Werkkast/ wasruimte</t>
  </si>
  <si>
    <t>Magazijn</t>
  </si>
  <si>
    <t>Printerhoek</t>
  </si>
  <si>
    <t>Overloop</t>
  </si>
  <si>
    <t>EXTRA</t>
  </si>
  <si>
    <t>3011 - Steunpunt Kallenbroek, Otelaarseweg 11, Barneveld</t>
  </si>
  <si>
    <t>3011</t>
  </si>
  <si>
    <t>Vergaderruimte voorzijde</t>
  </si>
  <si>
    <t>Vergaderruimte achterzijde</t>
  </si>
  <si>
    <t>rubber noppen</t>
  </si>
  <si>
    <t>Miva</t>
  </si>
  <si>
    <t>Toilet Dames</t>
  </si>
  <si>
    <t>Toilet Heren</t>
  </si>
  <si>
    <t>Repro (open)</t>
  </si>
  <si>
    <t>Kantoor 1 (8wp+vergader)</t>
  </si>
  <si>
    <t>Kantoor (8wp)</t>
  </si>
  <si>
    <t>Kantoor 2 (3wp)</t>
  </si>
  <si>
    <t>3021 - Loods De Roode Haan, Kooiweg 10, Renswoude</t>
  </si>
  <si>
    <t>3021</t>
  </si>
  <si>
    <t>3031 - Steunpunt Twello, Voordersteeg 1, Twello</t>
  </si>
  <si>
    <t>3031</t>
  </si>
  <si>
    <t>schoonloopmat</t>
  </si>
  <si>
    <t>marmoleum</t>
  </si>
  <si>
    <t>staal/rub.nop</t>
  </si>
  <si>
    <t>0.06a</t>
  </si>
  <si>
    <t>Urinoirs</t>
  </si>
  <si>
    <t>0.06b</t>
  </si>
  <si>
    <t>Lockers</t>
  </si>
  <si>
    <t>0.06c</t>
  </si>
  <si>
    <t>0.06d</t>
  </si>
  <si>
    <t>Kopieerruimte</t>
  </si>
  <si>
    <t>Doorloop</t>
  </si>
  <si>
    <t>koffiecorner/ overloop</t>
  </si>
  <si>
    <t>4001 - RG Achterveld, Hessenweg 289, Achterveld</t>
  </si>
  <si>
    <t>4001</t>
  </si>
  <si>
    <t>4011 - RG Amersfoort, Neonweg 5, Amersfoort</t>
  </si>
  <si>
    <t>4011</t>
  </si>
  <si>
    <t>4021 - RG Barneveld, C. Huygensstraat 40, Barneveld</t>
  </si>
  <si>
    <t>4021</t>
  </si>
  <si>
    <t>4031 - RG Bunschoten/Spakenburg, Zuidwenk 11, Bunschoten-Spakenburg</t>
  </si>
  <si>
    <t>4031</t>
  </si>
  <si>
    <t>4041 - RG Ederveen, Schras 65a, Ederveen</t>
  </si>
  <si>
    <t>4041</t>
  </si>
  <si>
    <t>4051 - RG Eemdijk, Vaartweg 34, Eemdijk</t>
  </si>
  <si>
    <t>4051</t>
  </si>
  <si>
    <t>4061 - RG Eemnes, Zomertaling 2, Eemnes</t>
  </si>
  <si>
    <t>4061</t>
  </si>
  <si>
    <t>4071 - RG Harskamp, Laarweg 29, Harskamp</t>
  </si>
  <si>
    <t>4071</t>
  </si>
  <si>
    <t>4081 - RG Hoevelaken, Beekmaten 2a, Hoevelaken</t>
  </si>
  <si>
    <t>4081</t>
  </si>
  <si>
    <t>Plateau</t>
  </si>
  <si>
    <t>4091 - RG Kootwijkerbroek, Drieenhuizerweg 5, Kootwijkerbroek</t>
  </si>
  <si>
    <t>4091</t>
  </si>
  <si>
    <t>4101 - RG Lage Vuursche, Vuurse Steeg 4, Lage Vuursche</t>
  </si>
  <si>
    <t>4101</t>
  </si>
  <si>
    <t>4111 - RG Leusden Centrum, Middenweg 1, Leusden</t>
  </si>
  <si>
    <t>4111</t>
  </si>
  <si>
    <t>pompenruimte</t>
  </si>
  <si>
    <t>noppen</t>
  </si>
  <si>
    <t>4121 - RG Lunteren, Hullerpad 12, Lunteren</t>
  </si>
  <si>
    <t>4121</t>
  </si>
  <si>
    <t>4131 - RG Maarsbergen, Woudenbergseweg 13, Maarsbergen</t>
  </si>
  <si>
    <t>4131</t>
  </si>
  <si>
    <t>4141 - RG Nijkerkerveen, Nieuwe Kerkstraat 16, Nijkerkerveen</t>
  </si>
  <si>
    <t>4141</t>
  </si>
  <si>
    <t>4151 - RG Oosterbeek, Benedendorpsweg 188, Oosterbeek</t>
  </si>
  <si>
    <t>4151</t>
  </si>
  <si>
    <t>4161 - RG Otterlo, Mosselseweg 81, Otterlo</t>
  </si>
  <si>
    <t>4161</t>
  </si>
  <si>
    <t>4171 - RG Overberg, Eindseweg 15, Overberg</t>
  </si>
  <si>
    <t>4171</t>
  </si>
  <si>
    <t>4181 - RG Renswoude, Oude Holleweg 34, Renswoude</t>
  </si>
  <si>
    <t>4181</t>
  </si>
  <si>
    <t>4191 - RG Scherpenzeel, Polschesteeg, Scherpenzeel</t>
  </si>
  <si>
    <t>4191</t>
  </si>
  <si>
    <t>4201 - RG Soesterberg, Kampdwarsweg 7, Soesterberg</t>
  </si>
  <si>
    <t>4201</t>
  </si>
  <si>
    <t>4211 - RG Stroe Hardewijkerkarweg, Hardewijkerkarweg 6, Stroe</t>
  </si>
  <si>
    <t>4211</t>
  </si>
  <si>
    <t>4221 - RG Stroe Tolnegen, Tolwegenweg 16, Stroe</t>
  </si>
  <si>
    <t>4221</t>
  </si>
  <si>
    <t>4231 - RG Terschuur, Eendrachtstraat 27, Terschuur</t>
  </si>
  <si>
    <t>4231</t>
  </si>
  <si>
    <t>4241 - RG Veenendaal, Panhuis 107, Veenendaal</t>
  </si>
  <si>
    <t>4241</t>
  </si>
  <si>
    <t>4251 - RG Voorthuizen, Bar. v. Nagellstraat 96, Voorthuizen</t>
  </si>
  <si>
    <t>4251</t>
  </si>
  <si>
    <t>4261 - RG Wageningen, Dr. Niemeyerstraat 29, Wageningen</t>
  </si>
  <si>
    <t>4261</t>
  </si>
  <si>
    <t>Machineruimte</t>
  </si>
  <si>
    <t>4271 - RG Wekerom, Riemterdijk 2, Wekerom</t>
  </si>
  <si>
    <t>4271</t>
  </si>
  <si>
    <t>4281 - RG Woudenberg Heijgraeff, De Heijgraef 1, Woudenberg</t>
  </si>
  <si>
    <t>4281</t>
  </si>
  <si>
    <t>4291 - RG Woudenberg Zegheweg, Zegheweg 9, Woudenberg</t>
  </si>
  <si>
    <t>4291</t>
  </si>
  <si>
    <t>4301 - RG Zwartebroek, Eendrachtstraat 99, Zwartebroek</t>
  </si>
  <si>
    <t>4301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</si>
  <si>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</si>
  <si>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</si>
  <si>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</si>
  <si>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</si>
  <si>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</si>
  <si>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</si>
  <si>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>TARIEF</t>
  </si>
  <si>
    <t xml:space="preserve">    0001</t>
  </si>
  <si>
    <t xml:space="preserve">    0002</t>
  </si>
  <si>
    <t xml:space="preserve">    1001</t>
  </si>
  <si>
    <t xml:space="preserve">    1011</t>
  </si>
  <si>
    <t xml:space="preserve">    1012</t>
  </si>
  <si>
    <t xml:space="preserve">    1014</t>
  </si>
  <si>
    <t xml:space="preserve">    1015</t>
  </si>
  <si>
    <t xml:space="preserve">    1021</t>
  </si>
  <si>
    <t xml:space="preserve">    1031</t>
  </si>
  <si>
    <t xml:space="preserve">    1041</t>
  </si>
  <si>
    <t xml:space="preserve">    1042</t>
  </si>
  <si>
    <t xml:space="preserve">    1051</t>
  </si>
  <si>
    <t xml:space="preserve">    1061</t>
  </si>
  <si>
    <t xml:space="preserve">    1071</t>
  </si>
  <si>
    <t xml:space="preserve">    1081</t>
  </si>
  <si>
    <t xml:space="preserve">    1091</t>
  </si>
  <si>
    <t xml:space="preserve">    1101</t>
  </si>
  <si>
    <t xml:space="preserve">    1111</t>
  </si>
  <si>
    <t xml:space="preserve">    1121</t>
  </si>
  <si>
    <t xml:space="preserve">    1131</t>
  </si>
  <si>
    <t xml:space="preserve">    1141</t>
  </si>
  <si>
    <t xml:space="preserve">    1151</t>
  </si>
  <si>
    <t xml:space="preserve">    1161</t>
  </si>
  <si>
    <t xml:space="preserve">    2011</t>
  </si>
  <si>
    <t xml:space="preserve">    2021</t>
  </si>
  <si>
    <t xml:space="preserve">    2041</t>
  </si>
  <si>
    <t xml:space="preserve">    2051</t>
  </si>
  <si>
    <t xml:space="preserve">    2061</t>
  </si>
  <si>
    <t xml:space="preserve">    2071</t>
  </si>
  <si>
    <t xml:space="preserve">    2091</t>
  </si>
  <si>
    <t xml:space="preserve">    2111</t>
  </si>
  <si>
    <t xml:space="preserve">    2121</t>
  </si>
  <si>
    <t xml:space="preserve">    2151</t>
  </si>
  <si>
    <t xml:space="preserve">    2181</t>
  </si>
  <si>
    <t xml:space="preserve">    2191</t>
  </si>
  <si>
    <t xml:space="preserve">    3001</t>
  </si>
  <si>
    <t xml:space="preserve">    3011</t>
  </si>
  <si>
    <t xml:space="preserve">    3021</t>
  </si>
  <si>
    <t xml:space="preserve">    3031</t>
  </si>
  <si>
    <t xml:space="preserve">    4001</t>
  </si>
  <si>
    <t xml:space="preserve">    4011</t>
  </si>
  <si>
    <t xml:space="preserve">    4021</t>
  </si>
  <si>
    <t xml:space="preserve">    4031</t>
  </si>
  <si>
    <t xml:space="preserve">    4041</t>
  </si>
  <si>
    <t xml:space="preserve">    4051</t>
  </si>
  <si>
    <t xml:space="preserve">    4061</t>
  </si>
  <si>
    <t xml:space="preserve">    4071</t>
  </si>
  <si>
    <t xml:space="preserve">    4081</t>
  </si>
  <si>
    <t xml:space="preserve">    4091</t>
  </si>
  <si>
    <t xml:space="preserve">    4101</t>
  </si>
  <si>
    <t xml:space="preserve">    4111</t>
  </si>
  <si>
    <t xml:space="preserve">    4121</t>
  </si>
  <si>
    <t xml:space="preserve">    4131</t>
  </si>
  <si>
    <t xml:space="preserve">    4141</t>
  </si>
  <si>
    <t xml:space="preserve">    4151</t>
  </si>
  <si>
    <t xml:space="preserve">    4161</t>
  </si>
  <si>
    <t xml:space="preserve">    4171</t>
  </si>
  <si>
    <t xml:space="preserve">    4181</t>
  </si>
  <si>
    <t xml:space="preserve">    4191</t>
  </si>
  <si>
    <t xml:space="preserve">    4201</t>
  </si>
  <si>
    <t xml:space="preserve">    4211</t>
  </si>
  <si>
    <t xml:space="preserve">    4221</t>
  </si>
  <si>
    <t xml:space="preserve">    4231</t>
  </si>
  <si>
    <t xml:space="preserve">    4241</t>
  </si>
  <si>
    <t xml:space="preserve">    4251</t>
  </si>
  <si>
    <t xml:space="preserve">    4261</t>
  </si>
  <si>
    <t xml:space="preserve">    4271</t>
  </si>
  <si>
    <t xml:space="preserve">    4281</t>
  </si>
  <si>
    <t xml:space="preserve">    4291</t>
  </si>
  <si>
    <t xml:space="preserve">    4301</t>
  </si>
  <si>
    <t>werkdag</t>
  </si>
  <si>
    <t>NAAM</t>
  </si>
  <si>
    <t>ADRES</t>
  </si>
  <si>
    <t>PLAATS</t>
  </si>
  <si>
    <t>BASIS UUR- TARIEF</t>
  </si>
  <si>
    <t>UREN/ UITVOERING</t>
  </si>
  <si>
    <t>UREN SUPPLETIE/ UITVOERING</t>
  </si>
  <si>
    <t>UREN TOTAAL/ UITVOERING</t>
  </si>
  <si>
    <t>PRIJS/ UITVOERING</t>
  </si>
  <si>
    <t>PRIJS SUPPLETIE/ UITVOERING</t>
  </si>
  <si>
    <t>PRIJS TOTAAL/ UITVOERING</t>
  </si>
  <si>
    <t>PRIJS/ MAAND (EURO)</t>
  </si>
  <si>
    <t>Hoofdkantoor Apeldoorn</t>
  </si>
  <si>
    <t>Steenbokstraat 10</t>
  </si>
  <si>
    <t>Apeldoorn</t>
  </si>
  <si>
    <t>Kantoor Apeldoorn</t>
  </si>
  <si>
    <t>Steenbokstraat 21</t>
  </si>
  <si>
    <t>RWZI Amersfoort</t>
  </si>
  <si>
    <t>Neonweg 30</t>
  </si>
  <si>
    <t>Amersfoort</t>
  </si>
  <si>
    <t>RWZI Apeldoorn Bedrijfsgebouw 1</t>
  </si>
  <si>
    <t>Stadhoudersmolenweg 40</t>
  </si>
  <si>
    <t>RWZI Apeldoorn Bedrijfsgebouw 2</t>
  </si>
  <si>
    <t>RWZI Apeldoorn Portiersgebouw</t>
  </si>
  <si>
    <t>RWZI Apeldoorn Slibontvanger</t>
  </si>
  <si>
    <t>RWZI Bennekom</t>
  </si>
  <si>
    <t>Langesteeg 3</t>
  </si>
  <si>
    <t>Bennekom</t>
  </si>
  <si>
    <t>RWZI Brummen</t>
  </si>
  <si>
    <t>Holthuizerweg 14</t>
  </si>
  <si>
    <t>Brummen</t>
  </si>
  <si>
    <t>RWZI Ede</t>
  </si>
  <si>
    <t>Dwarsweg 5</t>
  </si>
  <si>
    <t>Ede</t>
  </si>
  <si>
    <t>RWZI Ede Voorlichtingsgebouw</t>
  </si>
  <si>
    <t>Dwarsweg 13</t>
  </si>
  <si>
    <t>RWZI Elburg</t>
  </si>
  <si>
    <t>Industriestraat 31</t>
  </si>
  <si>
    <t>Elburg</t>
  </si>
  <si>
    <t>RWZI Epe</t>
  </si>
  <si>
    <t>Hammerstraat 40</t>
  </si>
  <si>
    <t>Epe</t>
  </si>
  <si>
    <t>RWZI Harderwijk</t>
  </si>
  <si>
    <t>Lorentzstraat 5</t>
  </si>
  <si>
    <t>Harderwijk</t>
  </si>
  <si>
    <t>RWZI Hattem</t>
  </si>
  <si>
    <t>Hilsdijk 106</t>
  </si>
  <si>
    <t>Hattem</t>
  </si>
  <si>
    <t>RWZI Heerde</t>
  </si>
  <si>
    <t>Postweg 39</t>
  </si>
  <si>
    <t>Heerde</t>
  </si>
  <si>
    <t>RWZI Nijkerk</t>
  </si>
  <si>
    <t>Ambachtsstraat 6</t>
  </si>
  <si>
    <t>Nijkerk</t>
  </si>
  <si>
    <t>RWZI Renkum</t>
  </si>
  <si>
    <t>Bokkedijk 2</t>
  </si>
  <si>
    <t>Renkum</t>
  </si>
  <si>
    <t>RWZI Soest</t>
  </si>
  <si>
    <t>Maatweg 10</t>
  </si>
  <si>
    <t>Soest</t>
  </si>
  <si>
    <t>RWZI Terwolde</t>
  </si>
  <si>
    <t>Bandijk 3</t>
  </si>
  <si>
    <t>Terwolde</t>
  </si>
  <si>
    <t>RWZI Veenendaal</t>
  </si>
  <si>
    <t>Slaperdijk 2a</t>
  </si>
  <si>
    <t>Veenendaal</t>
  </si>
  <si>
    <t>RWZI Woudenberg</t>
  </si>
  <si>
    <t>Zegheweg 38</t>
  </si>
  <si>
    <t>Woudenberg</t>
  </si>
  <si>
    <t>De Taats</t>
  </si>
  <si>
    <t>Grebbedijk 57</t>
  </si>
  <si>
    <t>Wageningen</t>
  </si>
  <si>
    <t>Gemaal De Haar</t>
  </si>
  <si>
    <t>Zuidereind 9</t>
  </si>
  <si>
    <t>Baarn</t>
  </si>
  <si>
    <t>Gemaal Zeldert</t>
  </si>
  <si>
    <t>Zuidereind 35</t>
  </si>
  <si>
    <t>Gemaal Veendijk</t>
  </si>
  <si>
    <t>Oostdijk 1</t>
  </si>
  <si>
    <t>Bunschoten-Spakenburg</t>
  </si>
  <si>
    <t>Gemaal Westdijk</t>
  </si>
  <si>
    <t>Westdijk 1</t>
  </si>
  <si>
    <t>Gemaal Tydeman</t>
  </si>
  <si>
    <t>Eemweg 47</t>
  </si>
  <si>
    <t>Eemnes</t>
  </si>
  <si>
    <t>Gemaal Eemnes</t>
  </si>
  <si>
    <t>Korte Maasweg 5</t>
  </si>
  <si>
    <t>Gemaal Malesluis</t>
  </si>
  <si>
    <t>Slaagseweg 1</t>
  </si>
  <si>
    <t>Hoogland</t>
  </si>
  <si>
    <t>Gemaal Putten</t>
  </si>
  <si>
    <t>Arlersteeg 30</t>
  </si>
  <si>
    <t>Putten</t>
  </si>
  <si>
    <t>Gemaal Grote Melm</t>
  </si>
  <si>
    <t>Korte Melmweg 1</t>
  </si>
  <si>
    <t>Gemaal Veluwe</t>
  </si>
  <si>
    <t>Weverdijk 4</t>
  </si>
  <si>
    <t>Wapenveld</t>
  </si>
  <si>
    <t>Steunpunt Gemaal De Wenden</t>
  </si>
  <si>
    <t>Kleine Woldweg 38a</t>
  </si>
  <si>
    <t>Noordeinde</t>
  </si>
  <si>
    <t>Vlijtsekade 221</t>
  </si>
  <si>
    <t>Steunpunt Kleine Gat</t>
  </si>
  <si>
    <t>Zuidereind 11a</t>
  </si>
  <si>
    <t>Steunpunt Kallenbroek</t>
  </si>
  <si>
    <t>Otelaarseweg 11</t>
  </si>
  <si>
    <t>Barneveld</t>
  </si>
  <si>
    <t>Loods De Roode Haan</t>
  </si>
  <si>
    <t>Kooiweg 10</t>
  </si>
  <si>
    <t>Renswoude</t>
  </si>
  <si>
    <t>Steunpunt Twello</t>
  </si>
  <si>
    <t>Voordersteeg 1</t>
  </si>
  <si>
    <t>Twello</t>
  </si>
  <si>
    <t>RG Achterveld</t>
  </si>
  <si>
    <t>Hessenweg 289</t>
  </si>
  <si>
    <t>Achterveld</t>
  </si>
  <si>
    <t>RG Amersfoort</t>
  </si>
  <si>
    <t>Neonweg 5</t>
  </si>
  <si>
    <t>RG Barneveld</t>
  </si>
  <si>
    <t>C. Huygensstraat 40</t>
  </si>
  <si>
    <t>RG Bunschoten/Spakenburg</t>
  </si>
  <si>
    <t>Zuidwenk 11</t>
  </si>
  <si>
    <t>RG Ederveen</t>
  </si>
  <si>
    <t>Schras 65a</t>
  </si>
  <si>
    <t>Ederveen</t>
  </si>
  <si>
    <t>RG Eemdijk</t>
  </si>
  <si>
    <t>Vaartweg 34</t>
  </si>
  <si>
    <t>Eemdijk</t>
  </si>
  <si>
    <t>RG Eemnes</t>
  </si>
  <si>
    <t>Zomertaling 2</t>
  </si>
  <si>
    <t>RG Harskamp</t>
  </si>
  <si>
    <t>Laarweg 29</t>
  </si>
  <si>
    <t>Harskamp</t>
  </si>
  <si>
    <t>RG Hoevelaken</t>
  </si>
  <si>
    <t>Beekmaten 2a</t>
  </si>
  <si>
    <t>Hoevelaken</t>
  </si>
  <si>
    <t>RG Kootwijkerbroek</t>
  </si>
  <si>
    <t>Drieenhuizerweg 5</t>
  </si>
  <si>
    <t>Kootwijkerbroek</t>
  </si>
  <si>
    <t>RG Lage Vuursche</t>
  </si>
  <si>
    <t>Vuurse Steeg 4</t>
  </si>
  <si>
    <t>Lage Vuursche</t>
  </si>
  <si>
    <t>RG Leusden Centrum</t>
  </si>
  <si>
    <t>Middenweg 1</t>
  </si>
  <si>
    <t>Leusden</t>
  </si>
  <si>
    <t>RG Lunteren</t>
  </si>
  <si>
    <t>Hullerpad 12</t>
  </si>
  <si>
    <t>Lunteren</t>
  </si>
  <si>
    <t>RG Maarsbergen</t>
  </si>
  <si>
    <t>Woudenbergseweg 13</t>
  </si>
  <si>
    <t>Maarsbergen</t>
  </si>
  <si>
    <t>RG Nijkerkerveen</t>
  </si>
  <si>
    <t>Nieuwe Kerkstraat 16</t>
  </si>
  <si>
    <t>Nijkerkerveen</t>
  </si>
  <si>
    <t>RG Oosterbeek</t>
  </si>
  <si>
    <t>Benedendorpsweg 188</t>
  </si>
  <si>
    <t>Oosterbeek</t>
  </si>
  <si>
    <t>RG Otterlo</t>
  </si>
  <si>
    <t>Mosselseweg 81</t>
  </si>
  <si>
    <t>Otterlo</t>
  </si>
  <si>
    <t>RG Overberg</t>
  </si>
  <si>
    <t>Eindseweg 15</t>
  </si>
  <si>
    <t>Overberg</t>
  </si>
  <si>
    <t>RG Renswoude</t>
  </si>
  <si>
    <t>Oude Holleweg 34</t>
  </si>
  <si>
    <t>RG Scherpenzeel</t>
  </si>
  <si>
    <t>Polschesteeg</t>
  </si>
  <si>
    <t>Scherpenzeel</t>
  </si>
  <si>
    <t>RG Soesterberg</t>
  </si>
  <si>
    <t>Kampdwarsweg 7</t>
  </si>
  <si>
    <t>Soesterberg</t>
  </si>
  <si>
    <t>RG Stroe Hardewijkerkarweg</t>
  </si>
  <si>
    <t>Hardewijkerkarweg 6</t>
  </si>
  <si>
    <t>Stroe</t>
  </si>
  <si>
    <t>RG Stroe Tolnegen</t>
  </si>
  <si>
    <t>Tolwegenweg 16</t>
  </si>
  <si>
    <t>RG Terschuur</t>
  </si>
  <si>
    <t>Eendrachtstraat 27</t>
  </si>
  <si>
    <t>Terschuur</t>
  </si>
  <si>
    <t>RG Veenendaal</t>
  </si>
  <si>
    <t>Panhuis 107</t>
  </si>
  <si>
    <t>RG Voorthuizen</t>
  </si>
  <si>
    <t>Bar. v. Nagellstraat 96</t>
  </si>
  <si>
    <t>Voorthuizen</t>
  </si>
  <si>
    <t>RG Wageningen</t>
  </si>
  <si>
    <t>Dr. Niemeyerstraat 29</t>
  </si>
  <si>
    <t>RG Wekerom</t>
  </si>
  <si>
    <t>Riemterdijk 2</t>
  </si>
  <si>
    <t>Wekerom</t>
  </si>
  <si>
    <t>RG Woudenberg Heijgraeff</t>
  </si>
  <si>
    <t>De Heijgraef 1</t>
  </si>
  <si>
    <t>RG Woudenberg Zegheweg</t>
  </si>
  <si>
    <t>Zegheweg 9</t>
  </si>
  <si>
    <t>RG Zwartebroek</t>
  </si>
  <si>
    <t>Eendrachtstraat 99</t>
  </si>
  <si>
    <t>Zwartebroek</t>
  </si>
  <si>
    <t>Totaal regulier werk incl. suppleties (excl. BTW)</t>
  </si>
  <si>
    <t>Totaal regulier werk incl. suppleties (incl. BTW)</t>
  </si>
  <si>
    <t>KLANTCODE</t>
  </si>
  <si>
    <t>PRIJS/ MAAND EXCL.BTW</t>
  </si>
  <si>
    <t>PRIJS/ MAAND INCL.BTW</t>
  </si>
  <si>
    <t>428500.51301.0</t>
  </si>
  <si>
    <t>428500.13305.30</t>
  </si>
  <si>
    <t>428500.51303.0</t>
  </si>
  <si>
    <t>428500.07230.ALG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</si>
  <si>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</si>
  <si>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</si>
  <si>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</si>
  <si>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</si>
  <si>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</si>
  <si>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</si>
  <si>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</si>
  <si>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</si>
  <si>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</si>
  <si>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beschermde vloeren</t>
  </si>
  <si>
    <t>tijdsnorm in vloer m²/uur</t>
  </si>
  <si>
    <t>9750</t>
  </si>
  <si>
    <t>Dieptereiniging</t>
  </si>
  <si>
    <t>9760</t>
  </si>
  <si>
    <t>Bureaustoelen (stoffernbeleding) volledig reinigen</t>
  </si>
  <si>
    <t>prijs per stuk</t>
  </si>
  <si>
    <t>9761</t>
  </si>
  <si>
    <t>Vergaderstoelen (stoffenbekleding) volledig reinigen</t>
  </si>
  <si>
    <t>9762</t>
  </si>
  <si>
    <t>Banken/zitjes volledig reinigen - gem. 2 meter zitopp</t>
  </si>
  <si>
    <t>Totaal additioneel werk excl. BTW</t>
  </si>
  <si>
    <t>Totaal 0001 - Hoofdkantoor Apeldoorn, Steenbokstraat 10, Apeldoorn</t>
  </si>
  <si>
    <t>Totaal 0002 - Kantoor Apeldoorn, Steenbokstraat 21, Apeldoorn</t>
  </si>
  <si>
    <t>Totaal 1001 - RWZI Amersfoort, Neonweg 30, Amersfoort</t>
  </si>
  <si>
    <t>Totaal 1011 - RWZI Apeldoorn Bedrijfsgebouw 1, Stadhoudersmolenweg 40, Apeldoorn</t>
  </si>
  <si>
    <t>Totaal 1012 - RWZI Apeldoorn Bedrijfsgebouw 2, Stadhoudersmolenweg 40, Apeldoorn</t>
  </si>
  <si>
    <t>Totaal 1014 - RWZI Apeldoorn Portiersgebouw, Stadhoudersmolenweg 40, Apeldoorn</t>
  </si>
  <si>
    <t>Totaal 1021 - RWZI Bennekom, Langesteeg 3, Bennekom</t>
  </si>
  <si>
    <t>Totaal 1031 - RWZI Brummen, Holthuizerweg 14, Brummen</t>
  </si>
  <si>
    <t>Totaal 1041 - RWZI Ede, Dwarsweg 5, Ede</t>
  </si>
  <si>
    <t>Totaal 1042 - RWZI Ede Voorlichtingsgebouw, Dwarsweg 13, Ede</t>
  </si>
  <si>
    <t>Totaal 1051 - RWZI Elburg, Industriestraat 31, Elburg</t>
  </si>
  <si>
    <t>Totaal 1061 - RWZI Epe, Hammerstraat 40, Epe</t>
  </si>
  <si>
    <t>Totaal 1071 - RWZI Harderwijk, Lorentzstraat 5, Harderwijk</t>
  </si>
  <si>
    <t>Totaal 1081 - RWZI Hattem, Hilsdijk 106, Hattem</t>
  </si>
  <si>
    <t>Totaal 1091 - RWZI Heerde, Postweg 39, Heerde</t>
  </si>
  <si>
    <t>Totaal 1111 - RWZI Renkum, Bokkedijk 2, Renkum</t>
  </si>
  <si>
    <t>Totaal 1121 - RWZI Soest, Maatweg 10, Soest</t>
  </si>
  <si>
    <t>Totaal 1141 - RWZI Veenendaal, Slaperdijk 2a, Veenendaal</t>
  </si>
  <si>
    <t>Totaal 2151 - Gemaal Veluwe, Weverdijk 4, Wapenveld</t>
  </si>
  <si>
    <t>Totaal 3011 - Steunpunt Kallenbroek, Otelaarseweg 11, Barneveld</t>
  </si>
  <si>
    <t>Totaal 3031 - Steunpunt Twello, Voordersteeg 1, Twello</t>
  </si>
  <si>
    <t>STAFFEL</t>
  </si>
  <si>
    <t>2000A</t>
  </si>
  <si>
    <t>Systeemkast/monitor reinigen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</si>
  <si>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</si>
  <si>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</si>
  <si>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</si>
  <si>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</si>
  <si>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</si>
  <si>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</si>
  <si>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</si>
  <si>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</si>
  <si>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</si>
  <si>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</si>
  <si>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</si>
  <si>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</si>
  <si>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</si>
  <si>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</si>
  <si>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</si>
  <si>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</si>
  <si>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</si>
  <si>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</si>
  <si>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</si>
  <si>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</si>
  <si>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</si>
  <si>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</si>
  <si>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</si>
  <si>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</si>
  <si>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</si>
  <si>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</si>
  <si>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</si>
  <si>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</si>
  <si>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</si>
  <si>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</si>
  <si>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</si>
  <si>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</si>
  <si>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</si>
  <si>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</si>
  <si>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</si>
  <si>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</si>
  <si>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</si>
  <si>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</si>
  <si>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</si>
  <si>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</si>
  <si>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</si>
  <si>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</si>
  <si>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</si>
  <si>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</si>
  <si>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</si>
  <si>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</si>
  <si>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</si>
  <si>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</si>
  <si>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</si>
  <si>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</si>
  <si>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</si>
  <si>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</si>
  <si>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</si>
  <si>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</si>
  <si>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</si>
  <si>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3030A</t>
  </si>
  <si>
    <t>Bureaustoel (stoffenbekeleding) geheel reinigen</t>
  </si>
  <si>
    <t>3030B</t>
  </si>
  <si>
    <t>25 &lt; 100 stuks</t>
  </si>
  <si>
    <t>3030C</t>
  </si>
  <si>
    <t>100 &lt;t 500 stuks</t>
  </si>
  <si>
    <t>3030D</t>
  </si>
  <si>
    <t>&gt;=500 stuks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</si>
  <si>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</si>
  <si>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</si>
  <si>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</si>
  <si>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</si>
  <si>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</si>
  <si>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</si>
  <si>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</si>
  <si>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</si>
  <si>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</si>
  <si>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</si>
  <si>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</si>
  <si>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</si>
  <si>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</si>
  <si>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</si>
  <si>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</si>
  <si>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</si>
  <si>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</si>
  <si>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</si>
  <si>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</si>
  <si>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</si>
  <si>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</si>
  <si>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</si>
  <si>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</si>
  <si>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</si>
  <si>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</si>
  <si>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</si>
  <si>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</si>
  <si>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</si>
  <si>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</si>
  <si>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</si>
  <si>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</si>
  <si>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</si>
  <si>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</si>
  <si>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</si>
  <si>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</si>
  <si>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</si>
  <si>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</si>
  <si>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</si>
  <si>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</si>
  <si>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4065A</t>
  </si>
  <si>
    <t>Tapijt reinigen encapulation methode</t>
  </si>
  <si>
    <t>4065B</t>
  </si>
  <si>
    <t>4065C</t>
  </si>
  <si>
    <t>4065D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</si>
  <si>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</si>
  <si>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</si>
  <si>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</si>
  <si>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</si>
  <si>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</si>
  <si>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</si>
  <si>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</si>
  <si>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</si>
  <si>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</si>
  <si>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</si>
  <si>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</si>
  <si>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</si>
  <si>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</si>
  <si>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</si>
  <si>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</si>
  <si>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</si>
  <si>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</si>
  <si>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</si>
  <si>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prijs per uur</t>
  </si>
  <si>
    <t>9100</t>
  </si>
  <si>
    <t>Medewerker specialistische werkzaamheden</t>
  </si>
  <si>
    <t>9500</t>
  </si>
  <si>
    <t>Uurtarief medewerker bouwschoonmaak</t>
  </si>
  <si>
    <t>9501</t>
  </si>
  <si>
    <t>Uurtarief medewerker specialitisch bouwschoonmaak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</si>
  <si>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</si>
  <si>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</si>
  <si>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</si>
  <si>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</si>
  <si>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</si>
  <si>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</si>
  <si>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</si>
  <si>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8090</t>
  </si>
  <si>
    <t>Reinigen boeiborden, gevelbeplating</t>
  </si>
  <si>
    <t>8200</t>
  </si>
  <si>
    <t>Hoogwerker tbv locatie Apeldoorn</t>
  </si>
  <si>
    <t>prijs per dag</t>
  </si>
  <si>
    <t>8201</t>
  </si>
  <si>
    <t>Rolsteiger ontvangsthal tbv Apeldoorn</t>
  </si>
  <si>
    <t>Totaal glas excl. BTW</t>
  </si>
  <si>
    <t>Totaal 1015 - RWZI Apeldoorn Slibontvanger, Stadhoudersmolenweg 40, Apeldoorn</t>
  </si>
  <si>
    <t>Totaal 2011 - Gemaal De Haar, Zuidereind 9, Baarn</t>
  </si>
  <si>
    <t>Totaal 2021 - Gemaal Zeldert, Zuidereind 35, Baarn</t>
  </si>
  <si>
    <t>Totaal 2041 - Gemaal Veendijk, Oostdijk 1, Bunschoten-Spakenburg</t>
  </si>
  <si>
    <t>Totaal 2051 - Gemaal Westdijk, Westdijk 1, Bunschoten-Spakenburg</t>
  </si>
  <si>
    <t>Totaal 2061 - Gemaal Tydeman, Eemweg 47, Eemnes</t>
  </si>
  <si>
    <t>Totaal 2071 - Gemaal Eemnes, Korte Maasweg 5, Eemnes</t>
  </si>
  <si>
    <t>Totaal 2091 - Gemaal Malesluis, Slaagseweg 1, Hoogland</t>
  </si>
  <si>
    <t>Totaal 2111 - Gemaal Putten, Arlersteeg 30, Putten</t>
  </si>
  <si>
    <t>Totaal 2181 - Steunpunt Gemaal De Wenden, Kleine Woldweg 38a, Noordeinde</t>
  </si>
  <si>
    <t>Totaal 2191 - Vlijtsekade 221, Vlijtsekade 221, Apeldoorn</t>
  </si>
  <si>
    <t>Totaal 3001 - Steunpunt Kleine Gat, Zuidereind 11a, Baarn</t>
  </si>
  <si>
    <t>Totaal 3021 - Loods De Roode Haan, Kooiweg 10, Renswoude</t>
  </si>
  <si>
    <t>Totaal 4031 - RG Bunschoten/Spakenburg, Zuidwenk 11, Bunschoten-Spakenburg</t>
  </si>
  <si>
    <t>Totaal 4081 - RG Hoevelaken, Beekmaten 2a, Hoevelaken</t>
  </si>
  <si>
    <t>Totaal 4151 - RG Oosterbeek, Benedendorpsweg 188, Oosterbeek</t>
  </si>
  <si>
    <t>Totaal 4201 - RG Soesterberg, Kampdwarsweg 7, Soesterberg</t>
  </si>
  <si>
    <t>Totaal 4261 - RG Wageningen, Dr. Niemeyerstraat 29, Wageningen</t>
  </si>
  <si>
    <t>Soort werk</t>
  </si>
  <si>
    <t>Uren per jaar uitvoering</t>
  </si>
  <si>
    <t>Bedrag per jaar excl. BTW (euro)</t>
  </si>
  <si>
    <t>Bedrag per jaar incl. BTW (euro)</t>
  </si>
  <si>
    <t xml:space="preserve">Regulier werk </t>
  </si>
  <si>
    <t>Additioneel werk</t>
  </si>
  <si>
    <t>Regie (geschat)</t>
  </si>
  <si>
    <t>Glas (geschat)</t>
  </si>
  <si>
    <t>Totaal generaal</t>
  </si>
  <si>
    <t>WERK IN BUDGET</t>
  </si>
  <si>
    <t>* BUDGET</t>
  </si>
  <si>
    <t>VERGELIJKINGSPRIJS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</si>
</sst>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3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8" xfId="0" applyNumberFormat="1" applyFont="1" applyFill="1" applyBorder="1"/>
    <xf numFmtId="49" fontId="1" fillId="3" borderId="19" xfId="0" applyNumberFormat="1" applyFont="1" applyFill="1" applyBorder="1"/>
    <xf numFmtId="49" fontId="1" fillId="3" borderId="20" xfId="0" applyNumberFormat="1" applyFont="1" applyFill="1" applyBorder="1"/>
    <xf numFmtId="49" fontId="1" fillId="3" borderId="18" xfId="0" applyNumberFormat="1" applyFont="1" applyFill="1" applyBorder="1" applyAlignment="1">
      <alignment wrapText="1"/>
    </xf>
    <xf numFmtId="49" fontId="1" fillId="4" borderId="19" xfId="0" applyNumberFormat="1" applyFont="1" applyFill="1" applyBorder="1" applyAlignment="1">
      <alignment wrapText="1"/>
    </xf>
    <xf numFmtId="49" fontId="1" fillId="4" borderId="20" xfId="0" applyNumberFormat="1" applyFont="1" applyFill="1" applyBorder="1" applyAlignment="1">
      <alignment wrapText="1"/>
    </xf>
    <xf numFmtId="49" fontId="0" fillId="3" borderId="18" xfId="0" applyNumberFormat="1" applyFill="1" applyBorder="1" applyAlignment="1">
      <alignment wrapText="1"/>
    </xf>
    <xf numFmtId="49" fontId="1" fillId="0" borderId="19" xfId="0" applyNumberFormat="1" applyFont="1" applyBorder="1" applyAlignment="1" applyProtection="1">
      <alignment wrapText="1"/>
      <protection locked="0"/>
    </xf>
    <xf numFmtId="49" fontId="1" fillId="0" borderId="20" xfId="0" applyNumberFormat="1" applyFont="1" applyBorder="1" applyAlignment="1" applyProtection="1">
      <alignment wrapText="1"/>
      <protection locked="0"/>
    </xf>
    <xf numFmtId="49" fontId="0" fillId="3" borderId="18" xfId="0" applyNumberFormat="1" applyFill="1" applyBorder="1"/>
    <xf numFmtId="164" fontId="0" fillId="0" borderId="19" xfId="0" applyNumberFormat="1" applyBorder="1" applyProtection="1">
      <protection locked="0"/>
    </xf>
    <xf numFmtId="164" fontId="0" fillId="0" borderId="20" xfId="0" applyNumberFormat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10" fontId="0" fillId="0" borderId="19" xfId="0" applyNumberFormat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0" xfId="0" applyFill="1" applyBorder="1"/>
    <xf numFmtId="49" fontId="1" fillId="3" borderId="19" xfId="0" applyNumberFormat="1" applyFont="1" applyFill="1" applyBorder="1"/>
    <xf numFmtId="49" fontId="1" fillId="3" borderId="20" xfId="0" applyNumberFormat="1" applyFont="1" applyFill="1" applyBorder="1"/>
    <xf numFmtId="10" fontId="0" fillId="4" borderId="19" xfId="0" applyNumberFormat="1" applyFill="1" applyBorder="1" applyProtection="1">
      <protection locked="0"/>
    </xf>
    <xf numFmtId="49" fontId="1" fillId="3" borderId="21" xfId="0" applyNumberFormat="1" applyFont="1" applyFill="1" applyBorder="1"/>
    <xf numFmtId="10" fontId="0" fillId="4" borderId="22" xfId="0" applyNumberFormat="1" applyFill="1" applyBorder="1" applyProtection="1">
      <protection locked="0"/>
    </xf>
    <xf numFmtId="164" fontId="0" fillId="2" borderId="22" xfId="0" applyNumberFormat="1" applyFill="1" applyBorder="1"/>
    <xf numFmtId="164" fontId="0" fillId="2" borderId="23" xfId="0" applyNumberFormat="1" applyFill="1" applyBorder="1"/>
    <xf numFmtId="49" fontId="1" fillId="3" borderId="16" xfId="0" applyNumberFormat="1" applyFont="1" applyFill="1" applyBorder="1" applyAlignment="1">
      <alignment wrapText="1"/>
    </xf>
    <xf numFmtId="49" fontId="1" fillId="3" borderId="17" xfId="0" applyNumberFormat="1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10" fontId="0" fillId="2" borderId="19" xfId="0" applyNumberFormat="1" applyFill="1" applyBorder="1"/>
    <xf numFmtId="164" fontId="1" fillId="2" borderId="22" xfId="0" applyNumberFormat="1" applyFont="1" applyFill="1" applyBorder="1"/>
    <xf numFmtId="164" fontId="1" fillId="2" borderId="23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4" xfId="0" applyNumberFormat="1" applyFill="1" applyBorder="1"/>
    <xf numFmtId="49" fontId="0" fillId="2" borderId="9" xfId="0" applyNumberFormat="1" applyFill="1" applyBorder="1"/>
    <xf numFmtId="164" fontId="0" fillId="2" borderId="9" xfId="0" applyNumberFormat="1" applyFill="1" applyBorder="1"/>
    <xf numFmtId="164" fontId="0" fillId="2" borderId="5" xfId="0" applyNumberFormat="1" applyFill="1" applyBorder="1"/>
    <xf numFmtId="49" fontId="0" fillId="2" borderId="27" xfId="0" applyNumberFormat="1" applyFill="1" applyBorder="1"/>
    <xf numFmtId="1" fontId="0" fillId="2" borderId="27" xfId="0" applyNumberFormat="1" applyFill="1" applyBorder="1"/>
    <xf numFmtId="4" fontId="0" fillId="0" borderId="27" xfId="0" applyNumberFormat="1" applyBorder="1" applyProtection="1">
      <protection locked="0"/>
    </xf>
    <xf numFmtId="10" fontId="0" fillId="0" borderId="27" xfId="0" applyNumberFormat="1" applyBorder="1" applyProtection="1">
      <protection locked="0"/>
    </xf>
    <xf numFmtId="164" fontId="0" fillId="2" borderId="27" xfId="0" applyNumberFormat="1" applyFill="1" applyBorder="1"/>
    <xf numFmtId="49" fontId="0" fillId="2" borderId="28" xfId="0" applyNumberFormat="1" applyFill="1" applyBorder="1"/>
    <xf numFmtId="1" fontId="0" fillId="2" borderId="28" xfId="0" applyNumberFormat="1" applyFill="1" applyBorder="1"/>
    <xf numFmtId="4" fontId="0" fillId="0" borderId="28" xfId="0" applyNumberFormat="1" applyBorder="1" applyProtection="1">
      <protection locked="0"/>
    </xf>
    <xf numFmtId="10" fontId="0" fillId="0" borderId="28" xfId="0" applyNumberFormat="1" applyBorder="1" applyProtection="1">
      <protection locked="0"/>
    </xf>
    <xf numFmtId="164" fontId="0" fillId="2" borderId="28" xfId="0" applyNumberFormat="1" applyFill="1" applyBorder="1"/>
    <xf numFmtId="49" fontId="0" fillId="2" borderId="29" xfId="0" applyNumberFormat="1" applyFill="1" applyBorder="1"/>
    <xf numFmtId="1" fontId="0" fillId="2" borderId="29" xfId="0" applyNumberFormat="1" applyFill="1" applyBorder="1"/>
    <xf numFmtId="4" fontId="0" fillId="0" borderId="29" xfId="0" applyNumberFormat="1" applyBorder="1" applyProtection="1">
      <protection locked="0"/>
    </xf>
    <xf numFmtId="10" fontId="0" fillId="0" borderId="29" xfId="0" applyNumberFormat="1" applyBorder="1" applyProtection="1">
      <protection locked="0"/>
    </xf>
    <xf numFmtId="164" fontId="0" fillId="2" borderId="29" xfId="0" applyNumberFormat="1" applyFill="1" applyBorder="1"/>
    <xf numFmtId="4" fontId="0" fillId="2" borderId="9" xfId="0" applyNumberFormat="1" applyFill="1" applyBorder="1"/>
    <xf numFmtId="165" fontId="0" fillId="2" borderId="9" xfId="0" applyNumberFormat="1" applyFill="1" applyBorder="1"/>
    <xf numFmtId="4" fontId="0" fillId="2" borderId="27" xfId="0" applyNumberFormat="1" applyFill="1" applyBorder="1"/>
    <xf numFmtId="165" fontId="0" fillId="2" borderId="27" xfId="0" applyNumberFormat="1" applyFill="1" applyBorder="1"/>
    <xf numFmtId="4" fontId="0" fillId="2" borderId="28" xfId="0" applyNumberFormat="1" applyFill="1" applyBorder="1"/>
    <xf numFmtId="165" fontId="0" fillId="2" borderId="28" xfId="0" applyNumberFormat="1" applyFill="1" applyBorder="1"/>
    <xf numFmtId="165" fontId="0" fillId="0" borderId="28" xfId="0" applyNumberFormat="1" applyBorder="1" applyProtection="1">
      <protection locked="0"/>
    </xf>
    <xf numFmtId="4" fontId="0" fillId="2" borderId="29" xfId="0" applyNumberFormat="1" applyFill="1" applyBorder="1"/>
    <xf numFmtId="165" fontId="0" fillId="0" borderId="29" xfId="0" applyNumberFormat="1" applyBorder="1" applyProtection="1">
      <protection locked="0"/>
    </xf>
    <xf numFmtId="0" fontId="0" fillId="3" borderId="31" xfId="0" applyFill="1" applyBorder="1"/>
    <xf numFmtId="49" fontId="0" fillId="3" borderId="24" xfId="0" applyNumberFormat="1" applyFill="1" applyBorder="1"/>
    <xf numFmtId="0" fontId="0" fillId="3" borderId="25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30" xfId="0" applyNumberFormat="1" applyFill="1" applyBorder="1"/>
    <xf numFmtId="0" fontId="0" fillId="3" borderId="24" xfId="0" applyFill="1" applyBorder="1"/>
    <xf numFmtId="0" fontId="0" fillId="3" borderId="32" xfId="0" applyFill="1" applyBorder="1"/>
    <xf numFmtId="49" fontId="0" fillId="3" borderId="33" xfId="0" applyNumberFormat="1" applyFill="1" applyBorder="1" applyAlignment="1">
      <alignment wrapText="1"/>
    </xf>
    <xf numFmtId="49" fontId="0" fillId="3" borderId="30" xfId="0" applyNumberFormat="1" applyFill="1" applyBorder="1" applyAlignment="1">
      <alignment wrapText="1"/>
    </xf>
    <xf numFmtId="0" fontId="0" fillId="3" borderId="34" xfId="0" applyFill="1" applyBorder="1"/>
    <xf numFmtId="49" fontId="0" fillId="2" borderId="9" xfId="0" applyNumberFormat="1" applyFill="1" applyBorder="1" applyAlignment="1">
      <alignment wrapText="1"/>
    </xf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164" fontId="0" fillId="2" borderId="16" xfId="0" applyNumberFormat="1" applyFill="1" applyBorder="1"/>
    <xf numFmtId="164" fontId="0" fillId="2" borderId="17" xfId="0" applyNumberFormat="1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49" fontId="0" fillId="2" borderId="21" xfId="0" applyNumberFormat="1" applyFill="1" applyBorder="1"/>
    <xf numFmtId="49" fontId="0" fillId="2" borderId="22" xfId="0" applyNumberFormat="1" applyFill="1" applyBorder="1"/>
    <xf numFmtId="49" fontId="0" fillId="2" borderId="22" xfId="0" applyNumberFormat="1" applyFill="1" applyBorder="1" applyAlignment="1">
      <alignment wrapText="1"/>
    </xf>
    <xf numFmtId="4" fontId="0" fillId="2" borderId="22" xfId="0" applyNumberFormat="1" applyFill="1" applyBorder="1"/>
    <xf numFmtId="165" fontId="0" fillId="2" borderId="22" xfId="0" applyNumberFormat="1" applyFill="1" applyBorder="1"/>
    <xf numFmtId="49" fontId="0" fillId="3" borderId="35" xfId="0" applyNumberFormat="1" applyFill="1" applyBorder="1"/>
    <xf numFmtId="49" fontId="0" fillId="2" borderId="6" xfId="0" applyNumberFormat="1" applyFill="1" applyBorder="1"/>
    <xf numFmtId="164" fontId="0" fillId="2" borderId="6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7" xfId="0" applyNumberFormat="1" applyFill="1" applyBorder="1" applyProtection="1">
      <protection locked="0"/>
    </xf>
    <xf numFmtId="164" fontId="0" fillId="4" borderId="27" xfId="0" applyNumberFormat="1" applyFill="1" applyBorder="1" applyProtection="1">
      <protection locked="0"/>
    </xf>
    <xf numFmtId="49" fontId="0" fillId="4" borderId="28" xfId="0" applyNumberFormat="1" applyFill="1" applyBorder="1" applyProtection="1">
      <protection locked="0"/>
    </xf>
    <xf numFmtId="164" fontId="0" fillId="4" borderId="28" xfId="0" applyNumberFormat="1" applyFill="1" applyBorder="1" applyProtection="1">
      <protection locked="0"/>
    </xf>
    <xf numFmtId="49" fontId="0" fillId="4" borderId="29" xfId="0" applyNumberFormat="1" applyFill="1" applyBorder="1" applyProtection="1">
      <protection locked="0"/>
    </xf>
    <xf numFmtId="164" fontId="0" fillId="4" borderId="29" xfId="0" applyNumberFormat="1" applyFill="1" applyBorder="1" applyProtection="1">
      <protection locked="0"/>
    </xf>
    <xf numFmtId="4" fontId="0" fillId="4" borderId="27" xfId="0" applyNumberFormat="1" applyFill="1" applyBorder="1"/>
    <xf numFmtId="164" fontId="0" fillId="2" borderId="27" xfId="0" applyNumberFormat="1" applyFill="1" applyBorder="1" applyProtection="1"/>
    <xf numFmtId="164" fontId="0" fillId="3" borderId="27" xfId="0" applyNumberFormat="1" applyFill="1" applyBorder="1" applyProtection="1"/>
    <xf numFmtId="4" fontId="0" fillId="4" borderId="28" xfId="0" applyNumberFormat="1" applyFill="1" applyBorder="1"/>
    <xf numFmtId="164" fontId="0" fillId="2" borderId="28" xfId="0" applyNumberFormat="1" applyFill="1" applyBorder="1" applyProtection="1"/>
    <xf numFmtId="164" fontId="0" fillId="3" borderId="28" xfId="0" applyNumberFormat="1" applyFill="1" applyBorder="1" applyProtection="1"/>
    <xf numFmtId="4" fontId="0" fillId="3" borderId="28" xfId="0" applyNumberFormat="1" applyFill="1" applyBorder="1" applyProtection="1"/>
    <xf numFmtId="164" fontId="0" fillId="0" borderId="28" xfId="0" applyNumberFormat="1" applyBorder="1" applyProtection="1">
      <protection locked="0"/>
    </xf>
    <xf numFmtId="4" fontId="0" fillId="4" borderId="29" xfId="0" applyNumberFormat="1" applyFill="1" applyBorder="1"/>
    <xf numFmtId="164" fontId="0" fillId="2" borderId="29" xfId="0" applyNumberFormat="1" applyFill="1" applyBorder="1" applyProtection="1"/>
    <xf numFmtId="4" fontId="0" fillId="3" borderId="29" xfId="0" applyNumberFormat="1" applyFill="1" applyBorder="1" applyProtection="1"/>
    <xf numFmtId="164" fontId="0" fillId="0" borderId="29" xfId="0" applyNumberFormat="1" applyBorder="1" applyProtection="1">
      <protection locked="0"/>
    </xf>
    <xf numFmtId="164" fontId="0" fillId="3" borderId="26" xfId="0" applyNumberFormat="1" applyFill="1" applyBorder="1"/>
    <xf numFmtId="0" fontId="0" fillId="3" borderId="24" xfId="0" applyFill="1" applyBorder="1" applyAlignment="1"/>
    <xf numFmtId="0" fontId="0" fillId="3" borderId="26" xfId="0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2" borderId="6" xfId="0" applyNumberFormat="1" applyFill="1" applyBorder="1" applyProtection="1"/>
    <xf numFmtId="4" fontId="0" fillId="2" borderId="6" xfId="0" applyNumberFormat="1" applyFill="1" applyBorder="1" applyProtection="1"/>
    <xf numFmtId="164" fontId="0" fillId="3" borderId="6" xfId="0" applyNumberFormat="1" applyFill="1" applyBorder="1" applyProtection="1"/>
    <xf numFmtId="49" fontId="0" fillId="3" borderId="24" xfId="0" applyNumberFormat="1" applyFill="1" applyBorder="1" applyAlignment="1"/>
    <xf numFmtId="164" fontId="0" fillId="0" borderId="27" xfId="0" applyNumberFormat="1" applyBorder="1" applyProtection="1">
      <protection locked="0"/>
    </xf>
    <xf numFmtId="4" fontId="0" fillId="3" borderId="27" xfId="0" applyNumberFormat="1" applyFill="1" applyBorder="1" applyProtection="1"/>
    <xf numFmtId="4" fontId="0" fillId="3" borderId="6" xfId="0" applyNumberFormat="1" applyFill="1" applyBorder="1" applyProtection="1"/>
    <xf numFmtId="49" fontId="0" fillId="3" borderId="27" xfId="0" applyNumberFormat="1" applyFill="1" applyBorder="1" applyAlignment="1">
      <alignment wrapText="1"/>
    </xf>
    <xf numFmtId="49" fontId="0" fillId="3" borderId="28" xfId="0" applyNumberFormat="1" applyFill="1" applyBorder="1" applyAlignment="1">
      <alignment wrapText="1"/>
    </xf>
    <xf numFmtId="4" fontId="0" fillId="3" borderId="28" xfId="0" applyNumberFormat="1" applyFill="1" applyBorder="1"/>
    <xf numFmtId="49" fontId="0" fillId="3" borderId="29" xfId="0" applyNumberFormat="1" applyFill="1" applyBorder="1" applyAlignment="1">
      <alignment wrapText="1"/>
    </xf>
    <xf numFmtId="4" fontId="0" fillId="3" borderId="29" xfId="0" applyNumberFormat="1" applyFill="1" applyBorder="1"/>
    <xf numFmtId="49" fontId="1" fillId="3" borderId="6" xfId="0" applyNumberFormat="1" applyFont="1" applyFill="1" applyBorder="1"/>
    <xf numFmtId="164" fontId="1" fillId="2" borderId="6" xfId="0" applyNumberFormat="1" applyFont="1" applyFill="1" applyBorder="1"/>
    <xf numFmtId="0" fontId="2" fillId="0" borderId="0" xfId="0" applyFont="1"/>
    <xf numFmtId="49" fontId="0" fillId="3" borderId="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6D65C-7F55-4E5A-9FE6-1A08CF3AD176}">
  <dimension ref="A1:B27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255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>IF(A13="2½W",2.5/dagenperweek1,IF(RIGHT(A13,1)="W",VALUE(LEFT(A13,LEN(A13)-1))/dagenperweek1,IF(RIGHT(A13,1)="J",VALUE(LEFT(A13,LEN(A13)-1))/dagenperjaar1,IF(RIGHT(A13,1)="D",VALUE(LEFT(A13,LEN(A13)-1)),"handmatig!"))))</f>
        <v>1</v>
      </c>
    </row>
    <row r="14" spans="1:2" x14ac:dyDescent="0.2">
      <c r="A14" s="2" t="s">
        <v>10</v>
      </c>
      <c r="B14" s="3">
        <f>IF(A14="2½W",2.5/dagenperweek1,IF(RIGHT(A14,1)="W",VALUE(LEFT(A14,LEN(A14)-1))/dagenperweek1,IF(RIGHT(A14,1)="J",VALUE(LEFT(A14,LEN(A14)-1))/dagenperjaar1,IF(RIGHT(A14,1)="D",VALUE(LEFT(A14,LEN(A14)-1)),"handmatig!"))))</f>
        <v>0.8</v>
      </c>
    </row>
    <row r="15" spans="1:2" x14ac:dyDescent="0.2">
      <c r="A15" s="2" t="s">
        <v>11</v>
      </c>
      <c r="B15" s="3">
        <f>IF(A15="2½W",2.5/dagenperweek1,IF(RIGHT(A15,1)="W",VALUE(LEFT(A15,LEN(A15)-1))/dagenperweek1,IF(RIGHT(A15,1)="J",VALUE(LEFT(A15,LEN(A15)-1))/dagenperjaar1,IF(RIGHT(A15,1)="D",VALUE(LEFT(A15,LEN(A15)-1)),"handmatig!"))))</f>
        <v>0.6</v>
      </c>
    </row>
    <row r="16" spans="1:2" x14ac:dyDescent="0.2">
      <c r="A16" s="2" t="s">
        <v>12</v>
      </c>
      <c r="B16" s="3">
        <f>IF(A16="2½W",2.5/dagenperweek1,IF(RIGHT(A16,1)="W",VALUE(LEFT(A16,LEN(A16)-1))/dagenperweek1,IF(RIGHT(A16,1)="J",VALUE(LEFT(A16,LEN(A16)-1))/dagenperjaar1,IF(RIGHT(A16,1)="D",VALUE(LEFT(A16,LEN(A16)-1)),"handmatig!"))))</f>
        <v>0.4</v>
      </c>
    </row>
    <row r="17" spans="1:2" x14ac:dyDescent="0.2">
      <c r="A17" s="2" t="s">
        <v>13</v>
      </c>
      <c r="B17" s="3">
        <f>IF(A17="2½W",2.5/dagenperweek1,IF(RIGHT(A17,1)="W",VALUE(LEFT(A17,LEN(A17)-1))/dagenperweek1,IF(RIGHT(A17,1)="J",VALUE(LEFT(A17,LEN(A17)-1))/dagenperjaar1,IF(RIGHT(A17,1)="D",VALUE(LEFT(A17,LEN(A17)-1)),"handmatig!"))))</f>
        <v>0.2</v>
      </c>
    </row>
    <row r="18" spans="1:2" x14ac:dyDescent="0.2">
      <c r="A18" s="2" t="s">
        <v>14</v>
      </c>
      <c r="B18" s="3">
        <f>IF(A18="2½W",2.5/dagenperweek1,IF(RIGHT(A18,1)="W",VALUE(LEFT(A18,LEN(A18)-1))/dagenperweek1,IF(RIGHT(A18,1)="J",VALUE(LEFT(A18,LEN(A18)-1))/dagenperjaar1,IF(RIGHT(A18,1)="D",VALUE(LEFT(A18,LEN(A18)-1)),"handmatig!"))))</f>
        <v>0.10196078431372549</v>
      </c>
    </row>
    <row r="19" spans="1:2" x14ac:dyDescent="0.2">
      <c r="A19" s="2" t="s">
        <v>15</v>
      </c>
      <c r="B19" s="3">
        <f>IF(A19="2½W",2.5/dagenperweek1,IF(RIGHT(A19,1)="W",VALUE(LEFT(A19,LEN(A19)-1))/dagenperweek1,IF(RIGHT(A19,1)="J",VALUE(LEFT(A19,LEN(A19)-1))/dagenperjaar1,IF(RIGHT(A19,1)="D",VALUE(LEFT(A19,LEN(A19)-1)),"handmatig!"))))</f>
        <v>4.7058823529411764E-2</v>
      </c>
    </row>
    <row r="20" spans="1:2" x14ac:dyDescent="0.2">
      <c r="A20" s="2" t="s">
        <v>16</v>
      </c>
      <c r="B20" s="3">
        <f>IF(A20="2½W",2.5/dagenperweek1,IF(RIGHT(A20,1)="W",VALUE(LEFT(A20,LEN(A20)-1))/dagenperweek1,IF(RIGHT(A20,1)="J",VALUE(LEFT(A20,LEN(A20)-1))/dagenperjaar1,IF(RIGHT(A20,1)="D",VALUE(LEFT(A20,LEN(A20)-1)),"handmatig!"))))</f>
        <v>3.9215686274509803E-2</v>
      </c>
    </row>
    <row r="21" spans="1:2" x14ac:dyDescent="0.2">
      <c r="A21" s="2" t="s">
        <v>17</v>
      </c>
      <c r="B21" s="3">
        <f>IF(A21="2½W",2.5/dagenperweek1,IF(RIGHT(A21,1)="W",VALUE(LEFT(A21,LEN(A21)-1))/dagenperweek1,IF(RIGHT(A21,1)="J",VALUE(LEFT(A21,LEN(A21)-1))/dagenperjaar1,IF(RIGHT(A21,1)="D",VALUE(LEFT(A21,LEN(A21)-1)),"handmatig!"))))</f>
        <v>3.5294117647058823E-2</v>
      </c>
    </row>
    <row r="22" spans="1:2" x14ac:dyDescent="0.2">
      <c r="A22" s="2" t="s">
        <v>18</v>
      </c>
      <c r="B22" s="3">
        <f>IF(A22="2½W",2.5/dagenperweek1,IF(RIGHT(A22,1)="W",VALUE(LEFT(A22,LEN(A22)-1))/dagenperweek1,IF(RIGHT(A22,1)="J",VALUE(LEFT(A22,LEN(A22)-1))/dagenperjaar1,IF(RIGHT(A22,1)="D",VALUE(LEFT(A22,LEN(A22)-1)),"handmatig!"))))</f>
        <v>2.7450980392156862E-2</v>
      </c>
    </row>
    <row r="23" spans="1:2" x14ac:dyDescent="0.2">
      <c r="A23" s="2" t="s">
        <v>19</v>
      </c>
      <c r="B23" s="3">
        <f>IF(A23="2½W",2.5/dagenperweek1,IF(RIGHT(A23,1)="W",VALUE(LEFT(A23,LEN(A23)-1))/dagenperweek1,IF(RIGHT(A23,1)="J",VALUE(LEFT(A23,LEN(A23)-1))/dagenperjaar1,IF(RIGHT(A23,1)="D",VALUE(LEFT(A23,LEN(A23)-1)),"handmatig!"))))</f>
        <v>2.3529411764705882E-2</v>
      </c>
    </row>
    <row r="24" spans="1:2" x14ac:dyDescent="0.2">
      <c r="A24" s="2" t="s">
        <v>20</v>
      </c>
      <c r="B24" s="3">
        <f>IF(A24="2½W",2.5/dagenperweek1,IF(RIGHT(A24,1)="W",VALUE(LEFT(A24,LEN(A24)-1))/dagenperweek1,IF(RIGHT(A24,1)="J",VALUE(LEFT(A24,LEN(A24)-1))/dagenperjaar1,IF(RIGHT(A24,1)="D",VALUE(LEFT(A24,LEN(A24)-1)),"handmatig!"))))</f>
        <v>1.5686274509803921E-2</v>
      </c>
    </row>
    <row r="25" spans="1:2" x14ac:dyDescent="0.2">
      <c r="A25" s="2" t="s">
        <v>21</v>
      </c>
      <c r="B25" s="3">
        <f>IF(A25="2½W",2.5/dagenperweek1,IF(RIGHT(A25,1)="W",VALUE(LEFT(A25,LEN(A25)-1))/dagenperweek1,IF(RIGHT(A25,1)="J",VALUE(LEFT(A25,LEN(A25)-1))/dagenperjaar1,IF(RIGHT(A25,1)="D",VALUE(LEFT(A25,LEN(A25)-1)),"handmatig!"))))</f>
        <v>1.1764705882352941E-2</v>
      </c>
    </row>
    <row r="26" spans="1:2" x14ac:dyDescent="0.2">
      <c r="A26" s="2" t="s">
        <v>22</v>
      </c>
      <c r="B26" s="3">
        <f>IF(A26="2½W",2.5/dagenperweek1,IF(RIGHT(A26,1)="W",VALUE(LEFT(A26,LEN(A26)-1))/dagenperweek1,IF(RIGHT(A26,1)="J",VALUE(LEFT(A26,LEN(A26)-1))/dagenperjaar1,IF(RIGHT(A26,1)="D",VALUE(LEFT(A26,LEN(A26)-1)),"handmatig!"))))</f>
        <v>7.8431372549019607E-3</v>
      </c>
    </row>
    <row r="27" spans="1:2" x14ac:dyDescent="0.2">
      <c r="A27" s="6" t="s">
        <v>23</v>
      </c>
      <c r="B27" s="7">
        <f>IF(A27="2½W",2.5/dagenperweek1,IF(RIGHT(A27,1)="W",VALUE(LEFT(A27,LEN(A27)-1))/dagenperweek1,IF(RIGHT(A27,1)="J",VALUE(LEFT(A27,LEN(A27)-1))/dagenperjaar1,IF(RIGHT(A27,1)="D",VALUE(LEFT(A27,LEN(A27)-1)),"handmatig!"))))</f>
        <v>3.9215686274509803E-3</v>
      </c>
    </row>
  </sheetData>
  <sheetProtection algorithmName="SHA-512" hashValue="9aPYon8UT7ZZQ0N3Ia5ywbCFcj7zaEErhH9erQUPmWwodR8+QepJ9NVjJdN4XS/Fs/ssBoxA33eVsZQNE8vjvw==" saltValue="oZasJDyAVM3KftonmUWPsg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B9A37-E6D9-4B6C-8858-4E71C7E7920E}">
  <dimension ref="A1:Q61"/>
  <sheetViews>
    <sheetView workbookViewId="0"/>
  </sheetViews>
  <sheetFormatPr defaultRowHeight="12.75" x14ac:dyDescent="0.2"/>
  <cols>
    <col min="1" max="1" width="40.625" customWidth="1"/>
    <col min="2" max="2" width="8.125" customWidth="1"/>
    <col min="3" max="3" width="10.625" customWidth="1"/>
    <col min="4" max="4" width="8.125" customWidth="1"/>
    <col min="5" max="5" width="10.625" customWidth="1"/>
    <col min="6" max="6" width="8.125" customWidth="1"/>
    <col min="7" max="7" width="10.625" customWidth="1"/>
    <col min="8" max="8" width="8.125" customWidth="1"/>
    <col min="9" max="9" width="10.625" customWidth="1"/>
    <col min="10" max="10" width="8.125" customWidth="1"/>
    <col min="11" max="11" width="10.625" customWidth="1"/>
    <col min="12" max="12" width="8.125" customWidth="1"/>
    <col min="13" max="13" width="10.625" customWidth="1"/>
    <col min="14" max="14" width="8.125" customWidth="1"/>
    <col min="15" max="15" width="10.625" customWidth="1"/>
    <col min="16" max="16" width="8.125" customWidth="1"/>
    <col min="17" max="17" width="10.625" customWidth="1"/>
  </cols>
  <sheetData>
    <row r="1" spans="1:17" x14ac:dyDescent="0.2">
      <c r="A1" s="1" t="s">
        <v>24</v>
      </c>
    </row>
    <row r="3" spans="1:17" x14ac:dyDescent="0.2">
      <c r="A3" s="10"/>
      <c r="B3" s="11" t="s">
        <v>25</v>
      </c>
      <c r="C3" s="11"/>
      <c r="D3" s="11" t="s">
        <v>25</v>
      </c>
      <c r="E3" s="11"/>
      <c r="F3" s="11" t="s">
        <v>25</v>
      </c>
      <c r="G3" s="11"/>
      <c r="H3" s="11" t="s">
        <v>25</v>
      </c>
      <c r="I3" s="11"/>
      <c r="J3" s="11" t="s">
        <v>25</v>
      </c>
      <c r="K3" s="11"/>
      <c r="L3" s="11" t="s">
        <v>26</v>
      </c>
      <c r="M3" s="11"/>
      <c r="N3" s="11" t="s">
        <v>26</v>
      </c>
      <c r="O3" s="11"/>
      <c r="P3" s="11" t="s">
        <v>26</v>
      </c>
      <c r="Q3" s="12"/>
    </row>
    <row r="4" spans="1:17" x14ac:dyDescent="0.2">
      <c r="A4" s="13"/>
      <c r="B4" s="14" t="s">
        <v>27</v>
      </c>
      <c r="C4" s="14"/>
      <c r="D4" s="14" t="s">
        <v>27</v>
      </c>
      <c r="E4" s="14"/>
      <c r="F4" s="14" t="s">
        <v>27</v>
      </c>
      <c r="G4" s="14"/>
      <c r="H4" s="14" t="s">
        <v>28</v>
      </c>
      <c r="I4" s="14"/>
      <c r="J4" s="14" t="s">
        <v>28</v>
      </c>
      <c r="K4" s="14"/>
      <c r="L4" s="14" t="s">
        <v>27</v>
      </c>
      <c r="M4" s="14"/>
      <c r="N4" s="14" t="s">
        <v>27</v>
      </c>
      <c r="O4" s="14"/>
      <c r="P4" s="14" t="s">
        <v>28</v>
      </c>
      <c r="Q4" s="15"/>
    </row>
    <row r="5" spans="1:17" ht="25.5" customHeight="1" x14ac:dyDescent="0.2">
      <c r="A5" s="16" t="s">
        <v>29</v>
      </c>
      <c r="B5" s="17" t="s">
        <v>30</v>
      </c>
      <c r="C5" s="17"/>
      <c r="D5" s="17" t="s">
        <v>30</v>
      </c>
      <c r="E5" s="17"/>
      <c r="F5" s="17" t="s">
        <v>31</v>
      </c>
      <c r="G5" s="17"/>
      <c r="H5" s="17" t="s">
        <v>32</v>
      </c>
      <c r="I5" s="17"/>
      <c r="J5" s="17" t="s">
        <v>32</v>
      </c>
      <c r="K5" s="17"/>
      <c r="L5" s="17" t="s">
        <v>33</v>
      </c>
      <c r="M5" s="17"/>
      <c r="N5" s="17" t="s">
        <v>33</v>
      </c>
      <c r="O5" s="17"/>
      <c r="P5" s="17" t="s">
        <v>34</v>
      </c>
      <c r="Q5" s="18"/>
    </row>
    <row r="6" spans="1:17" ht="38.25" customHeight="1" x14ac:dyDescent="0.2">
      <c r="A6" s="19" t="s">
        <v>35</v>
      </c>
      <c r="B6" s="17" t="s">
        <v>36</v>
      </c>
      <c r="C6" s="17"/>
      <c r="D6" s="20" t="s">
        <v>37</v>
      </c>
      <c r="E6" s="20"/>
      <c r="F6" s="17" t="s">
        <v>38</v>
      </c>
      <c r="G6" s="17"/>
      <c r="H6" s="17" t="s">
        <v>38</v>
      </c>
      <c r="I6" s="17"/>
      <c r="J6" s="17" t="s">
        <v>39</v>
      </c>
      <c r="K6" s="17"/>
      <c r="L6" s="20" t="s">
        <v>37</v>
      </c>
      <c r="M6" s="20"/>
      <c r="N6" s="17" t="s">
        <v>40</v>
      </c>
      <c r="O6" s="17"/>
      <c r="P6" s="20" t="s">
        <v>37</v>
      </c>
      <c r="Q6" s="21"/>
    </row>
    <row r="7" spans="1:17" x14ac:dyDescent="0.2">
      <c r="A7" s="22" t="s">
        <v>41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4"/>
    </row>
    <row r="8" spans="1:17" x14ac:dyDescent="0.2">
      <c r="A8" s="22" t="s">
        <v>42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4"/>
    </row>
    <row r="9" spans="1:17" x14ac:dyDescent="0.2">
      <c r="A9" s="13" t="s">
        <v>43</v>
      </c>
      <c r="B9" s="25">
        <f>SUM(B7:B8)</f>
        <v>0</v>
      </c>
      <c r="C9" s="25"/>
      <c r="D9" s="25">
        <f>SUM(D7:D8)</f>
        <v>0</v>
      </c>
      <c r="E9" s="25"/>
      <c r="F9" s="25">
        <f>SUM(F7:F8)</f>
        <v>0</v>
      </c>
      <c r="G9" s="25"/>
      <c r="H9" s="25">
        <f>SUM(H7:H8)</f>
        <v>0</v>
      </c>
      <c r="I9" s="25"/>
      <c r="J9" s="25">
        <f>SUM(J7:J8)</f>
        <v>0</v>
      </c>
      <c r="K9" s="25"/>
      <c r="L9" s="25">
        <f>SUM(L7:L8)</f>
        <v>0</v>
      </c>
      <c r="M9" s="25"/>
      <c r="N9" s="25">
        <f>SUM(N7:N8)</f>
        <v>0</v>
      </c>
      <c r="O9" s="25"/>
      <c r="P9" s="25">
        <f>SUM(P7:P8)</f>
        <v>0</v>
      </c>
      <c r="Q9" s="26"/>
    </row>
    <row r="10" spans="1:17" x14ac:dyDescent="0.2">
      <c r="A10" s="22" t="s">
        <v>44</v>
      </c>
      <c r="B10" s="27"/>
      <c r="C10" s="28">
        <f>TariefOpbouwBasisloon1*B10</f>
        <v>0</v>
      </c>
      <c r="D10" s="27"/>
      <c r="E10" s="28">
        <f>TariefOpbouwBasisloon2*D10</f>
        <v>0</v>
      </c>
      <c r="F10" s="27"/>
      <c r="G10" s="28">
        <f>TariefOpbouwBasisloon3*F10</f>
        <v>0</v>
      </c>
      <c r="H10" s="27"/>
      <c r="I10" s="28">
        <f>TariefOpbouwBasisloon4*H10</f>
        <v>0</v>
      </c>
      <c r="J10" s="27"/>
      <c r="K10" s="28">
        <f>TariefOpbouwBasisloon5*J10</f>
        <v>0</v>
      </c>
      <c r="L10" s="27"/>
      <c r="M10" s="28">
        <f>TariefOpbouwBasisloon6*L10</f>
        <v>0</v>
      </c>
      <c r="N10" s="27"/>
      <c r="O10" s="28">
        <f>TariefOpbouwBasisloon7*N10</f>
        <v>0</v>
      </c>
      <c r="P10" s="27"/>
      <c r="Q10" s="29">
        <f>TariefOpbouwBasisloon8*P10</f>
        <v>0</v>
      </c>
    </row>
    <row r="11" spans="1:17" x14ac:dyDescent="0.2">
      <c r="A11" s="22" t="s">
        <v>45</v>
      </c>
      <c r="B11" s="27"/>
      <c r="C11" s="28">
        <f>TariefOpbouwBasisloon1*B11</f>
        <v>0</v>
      </c>
      <c r="D11" s="27"/>
      <c r="E11" s="28">
        <f>TariefOpbouwBasisloon2*D11</f>
        <v>0</v>
      </c>
      <c r="F11" s="27"/>
      <c r="G11" s="28">
        <f>TariefOpbouwBasisloon3*F11</f>
        <v>0</v>
      </c>
      <c r="H11" s="27"/>
      <c r="I11" s="28">
        <f>TariefOpbouwBasisloon4*H11</f>
        <v>0</v>
      </c>
      <c r="J11" s="27"/>
      <c r="K11" s="28">
        <f>TariefOpbouwBasisloon5*J11</f>
        <v>0</v>
      </c>
      <c r="L11" s="27"/>
      <c r="M11" s="28">
        <f>TariefOpbouwBasisloon6*L11</f>
        <v>0</v>
      </c>
      <c r="N11" s="27"/>
      <c r="O11" s="28">
        <f>TariefOpbouwBasisloon7*N11</f>
        <v>0</v>
      </c>
      <c r="P11" s="27"/>
      <c r="Q11" s="29">
        <f>TariefOpbouwBasisloon8*P11</f>
        <v>0</v>
      </c>
    </row>
    <row r="12" spans="1:17" x14ac:dyDescent="0.2">
      <c r="A12" s="13" t="s">
        <v>46</v>
      </c>
      <c r="B12" s="25">
        <f>SUM(TariefOpbouwBasisloon1,C10:C11)</f>
        <v>0</v>
      </c>
      <c r="C12" s="25"/>
      <c r="D12" s="25">
        <f>SUM(TariefOpbouwBasisloon2,E10:E11)</f>
        <v>0</v>
      </c>
      <c r="E12" s="25"/>
      <c r="F12" s="25">
        <f>SUM(TariefOpbouwBasisloon3,G10:G11)</f>
        <v>0</v>
      </c>
      <c r="G12" s="25"/>
      <c r="H12" s="25">
        <f>SUM(TariefOpbouwBasisloon4,I10:I11)</f>
        <v>0</v>
      </c>
      <c r="I12" s="25"/>
      <c r="J12" s="25">
        <f>SUM(TariefOpbouwBasisloon5,K10:K11)</f>
        <v>0</v>
      </c>
      <c r="K12" s="25"/>
      <c r="L12" s="25">
        <f>SUM(TariefOpbouwBasisloon6,M10:M11)</f>
        <v>0</v>
      </c>
      <c r="M12" s="25"/>
      <c r="N12" s="25">
        <f>SUM(TariefOpbouwBasisloon7,O10:O11)</f>
        <v>0</v>
      </c>
      <c r="O12" s="25"/>
      <c r="P12" s="25">
        <f>SUM(TariefOpbouwBasisloon8,Q10:Q11)</f>
        <v>0</v>
      </c>
      <c r="Q12" s="26"/>
    </row>
    <row r="13" spans="1:17" x14ac:dyDescent="0.2">
      <c r="A13" s="22" t="s">
        <v>47</v>
      </c>
      <c r="B13" s="27"/>
      <c r="C13" s="28">
        <f>TariefOpbouwUurloon1*B13</f>
        <v>0</v>
      </c>
      <c r="D13" s="27"/>
      <c r="E13" s="28">
        <f>TariefOpbouwUurloon2*D13</f>
        <v>0</v>
      </c>
      <c r="F13" s="27"/>
      <c r="G13" s="28">
        <f>TariefOpbouwUurloon3*F13</f>
        <v>0</v>
      </c>
      <c r="H13" s="27"/>
      <c r="I13" s="28">
        <f>TariefOpbouwUurloon4*H13</f>
        <v>0</v>
      </c>
      <c r="J13" s="27"/>
      <c r="K13" s="28">
        <f>TariefOpbouwUurloon5*J13</f>
        <v>0</v>
      </c>
      <c r="L13" s="27"/>
      <c r="M13" s="28">
        <f>TariefOpbouwUurloon6*L13</f>
        <v>0</v>
      </c>
      <c r="N13" s="27"/>
      <c r="O13" s="28">
        <f>TariefOpbouwUurloon7*N13</f>
        <v>0</v>
      </c>
      <c r="P13" s="27"/>
      <c r="Q13" s="29">
        <f>TariefOpbouwUurloon8*P13</f>
        <v>0</v>
      </c>
    </row>
    <row r="14" spans="1:17" x14ac:dyDescent="0.2">
      <c r="A14" s="13" t="s">
        <v>48</v>
      </c>
      <c r="B14" s="25">
        <f>SUM(TariefOpbouwUurloon1,C13:C13)</f>
        <v>0</v>
      </c>
      <c r="C14" s="25"/>
      <c r="D14" s="25">
        <f>SUM(TariefOpbouwUurloon2,E13:E13)</f>
        <v>0</v>
      </c>
      <c r="E14" s="25"/>
      <c r="F14" s="25">
        <f>SUM(TariefOpbouwUurloon3,G13:G13)</f>
        <v>0</v>
      </c>
      <c r="G14" s="25"/>
      <c r="H14" s="25">
        <f>SUM(TariefOpbouwUurloon4,I13:I13)</f>
        <v>0</v>
      </c>
      <c r="I14" s="25"/>
      <c r="J14" s="25">
        <f>SUM(TariefOpbouwUurloon5,K13:K13)</f>
        <v>0</v>
      </c>
      <c r="K14" s="25"/>
      <c r="L14" s="25">
        <f>SUM(TariefOpbouwUurloon6,M13:M13)</f>
        <v>0</v>
      </c>
      <c r="M14" s="25"/>
      <c r="N14" s="25">
        <f>SUM(TariefOpbouwUurloon7,O13:O13)</f>
        <v>0</v>
      </c>
      <c r="O14" s="25"/>
      <c r="P14" s="25">
        <f>SUM(TariefOpbouwUurloon8,Q13:Q13)</f>
        <v>0</v>
      </c>
      <c r="Q14" s="26"/>
    </row>
    <row r="15" spans="1:17" x14ac:dyDescent="0.2">
      <c r="A15" s="22" t="s">
        <v>49</v>
      </c>
      <c r="B15" s="27"/>
      <c r="C15" s="28">
        <f>TariefOpbouwUurloonkosten1*B15</f>
        <v>0</v>
      </c>
      <c r="D15" s="27"/>
      <c r="E15" s="28">
        <f>TariefOpbouwUurloonkosten2*D15</f>
        <v>0</v>
      </c>
      <c r="F15" s="27"/>
      <c r="G15" s="28">
        <f>TariefOpbouwUurloonkosten3*F15</f>
        <v>0</v>
      </c>
      <c r="H15" s="27"/>
      <c r="I15" s="28">
        <f>TariefOpbouwUurloonkosten4*H15</f>
        <v>0</v>
      </c>
      <c r="J15" s="27"/>
      <c r="K15" s="28">
        <f>TariefOpbouwUurloonkosten5*J15</f>
        <v>0</v>
      </c>
      <c r="L15" s="27"/>
      <c r="M15" s="28">
        <f>TariefOpbouwUurloonkosten6*L15</f>
        <v>0</v>
      </c>
      <c r="N15" s="27"/>
      <c r="O15" s="28">
        <f>TariefOpbouwUurloonkosten7*N15</f>
        <v>0</v>
      </c>
      <c r="P15" s="27"/>
      <c r="Q15" s="29">
        <f>TariefOpbouwUurloonkosten8*P15</f>
        <v>0</v>
      </c>
    </row>
    <row r="16" spans="1:17" x14ac:dyDescent="0.2">
      <c r="A16" s="22" t="s">
        <v>50</v>
      </c>
      <c r="B16" s="27"/>
      <c r="C16" s="28">
        <f>TariefOpbouwUurloonkosten1*B16</f>
        <v>0</v>
      </c>
      <c r="D16" s="27"/>
      <c r="E16" s="28">
        <f>TariefOpbouwUurloonkosten2*D16</f>
        <v>0</v>
      </c>
      <c r="F16" s="27"/>
      <c r="G16" s="28">
        <f>TariefOpbouwUurloonkosten3*F16</f>
        <v>0</v>
      </c>
      <c r="H16" s="27"/>
      <c r="I16" s="28">
        <f>TariefOpbouwUurloonkosten4*H16</f>
        <v>0</v>
      </c>
      <c r="J16" s="27"/>
      <c r="K16" s="28">
        <f>TariefOpbouwUurloonkosten5*J16</f>
        <v>0</v>
      </c>
      <c r="L16" s="27"/>
      <c r="M16" s="28">
        <f>TariefOpbouwUurloonkosten6*L16</f>
        <v>0</v>
      </c>
      <c r="N16" s="27"/>
      <c r="O16" s="28">
        <f>TariefOpbouwUurloonkosten7*N16</f>
        <v>0</v>
      </c>
      <c r="P16" s="27"/>
      <c r="Q16" s="29">
        <f>TariefOpbouwUurloonkosten8*P16</f>
        <v>0</v>
      </c>
    </row>
    <row r="17" spans="1:17" x14ac:dyDescent="0.2">
      <c r="A17" s="22" t="s">
        <v>51</v>
      </c>
      <c r="B17" s="27"/>
      <c r="C17" s="28">
        <f>TariefOpbouwUurloonkosten1*B17</f>
        <v>0</v>
      </c>
      <c r="D17" s="27"/>
      <c r="E17" s="28">
        <f>TariefOpbouwUurloonkosten2*D17</f>
        <v>0</v>
      </c>
      <c r="F17" s="27"/>
      <c r="G17" s="28">
        <f>TariefOpbouwUurloonkosten3*F17</f>
        <v>0</v>
      </c>
      <c r="H17" s="27"/>
      <c r="I17" s="28">
        <f>TariefOpbouwUurloonkosten4*H17</f>
        <v>0</v>
      </c>
      <c r="J17" s="27"/>
      <c r="K17" s="28">
        <f>TariefOpbouwUurloonkosten5*J17</f>
        <v>0</v>
      </c>
      <c r="L17" s="27"/>
      <c r="M17" s="28">
        <f>TariefOpbouwUurloonkosten6*L17</f>
        <v>0</v>
      </c>
      <c r="N17" s="27"/>
      <c r="O17" s="28">
        <f>TariefOpbouwUurloonkosten7*N17</f>
        <v>0</v>
      </c>
      <c r="P17" s="27"/>
      <c r="Q17" s="29">
        <f>TariefOpbouwUurloonkosten8*P17</f>
        <v>0</v>
      </c>
    </row>
    <row r="18" spans="1:17" x14ac:dyDescent="0.2">
      <c r="A18" s="22" t="s">
        <v>52</v>
      </c>
      <c r="B18" s="27"/>
      <c r="C18" s="28">
        <f>TariefOpbouwUurloonkosten1*B18</f>
        <v>0</v>
      </c>
      <c r="D18" s="27"/>
      <c r="E18" s="28">
        <f>TariefOpbouwUurloonkosten2*D18</f>
        <v>0</v>
      </c>
      <c r="F18" s="27"/>
      <c r="G18" s="28">
        <f>TariefOpbouwUurloonkosten3*F18</f>
        <v>0</v>
      </c>
      <c r="H18" s="27"/>
      <c r="I18" s="28">
        <f>TariefOpbouwUurloonkosten4*H18</f>
        <v>0</v>
      </c>
      <c r="J18" s="27"/>
      <c r="K18" s="28">
        <f>TariefOpbouwUurloonkosten5*J18</f>
        <v>0</v>
      </c>
      <c r="L18" s="27"/>
      <c r="M18" s="28">
        <f>TariefOpbouwUurloonkosten6*L18</f>
        <v>0</v>
      </c>
      <c r="N18" s="27"/>
      <c r="O18" s="28">
        <f>TariefOpbouwUurloonkosten7*N18</f>
        <v>0</v>
      </c>
      <c r="P18" s="27"/>
      <c r="Q18" s="29">
        <f>TariefOpbouwUurloonkosten8*P18</f>
        <v>0</v>
      </c>
    </row>
    <row r="19" spans="1:17" x14ac:dyDescent="0.2">
      <c r="A19" s="13" t="s">
        <v>53</v>
      </c>
      <c r="B19" s="25">
        <f>SUM(TariefOpbouwUurloonkosten1,C15:C18)</f>
        <v>0</v>
      </c>
      <c r="C19" s="25"/>
      <c r="D19" s="25">
        <f>SUM(TariefOpbouwUurloonkosten2,E15:E18)</f>
        <v>0</v>
      </c>
      <c r="E19" s="25"/>
      <c r="F19" s="25">
        <f>SUM(TariefOpbouwUurloonkosten3,G15:G18)</f>
        <v>0</v>
      </c>
      <c r="G19" s="25"/>
      <c r="H19" s="25">
        <f>SUM(TariefOpbouwUurloonkosten4,I15:I18)</f>
        <v>0</v>
      </c>
      <c r="I19" s="25"/>
      <c r="J19" s="25">
        <f>SUM(TariefOpbouwUurloonkosten5,K15:K18)</f>
        <v>0</v>
      </c>
      <c r="K19" s="25"/>
      <c r="L19" s="25">
        <f>SUM(TariefOpbouwUurloonkosten6,M15:M18)</f>
        <v>0</v>
      </c>
      <c r="M19" s="25"/>
      <c r="N19" s="25">
        <f>SUM(TariefOpbouwUurloonkosten7,O15:O18)</f>
        <v>0</v>
      </c>
      <c r="O19" s="25"/>
      <c r="P19" s="25">
        <f>SUM(TariefOpbouwUurloonkosten8,Q15:Q18)</f>
        <v>0</v>
      </c>
      <c r="Q19" s="26"/>
    </row>
    <row r="20" spans="1:17" x14ac:dyDescent="0.2">
      <c r="A20" s="22" t="s">
        <v>54</v>
      </c>
      <c r="B20" s="27"/>
      <c r="C20" s="28">
        <f>TariefOpbouwTotaalLoonkosten1*B20</f>
        <v>0</v>
      </c>
      <c r="D20" s="27"/>
      <c r="E20" s="28">
        <f>TariefOpbouwTotaalLoonkosten2*D20</f>
        <v>0</v>
      </c>
      <c r="F20" s="27"/>
      <c r="G20" s="28">
        <f>TariefOpbouwTotaalLoonkosten3*F20</f>
        <v>0</v>
      </c>
      <c r="H20" s="27"/>
      <c r="I20" s="28">
        <f>TariefOpbouwTotaalLoonkosten4*H20</f>
        <v>0</v>
      </c>
      <c r="J20" s="27"/>
      <c r="K20" s="28">
        <f>TariefOpbouwTotaalLoonkosten5*J20</f>
        <v>0</v>
      </c>
      <c r="L20" s="27"/>
      <c r="M20" s="28">
        <f>TariefOpbouwTotaalLoonkosten6*L20</f>
        <v>0</v>
      </c>
      <c r="N20" s="27"/>
      <c r="O20" s="28">
        <f>TariefOpbouwTotaalLoonkosten7*N20</f>
        <v>0</v>
      </c>
      <c r="P20" s="27"/>
      <c r="Q20" s="29">
        <f>TariefOpbouwTotaalLoonkosten8*P20</f>
        <v>0</v>
      </c>
    </row>
    <row r="21" spans="1:17" x14ac:dyDescent="0.2">
      <c r="A21" s="22" t="s">
        <v>55</v>
      </c>
      <c r="B21" s="27"/>
      <c r="C21" s="28">
        <f>TariefOpbouwTotaalLoonkosten1*B21</f>
        <v>0</v>
      </c>
      <c r="D21" s="27"/>
      <c r="E21" s="28">
        <f>TariefOpbouwTotaalLoonkosten2*D21</f>
        <v>0</v>
      </c>
      <c r="F21" s="27"/>
      <c r="G21" s="28">
        <f>TariefOpbouwTotaalLoonkosten3*F21</f>
        <v>0</v>
      </c>
      <c r="H21" s="27"/>
      <c r="I21" s="28">
        <f>TariefOpbouwTotaalLoonkosten4*H21</f>
        <v>0</v>
      </c>
      <c r="J21" s="27"/>
      <c r="K21" s="28">
        <f>TariefOpbouwTotaalLoonkosten5*J21</f>
        <v>0</v>
      </c>
      <c r="L21" s="27"/>
      <c r="M21" s="28">
        <f>TariefOpbouwTotaalLoonkosten6*L21</f>
        <v>0</v>
      </c>
      <c r="N21" s="27"/>
      <c r="O21" s="28">
        <f>TariefOpbouwTotaalLoonkosten7*N21</f>
        <v>0</v>
      </c>
      <c r="P21" s="27"/>
      <c r="Q21" s="29">
        <f>TariefOpbouwTotaalLoonkosten8*P21</f>
        <v>0</v>
      </c>
    </row>
    <row r="22" spans="1:17" x14ac:dyDescent="0.2">
      <c r="A22" s="22" t="s">
        <v>56</v>
      </c>
      <c r="B22" s="27"/>
      <c r="C22" s="28">
        <f>TariefOpbouwTotaalLoonkosten1*B22</f>
        <v>0</v>
      </c>
      <c r="D22" s="27"/>
      <c r="E22" s="28">
        <f>TariefOpbouwTotaalLoonkosten2*D22</f>
        <v>0</v>
      </c>
      <c r="F22" s="27"/>
      <c r="G22" s="28">
        <f>TariefOpbouwTotaalLoonkosten3*F22</f>
        <v>0</v>
      </c>
      <c r="H22" s="27"/>
      <c r="I22" s="28">
        <f>TariefOpbouwTotaalLoonkosten4*H22</f>
        <v>0</v>
      </c>
      <c r="J22" s="27"/>
      <c r="K22" s="28">
        <f>TariefOpbouwTotaalLoonkosten5*J22</f>
        <v>0</v>
      </c>
      <c r="L22" s="27"/>
      <c r="M22" s="28">
        <f>TariefOpbouwTotaalLoonkosten6*L22</f>
        <v>0</v>
      </c>
      <c r="N22" s="27"/>
      <c r="O22" s="28">
        <f>TariefOpbouwTotaalLoonkosten7*N22</f>
        <v>0</v>
      </c>
      <c r="P22" s="27"/>
      <c r="Q22" s="29">
        <f>TariefOpbouwTotaalLoonkosten8*P22</f>
        <v>0</v>
      </c>
    </row>
    <row r="23" spans="1:17" x14ac:dyDescent="0.2">
      <c r="A23" s="22" t="s">
        <v>57</v>
      </c>
      <c r="B23" s="27"/>
      <c r="C23" s="28">
        <f>TariefOpbouwTotaalLoonkosten1*B23</f>
        <v>0</v>
      </c>
      <c r="D23" s="27"/>
      <c r="E23" s="28">
        <f>TariefOpbouwTotaalLoonkosten2*D23</f>
        <v>0</v>
      </c>
      <c r="F23" s="27"/>
      <c r="G23" s="28">
        <f>TariefOpbouwTotaalLoonkosten3*F23</f>
        <v>0</v>
      </c>
      <c r="H23" s="27"/>
      <c r="I23" s="28">
        <f>TariefOpbouwTotaalLoonkosten4*H23</f>
        <v>0</v>
      </c>
      <c r="J23" s="27"/>
      <c r="K23" s="28">
        <f>TariefOpbouwTotaalLoonkosten5*J23</f>
        <v>0</v>
      </c>
      <c r="L23" s="27"/>
      <c r="M23" s="28">
        <f>TariefOpbouwTotaalLoonkosten6*L23</f>
        <v>0</v>
      </c>
      <c r="N23" s="27"/>
      <c r="O23" s="28">
        <f>TariefOpbouwTotaalLoonkosten7*N23</f>
        <v>0</v>
      </c>
      <c r="P23" s="27"/>
      <c r="Q23" s="29">
        <f>TariefOpbouwTotaalLoonkosten8*P23</f>
        <v>0</v>
      </c>
    </row>
    <row r="24" spans="1:17" x14ac:dyDescent="0.2">
      <c r="A24" s="22" t="s">
        <v>58</v>
      </c>
      <c r="B24" s="27"/>
      <c r="C24" s="28">
        <f>TariefOpbouwTotaalLoonkosten1*B24</f>
        <v>0</v>
      </c>
      <c r="D24" s="27"/>
      <c r="E24" s="28">
        <f>TariefOpbouwTotaalLoonkosten2*D24</f>
        <v>0</v>
      </c>
      <c r="F24" s="27"/>
      <c r="G24" s="28">
        <f>TariefOpbouwTotaalLoonkosten3*F24</f>
        <v>0</v>
      </c>
      <c r="H24" s="27"/>
      <c r="I24" s="28">
        <f>TariefOpbouwTotaalLoonkosten4*H24</f>
        <v>0</v>
      </c>
      <c r="J24" s="27"/>
      <c r="K24" s="28">
        <f>TariefOpbouwTotaalLoonkosten5*J24</f>
        <v>0</v>
      </c>
      <c r="L24" s="27"/>
      <c r="M24" s="28">
        <f>TariefOpbouwTotaalLoonkosten6*L24</f>
        <v>0</v>
      </c>
      <c r="N24" s="27"/>
      <c r="O24" s="28">
        <f>TariefOpbouwTotaalLoonkosten7*N24</f>
        <v>0</v>
      </c>
      <c r="P24" s="27"/>
      <c r="Q24" s="29">
        <f>TariefOpbouwTotaalLoonkosten8*P24</f>
        <v>0</v>
      </c>
    </row>
    <row r="25" spans="1:17" x14ac:dyDescent="0.2">
      <c r="A25" s="22" t="s">
        <v>59</v>
      </c>
      <c r="B25" s="27"/>
      <c r="C25" s="28">
        <f>TariefOpbouwTotaalLoonkosten1*B25</f>
        <v>0</v>
      </c>
      <c r="D25" s="27"/>
      <c r="E25" s="28">
        <f>TariefOpbouwTotaalLoonkosten2*D25</f>
        <v>0</v>
      </c>
      <c r="F25" s="27"/>
      <c r="G25" s="28">
        <f>TariefOpbouwTotaalLoonkosten3*F25</f>
        <v>0</v>
      </c>
      <c r="H25" s="27"/>
      <c r="I25" s="28">
        <f>TariefOpbouwTotaalLoonkosten4*H25</f>
        <v>0</v>
      </c>
      <c r="J25" s="27"/>
      <c r="K25" s="28">
        <f>TariefOpbouwTotaalLoonkosten5*J25</f>
        <v>0</v>
      </c>
      <c r="L25" s="27"/>
      <c r="M25" s="28">
        <f>TariefOpbouwTotaalLoonkosten6*L25</f>
        <v>0</v>
      </c>
      <c r="N25" s="27"/>
      <c r="O25" s="28">
        <f>TariefOpbouwTotaalLoonkosten7*N25</f>
        <v>0</v>
      </c>
      <c r="P25" s="27"/>
      <c r="Q25" s="29">
        <f>TariefOpbouwTotaalLoonkosten8*P25</f>
        <v>0</v>
      </c>
    </row>
    <row r="26" spans="1:17" x14ac:dyDescent="0.2">
      <c r="A26" s="13" t="s">
        <v>60</v>
      </c>
      <c r="B26" s="25">
        <f>SUM(TariefOpbouwTotaalLoonkosten1,C20:C25)</f>
        <v>0</v>
      </c>
      <c r="C26" s="25"/>
      <c r="D26" s="25">
        <f>SUM(TariefOpbouwTotaalLoonkosten2,E20:E25)</f>
        <v>0</v>
      </c>
      <c r="E26" s="25"/>
      <c r="F26" s="25">
        <f>SUM(TariefOpbouwTotaalLoonkosten3,G20:G25)</f>
        <v>0</v>
      </c>
      <c r="G26" s="25"/>
      <c r="H26" s="25">
        <f>SUM(TariefOpbouwTotaalLoonkosten4,I20:I25)</f>
        <v>0</v>
      </c>
      <c r="I26" s="25"/>
      <c r="J26" s="25">
        <f>SUM(TariefOpbouwTotaalLoonkosten5,K20:K25)</f>
        <v>0</v>
      </c>
      <c r="K26" s="25"/>
      <c r="L26" s="25">
        <f>SUM(TariefOpbouwTotaalLoonkosten6,M20:M25)</f>
        <v>0</v>
      </c>
      <c r="M26" s="25"/>
      <c r="N26" s="25">
        <f>SUM(TariefOpbouwTotaalLoonkosten7,O20:O25)</f>
        <v>0</v>
      </c>
      <c r="O26" s="25"/>
      <c r="P26" s="25">
        <f>SUM(TariefOpbouwTotaalLoonkosten8,Q20:Q25)</f>
        <v>0</v>
      </c>
      <c r="Q26" s="26"/>
    </row>
    <row r="27" spans="1:17" x14ac:dyDescent="0.2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2"/>
    </row>
    <row r="28" spans="1:17" x14ac:dyDescent="0.2">
      <c r="A28" s="22" t="s">
        <v>61</v>
      </c>
      <c r="B28" s="27"/>
      <c r="C28" s="28">
        <f>TariefOpbouwDirecteKosten1*B28</f>
        <v>0</v>
      </c>
      <c r="D28" s="27"/>
      <c r="E28" s="28">
        <f>TariefOpbouwDirecteKosten2*D28</f>
        <v>0</v>
      </c>
      <c r="F28" s="27"/>
      <c r="G28" s="28">
        <f>TariefOpbouwDirecteKosten3*F28</f>
        <v>0</v>
      </c>
      <c r="H28" s="27"/>
      <c r="I28" s="28">
        <f>TariefOpbouwDirecteKosten4*H28</f>
        <v>0</v>
      </c>
      <c r="J28" s="27"/>
      <c r="K28" s="28">
        <f>TariefOpbouwDirecteKosten5*J28</f>
        <v>0</v>
      </c>
      <c r="L28" s="27"/>
      <c r="M28" s="28">
        <f>TariefOpbouwDirecteKosten6*L28</f>
        <v>0</v>
      </c>
      <c r="N28" s="27"/>
      <c r="O28" s="28">
        <f>TariefOpbouwDirecteKosten7*N28</f>
        <v>0</v>
      </c>
      <c r="P28" s="27"/>
      <c r="Q28" s="29">
        <f>TariefOpbouwDirecteKosten8*P28</f>
        <v>0</v>
      </c>
    </row>
    <row r="29" spans="1:17" x14ac:dyDescent="0.2">
      <c r="A29" s="22" t="s">
        <v>62</v>
      </c>
      <c r="B29" s="27"/>
      <c r="C29" s="28">
        <f>TariefOpbouwDirecteKosten1*B29</f>
        <v>0</v>
      </c>
      <c r="D29" s="27"/>
      <c r="E29" s="28">
        <f>TariefOpbouwDirecteKosten2*D29</f>
        <v>0</v>
      </c>
      <c r="F29" s="27"/>
      <c r="G29" s="28">
        <f>TariefOpbouwDirecteKosten3*F29</f>
        <v>0</v>
      </c>
      <c r="H29" s="27"/>
      <c r="I29" s="28">
        <f>TariefOpbouwDirecteKosten4*H29</f>
        <v>0</v>
      </c>
      <c r="J29" s="27"/>
      <c r="K29" s="28">
        <f>TariefOpbouwDirecteKosten5*J29</f>
        <v>0</v>
      </c>
      <c r="L29" s="27"/>
      <c r="M29" s="28">
        <f>TariefOpbouwDirecteKosten6*L29</f>
        <v>0</v>
      </c>
      <c r="N29" s="27"/>
      <c r="O29" s="28">
        <f>TariefOpbouwDirecteKosten7*N29</f>
        <v>0</v>
      </c>
      <c r="P29" s="27"/>
      <c r="Q29" s="29">
        <f>TariefOpbouwDirecteKosten8*P29</f>
        <v>0</v>
      </c>
    </row>
    <row r="30" spans="1:17" x14ac:dyDescent="0.2">
      <c r="A30" s="22" t="s">
        <v>63</v>
      </c>
      <c r="B30" s="27"/>
      <c r="C30" s="28">
        <f>TariefOpbouwDirecteKosten1*B30</f>
        <v>0</v>
      </c>
      <c r="D30" s="27"/>
      <c r="E30" s="28">
        <f>TariefOpbouwDirecteKosten2*D30</f>
        <v>0</v>
      </c>
      <c r="F30" s="27"/>
      <c r="G30" s="28">
        <f>TariefOpbouwDirecteKosten3*F30</f>
        <v>0</v>
      </c>
      <c r="H30" s="27"/>
      <c r="I30" s="28">
        <f>TariefOpbouwDirecteKosten4*H30</f>
        <v>0</v>
      </c>
      <c r="J30" s="27"/>
      <c r="K30" s="28">
        <f>TariefOpbouwDirecteKosten5*J30</f>
        <v>0</v>
      </c>
      <c r="L30" s="27"/>
      <c r="M30" s="28">
        <f>TariefOpbouwDirecteKosten6*L30</f>
        <v>0</v>
      </c>
      <c r="N30" s="27"/>
      <c r="O30" s="28">
        <f>TariefOpbouwDirecteKosten7*N30</f>
        <v>0</v>
      </c>
      <c r="P30" s="27"/>
      <c r="Q30" s="29">
        <f>TariefOpbouwDirecteKosten8*P30</f>
        <v>0</v>
      </c>
    </row>
    <row r="31" spans="1:17" x14ac:dyDescent="0.2">
      <c r="A31" s="22" t="s">
        <v>64</v>
      </c>
      <c r="B31" s="27"/>
      <c r="C31" s="28">
        <f>TariefOpbouwDirecteKosten1*B31</f>
        <v>0</v>
      </c>
      <c r="D31" s="27"/>
      <c r="E31" s="28">
        <f>TariefOpbouwDirecteKosten2*D31</f>
        <v>0</v>
      </c>
      <c r="F31" s="27"/>
      <c r="G31" s="28">
        <f>TariefOpbouwDirecteKosten3*F31</f>
        <v>0</v>
      </c>
      <c r="H31" s="27"/>
      <c r="I31" s="28">
        <f>TariefOpbouwDirecteKosten4*H31</f>
        <v>0</v>
      </c>
      <c r="J31" s="27"/>
      <c r="K31" s="28">
        <f>TariefOpbouwDirecteKosten5*J31</f>
        <v>0</v>
      </c>
      <c r="L31" s="27"/>
      <c r="M31" s="28">
        <f>TariefOpbouwDirecteKosten6*L31</f>
        <v>0</v>
      </c>
      <c r="N31" s="27"/>
      <c r="O31" s="28">
        <f>TariefOpbouwDirecteKosten7*N31</f>
        <v>0</v>
      </c>
      <c r="P31" s="27"/>
      <c r="Q31" s="29">
        <f>TariefOpbouwDirecteKosten8*P31</f>
        <v>0</v>
      </c>
    </row>
    <row r="32" spans="1:17" x14ac:dyDescent="0.2">
      <c r="A32" s="22" t="s">
        <v>65</v>
      </c>
      <c r="B32" s="27"/>
      <c r="C32" s="28">
        <f>TariefOpbouwDirecteKosten1*B32</f>
        <v>0</v>
      </c>
      <c r="D32" s="27"/>
      <c r="E32" s="28">
        <f>TariefOpbouwDirecteKosten2*D32</f>
        <v>0</v>
      </c>
      <c r="F32" s="27"/>
      <c r="G32" s="28">
        <f>TariefOpbouwDirecteKosten3*F32</f>
        <v>0</v>
      </c>
      <c r="H32" s="27"/>
      <c r="I32" s="28">
        <f>TariefOpbouwDirecteKosten4*H32</f>
        <v>0</v>
      </c>
      <c r="J32" s="27"/>
      <c r="K32" s="28">
        <f>TariefOpbouwDirecteKosten5*J32</f>
        <v>0</v>
      </c>
      <c r="L32" s="27"/>
      <c r="M32" s="28">
        <f>TariefOpbouwDirecteKosten6*L32</f>
        <v>0</v>
      </c>
      <c r="N32" s="27"/>
      <c r="O32" s="28">
        <f>TariefOpbouwDirecteKosten7*N32</f>
        <v>0</v>
      </c>
      <c r="P32" s="27"/>
      <c r="Q32" s="29">
        <f>TariefOpbouwDirecteKosten8*P32</f>
        <v>0</v>
      </c>
    </row>
    <row r="33" spans="1:17" x14ac:dyDescent="0.2">
      <c r="A33" s="22" t="s">
        <v>66</v>
      </c>
      <c r="B33" s="27"/>
      <c r="C33" s="28">
        <f>TariefOpbouwDirecteKosten1*B33</f>
        <v>0</v>
      </c>
      <c r="D33" s="27"/>
      <c r="E33" s="28">
        <f>TariefOpbouwDirecteKosten2*D33</f>
        <v>0</v>
      </c>
      <c r="F33" s="27"/>
      <c r="G33" s="28">
        <f>TariefOpbouwDirecteKosten3*F33</f>
        <v>0</v>
      </c>
      <c r="H33" s="27"/>
      <c r="I33" s="28">
        <f>TariefOpbouwDirecteKosten4*H33</f>
        <v>0</v>
      </c>
      <c r="J33" s="27"/>
      <c r="K33" s="28">
        <f>TariefOpbouwDirecteKosten5*J33</f>
        <v>0</v>
      </c>
      <c r="L33" s="27"/>
      <c r="M33" s="28">
        <f>TariefOpbouwDirecteKosten6*L33</f>
        <v>0</v>
      </c>
      <c r="N33" s="27"/>
      <c r="O33" s="28">
        <f>TariefOpbouwDirecteKosten7*N33</f>
        <v>0</v>
      </c>
      <c r="P33" s="27"/>
      <c r="Q33" s="29">
        <f>TariefOpbouwDirecteKosten8*P33</f>
        <v>0</v>
      </c>
    </row>
    <row r="34" spans="1:17" x14ac:dyDescent="0.2">
      <c r="A34" s="22" t="s">
        <v>67</v>
      </c>
      <c r="B34" s="27"/>
      <c r="C34" s="28">
        <f>TariefOpbouwDirecteKosten1*B34</f>
        <v>0</v>
      </c>
      <c r="D34" s="27"/>
      <c r="E34" s="28">
        <f>TariefOpbouwDirecteKosten2*D34</f>
        <v>0</v>
      </c>
      <c r="F34" s="27"/>
      <c r="G34" s="28">
        <f>TariefOpbouwDirecteKosten3*F34</f>
        <v>0</v>
      </c>
      <c r="H34" s="27"/>
      <c r="I34" s="28">
        <f>TariefOpbouwDirecteKosten4*H34</f>
        <v>0</v>
      </c>
      <c r="J34" s="27"/>
      <c r="K34" s="28">
        <f>TariefOpbouwDirecteKosten5*J34</f>
        <v>0</v>
      </c>
      <c r="L34" s="27"/>
      <c r="M34" s="28">
        <f>TariefOpbouwDirecteKosten6*L34</f>
        <v>0</v>
      </c>
      <c r="N34" s="27"/>
      <c r="O34" s="28">
        <f>TariefOpbouwDirecteKosten7*N34</f>
        <v>0</v>
      </c>
      <c r="P34" s="27"/>
      <c r="Q34" s="29">
        <f>TariefOpbouwDirecteKosten8*P34</f>
        <v>0</v>
      </c>
    </row>
    <row r="35" spans="1:17" x14ac:dyDescent="0.2">
      <c r="A35" s="13" t="s">
        <v>68</v>
      </c>
      <c r="B35" s="25">
        <f>SUM(C28:C34)</f>
        <v>0</v>
      </c>
      <c r="C35" s="25"/>
      <c r="D35" s="25">
        <f>SUM(E28:E34)</f>
        <v>0</v>
      </c>
      <c r="E35" s="25"/>
      <c r="F35" s="25">
        <f>SUM(G28:G34)</f>
        <v>0</v>
      </c>
      <c r="G35" s="25"/>
      <c r="H35" s="25">
        <f>SUM(I28:I34)</f>
        <v>0</v>
      </c>
      <c r="I35" s="25"/>
      <c r="J35" s="25">
        <f>SUM(K28:K34)</f>
        <v>0</v>
      </c>
      <c r="K35" s="25"/>
      <c r="L35" s="25">
        <f>SUM(M28:M34)</f>
        <v>0</v>
      </c>
      <c r="M35" s="25"/>
      <c r="N35" s="25">
        <f>SUM(O28:O34)</f>
        <v>0</v>
      </c>
      <c r="O35" s="25"/>
      <c r="P35" s="25">
        <f>SUM(Q28:Q34)</f>
        <v>0</v>
      </c>
      <c r="Q35" s="26"/>
    </row>
    <row r="36" spans="1:17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2"/>
    </row>
    <row r="37" spans="1:17" x14ac:dyDescent="0.2">
      <c r="A37" s="13" t="s">
        <v>69</v>
      </c>
      <c r="B37" s="27"/>
      <c r="C37" s="28">
        <f>(TariefOpbouwDirecteKosten1+TariefOpbouwIndirecteKosten1)*B37</f>
        <v>0</v>
      </c>
      <c r="D37" s="27"/>
      <c r="E37" s="28">
        <f>(TariefOpbouwDirecteKosten2+TariefOpbouwIndirecteKosten2)*D37</f>
        <v>0</v>
      </c>
      <c r="F37" s="27"/>
      <c r="G37" s="28">
        <f>(TariefOpbouwDirecteKosten3+TariefOpbouwIndirecteKosten3)*F37</f>
        <v>0</v>
      </c>
      <c r="H37" s="27"/>
      <c r="I37" s="28">
        <f>(TariefOpbouwDirecteKosten4+TariefOpbouwIndirecteKosten4)*H37</f>
        <v>0</v>
      </c>
      <c r="J37" s="27"/>
      <c r="K37" s="28">
        <f>(TariefOpbouwDirecteKosten5+TariefOpbouwIndirecteKosten5)*J37</f>
        <v>0</v>
      </c>
      <c r="L37" s="27"/>
      <c r="M37" s="28">
        <f>(TariefOpbouwDirecteKosten6+TariefOpbouwIndirecteKosten6)*L37</f>
        <v>0</v>
      </c>
      <c r="N37" s="27"/>
      <c r="O37" s="28">
        <f>(TariefOpbouwDirecteKosten7+TariefOpbouwIndirecteKosten7)*N37</f>
        <v>0</v>
      </c>
      <c r="P37" s="27"/>
      <c r="Q37" s="29">
        <f>(TariefOpbouwDirecteKosten8+TariefOpbouwIndirecteKosten8)*P37</f>
        <v>0</v>
      </c>
    </row>
    <row r="38" spans="1:17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2"/>
    </row>
    <row r="39" spans="1:17" x14ac:dyDescent="0.2">
      <c r="A39" s="13" t="s">
        <v>70</v>
      </c>
      <c r="B39" s="25">
        <f>TariefOpbouwDirecteKosten1+TariefOpbouwIndirecteKosten1+TariefOpbouwRisicoWinst1</f>
        <v>0</v>
      </c>
      <c r="C39" s="25"/>
      <c r="D39" s="25">
        <f>TariefOpbouwDirecteKosten2+TariefOpbouwIndirecteKosten2+TariefOpbouwRisicoWinst2</f>
        <v>0</v>
      </c>
      <c r="E39" s="25"/>
      <c r="F39" s="25">
        <f>TariefOpbouwDirecteKosten3+TariefOpbouwIndirecteKosten3+TariefOpbouwRisicoWinst3</f>
        <v>0</v>
      </c>
      <c r="G39" s="25"/>
      <c r="H39" s="25">
        <f>TariefOpbouwDirecteKosten4+TariefOpbouwIndirecteKosten4+TariefOpbouwRisicoWinst4</f>
        <v>0</v>
      </c>
      <c r="I39" s="25"/>
      <c r="J39" s="25">
        <f>TariefOpbouwDirecteKosten5+TariefOpbouwIndirecteKosten5+TariefOpbouwRisicoWinst5</f>
        <v>0</v>
      </c>
      <c r="K39" s="25"/>
      <c r="L39" s="25">
        <f>TariefOpbouwDirecteKosten6+TariefOpbouwIndirecteKosten6+TariefOpbouwRisicoWinst6</f>
        <v>0</v>
      </c>
      <c r="M39" s="25"/>
      <c r="N39" s="25">
        <f>TariefOpbouwDirecteKosten7+TariefOpbouwIndirecteKosten7+TariefOpbouwRisicoWinst7</f>
        <v>0</v>
      </c>
      <c r="O39" s="25"/>
      <c r="P39" s="25">
        <f>TariefOpbouwDirecteKosten8+TariefOpbouwIndirecteKosten8+TariefOpbouwRisicoWinst8</f>
        <v>0</v>
      </c>
      <c r="Q39" s="26"/>
    </row>
    <row r="40" spans="1:17" x14ac:dyDescent="0.2">
      <c r="A40" s="13" t="s">
        <v>71</v>
      </c>
      <c r="B40" s="33" t="s">
        <v>72</v>
      </c>
      <c r="C40" s="33" t="s">
        <v>73</v>
      </c>
      <c r="D40" s="33" t="s">
        <v>72</v>
      </c>
      <c r="E40" s="33" t="s">
        <v>73</v>
      </c>
      <c r="F40" s="33" t="s">
        <v>72</v>
      </c>
      <c r="G40" s="33" t="s">
        <v>73</v>
      </c>
      <c r="H40" s="33" t="s">
        <v>72</v>
      </c>
      <c r="I40" s="33" t="s">
        <v>73</v>
      </c>
      <c r="J40" s="33" t="s">
        <v>72</v>
      </c>
      <c r="K40" s="33" t="s">
        <v>73</v>
      </c>
      <c r="L40" s="33" t="s">
        <v>72</v>
      </c>
      <c r="M40" s="33" t="s">
        <v>73</v>
      </c>
      <c r="N40" s="33" t="s">
        <v>72</v>
      </c>
      <c r="O40" s="33" t="s">
        <v>73</v>
      </c>
      <c r="P40" s="33" t="s">
        <v>72</v>
      </c>
      <c r="Q40" s="34" t="s">
        <v>73</v>
      </c>
    </row>
    <row r="41" spans="1:17" x14ac:dyDescent="0.2">
      <c r="A41" s="13" t="s">
        <v>74</v>
      </c>
      <c r="B41" s="35">
        <v>0.3</v>
      </c>
      <c r="C41" s="28">
        <f>((1+B41)*TariefOpbouwTotaalLoonkosten1+TariefOpbouwDirecteKosten1-TariefOpbouwTotaalLoonkosten1+TariefOpbouwIndirecteKosten1)*(1+TariefOpbouwRisicoWinstPercentage1)</f>
        <v>0</v>
      </c>
      <c r="D41" s="35">
        <v>0.3</v>
      </c>
      <c r="E41" s="28">
        <f>((1+D41)*TariefOpbouwTotaalLoonkosten2+TariefOpbouwDirecteKosten2-TariefOpbouwTotaalLoonkosten2+TariefOpbouwIndirecteKosten2)*(1+TariefOpbouwRisicoWinstPercentage2)</f>
        <v>0</v>
      </c>
      <c r="F41" s="35">
        <v>0.3</v>
      </c>
      <c r="G41" s="28">
        <f>((1+F41)*TariefOpbouwTotaalLoonkosten3+TariefOpbouwDirecteKosten3-TariefOpbouwTotaalLoonkosten3+TariefOpbouwIndirecteKosten3)*(1+TariefOpbouwRisicoWinstPercentage3)</f>
        <v>0</v>
      </c>
      <c r="H41" s="35">
        <v>0.3</v>
      </c>
      <c r="I41" s="28">
        <f>((1+H41)*TariefOpbouwTotaalLoonkosten4+TariefOpbouwDirecteKosten4-TariefOpbouwTotaalLoonkosten4+TariefOpbouwIndirecteKosten4)*(1+TariefOpbouwRisicoWinstPercentage4)</f>
        <v>0</v>
      </c>
      <c r="J41" s="35">
        <v>0.3</v>
      </c>
      <c r="K41" s="28">
        <f>((1+J41)*TariefOpbouwTotaalLoonkosten5+TariefOpbouwDirecteKosten5-TariefOpbouwTotaalLoonkosten5+TariefOpbouwIndirecteKosten5)*(1+TariefOpbouwRisicoWinstPercentage5)</f>
        <v>0</v>
      </c>
      <c r="L41" s="35">
        <v>0.3</v>
      </c>
      <c r="M41" s="28">
        <f>((1+L41)*TariefOpbouwTotaalLoonkosten6+TariefOpbouwDirecteKosten6-TariefOpbouwTotaalLoonkosten6+TariefOpbouwIndirecteKosten6)*(1+TariefOpbouwRisicoWinstPercentage6)</f>
        <v>0</v>
      </c>
      <c r="N41" s="35">
        <v>0.3</v>
      </c>
      <c r="O41" s="28">
        <f>((1+N41)*TariefOpbouwTotaalLoonkosten7+TariefOpbouwDirecteKosten7-TariefOpbouwTotaalLoonkosten7+TariefOpbouwIndirecteKosten7)*(1+TariefOpbouwRisicoWinstPercentage7)</f>
        <v>0</v>
      </c>
      <c r="P41" s="35">
        <v>0.3</v>
      </c>
      <c r="Q41" s="29">
        <f>((1+P41)*TariefOpbouwTotaalLoonkosten8+TariefOpbouwDirecteKosten8-TariefOpbouwTotaalLoonkosten8+TariefOpbouwIndirecteKosten8)*(1+TariefOpbouwRisicoWinstPercentage8)</f>
        <v>0</v>
      </c>
    </row>
    <row r="42" spans="1:17" x14ac:dyDescent="0.2">
      <c r="A42" s="13" t="s">
        <v>75</v>
      </c>
      <c r="B42" s="35">
        <v>0.5</v>
      </c>
      <c r="C42" s="28">
        <f>((1+B42)*TariefOpbouwTotaalLoonkosten1+TariefOpbouwDirecteKosten1-TariefOpbouwTotaalLoonkosten1+TariefOpbouwIndirecteKosten1)*(1+TariefOpbouwRisicoWinstPercentage1)</f>
        <v>0</v>
      </c>
      <c r="D42" s="35">
        <v>0.5</v>
      </c>
      <c r="E42" s="28">
        <f>((1+D42)*TariefOpbouwTotaalLoonkosten2+TariefOpbouwDirecteKosten2-TariefOpbouwTotaalLoonkosten2+TariefOpbouwIndirecteKosten2)*(1+TariefOpbouwRisicoWinstPercentage2)</f>
        <v>0</v>
      </c>
      <c r="F42" s="35">
        <v>0.5</v>
      </c>
      <c r="G42" s="28">
        <f>((1+F42)*TariefOpbouwTotaalLoonkosten3+TariefOpbouwDirecteKosten3-TariefOpbouwTotaalLoonkosten3+TariefOpbouwIndirecteKosten3)*(1+TariefOpbouwRisicoWinstPercentage3)</f>
        <v>0</v>
      </c>
      <c r="H42" s="35">
        <v>0.5</v>
      </c>
      <c r="I42" s="28">
        <f>((1+H42)*TariefOpbouwTotaalLoonkosten4+TariefOpbouwDirecteKosten4-TariefOpbouwTotaalLoonkosten4+TariefOpbouwIndirecteKosten4)*(1+TariefOpbouwRisicoWinstPercentage4)</f>
        <v>0</v>
      </c>
      <c r="J42" s="35">
        <v>0.5</v>
      </c>
      <c r="K42" s="28">
        <f>((1+J42)*TariefOpbouwTotaalLoonkosten5+TariefOpbouwDirecteKosten5-TariefOpbouwTotaalLoonkosten5+TariefOpbouwIndirecteKosten5)*(1+TariefOpbouwRisicoWinstPercentage5)</f>
        <v>0</v>
      </c>
      <c r="L42" s="35">
        <v>0.5</v>
      </c>
      <c r="M42" s="28">
        <f>((1+L42)*TariefOpbouwTotaalLoonkosten6+TariefOpbouwDirecteKosten6-TariefOpbouwTotaalLoonkosten6+TariefOpbouwIndirecteKosten6)*(1+TariefOpbouwRisicoWinstPercentage6)</f>
        <v>0</v>
      </c>
      <c r="N42" s="35">
        <v>0.5</v>
      </c>
      <c r="O42" s="28">
        <f>((1+N42)*TariefOpbouwTotaalLoonkosten7+TariefOpbouwDirecteKosten7-TariefOpbouwTotaalLoonkosten7+TariefOpbouwIndirecteKosten7)*(1+TariefOpbouwRisicoWinstPercentage7)</f>
        <v>0</v>
      </c>
      <c r="P42" s="35">
        <v>0.5</v>
      </c>
      <c r="Q42" s="29">
        <f>((1+P42)*TariefOpbouwTotaalLoonkosten8+TariefOpbouwDirecteKosten8-TariefOpbouwTotaalLoonkosten8+TariefOpbouwIndirecteKosten8)*(1+TariefOpbouwRisicoWinstPercentage8)</f>
        <v>0</v>
      </c>
    </row>
    <row r="43" spans="1:17" x14ac:dyDescent="0.2">
      <c r="A43" s="36" t="s">
        <v>76</v>
      </c>
      <c r="B43" s="37">
        <v>1.5</v>
      </c>
      <c r="C43" s="38">
        <f>((1+B43)*TariefOpbouwTotaalLoonkosten1+TariefOpbouwDirecteKosten1-TariefOpbouwTotaalLoonkosten1+TariefOpbouwIndirecteKosten1)*(1+TariefOpbouwRisicoWinstPercentage1)</f>
        <v>0</v>
      </c>
      <c r="D43" s="37">
        <v>1.5</v>
      </c>
      <c r="E43" s="38">
        <f>((1+D43)*TariefOpbouwTotaalLoonkosten2+TariefOpbouwDirecteKosten2-TariefOpbouwTotaalLoonkosten2+TariefOpbouwIndirecteKosten2)*(1+TariefOpbouwRisicoWinstPercentage2)</f>
        <v>0</v>
      </c>
      <c r="F43" s="37">
        <v>1.5</v>
      </c>
      <c r="G43" s="38">
        <f>((1+F43)*TariefOpbouwTotaalLoonkosten3+TariefOpbouwDirecteKosten3-TariefOpbouwTotaalLoonkosten3+TariefOpbouwIndirecteKosten3)*(1+TariefOpbouwRisicoWinstPercentage3)</f>
        <v>0</v>
      </c>
      <c r="H43" s="37">
        <v>1.5</v>
      </c>
      <c r="I43" s="38">
        <f>((1+H43)*TariefOpbouwTotaalLoonkosten4+TariefOpbouwDirecteKosten4-TariefOpbouwTotaalLoonkosten4+TariefOpbouwIndirecteKosten4)*(1+TariefOpbouwRisicoWinstPercentage4)</f>
        <v>0</v>
      </c>
      <c r="J43" s="37">
        <v>1.5</v>
      </c>
      <c r="K43" s="38">
        <f>((1+J43)*TariefOpbouwTotaalLoonkosten5+TariefOpbouwDirecteKosten5-TariefOpbouwTotaalLoonkosten5+TariefOpbouwIndirecteKosten5)*(1+TariefOpbouwRisicoWinstPercentage5)</f>
        <v>0</v>
      </c>
      <c r="L43" s="37">
        <v>1.5</v>
      </c>
      <c r="M43" s="38">
        <f>((1+L43)*TariefOpbouwTotaalLoonkosten6+TariefOpbouwDirecteKosten6-TariefOpbouwTotaalLoonkosten6+TariefOpbouwIndirecteKosten6)*(1+TariefOpbouwRisicoWinstPercentage6)</f>
        <v>0</v>
      </c>
      <c r="N43" s="37">
        <v>1.5</v>
      </c>
      <c r="O43" s="38">
        <f>((1+N43)*TariefOpbouwTotaalLoonkosten7+TariefOpbouwDirecteKosten7-TariefOpbouwTotaalLoonkosten7+TariefOpbouwIndirecteKosten7)*(1+TariefOpbouwRisicoWinstPercentage7)</f>
        <v>0</v>
      </c>
      <c r="P43" s="37">
        <v>1.5</v>
      </c>
      <c r="Q43" s="39">
        <f>((1+P43)*TariefOpbouwTotaalLoonkosten8+TariefOpbouwDirecteKosten8-TariefOpbouwTotaalLoonkosten8+TariefOpbouwIndirecteKosten8)*(1+TariefOpbouwRisicoWinstPercentage8)</f>
        <v>0</v>
      </c>
    </row>
    <row r="45" spans="1:17" ht="25.5" customHeight="1" x14ac:dyDescent="0.2">
      <c r="A45" s="10" t="s">
        <v>77</v>
      </c>
      <c r="B45" s="40" t="s">
        <v>78</v>
      </c>
      <c r="C45" s="40"/>
      <c r="D45" s="40" t="s">
        <v>79</v>
      </c>
      <c r="E45" s="40"/>
      <c r="F45" s="40" t="s">
        <v>80</v>
      </c>
      <c r="G45" s="41"/>
    </row>
    <row r="46" spans="1:17" x14ac:dyDescent="0.2">
      <c r="A46" s="30"/>
      <c r="B46" s="33" t="s">
        <v>81</v>
      </c>
      <c r="C46" s="33" t="s">
        <v>82</v>
      </c>
      <c r="D46" s="33" t="s">
        <v>81</v>
      </c>
      <c r="E46" s="33" t="s">
        <v>82</v>
      </c>
      <c r="F46" s="33" t="s">
        <v>81</v>
      </c>
      <c r="G46" s="34" t="s">
        <v>82</v>
      </c>
    </row>
    <row r="47" spans="1:17" x14ac:dyDescent="0.2">
      <c r="A47" s="42" t="str">
        <f>TariefOpbouwNaam1&amp;" "&amp;TariefOpbouwErvaring1</f>
        <v>Vakvolwassene &gt;3 dienstjaren</v>
      </c>
      <c r="B47" s="27"/>
      <c r="C47" s="28">
        <f>TariefOpbouwTarief1</f>
        <v>0</v>
      </c>
      <c r="D47" s="27"/>
      <c r="E47" s="28">
        <f>TariefOpbouwTarief1W</f>
        <v>0</v>
      </c>
      <c r="F47" s="27"/>
      <c r="G47" s="29">
        <f>TariefOpbouwTarief1X</f>
        <v>0</v>
      </c>
    </row>
    <row r="48" spans="1:17" x14ac:dyDescent="0.2">
      <c r="A48" s="42" t="str">
        <f>TariefOpbouwNaam2&amp;" "&amp;TariefOpbouwErvaring2</f>
        <v xml:space="preserve">Vakvolwassene </v>
      </c>
      <c r="B48" s="27"/>
      <c r="C48" s="28">
        <f>TariefOpbouwTarief2</f>
        <v>0</v>
      </c>
      <c r="D48" s="27"/>
      <c r="E48" s="28">
        <f>TariefOpbouwTarief2W</f>
        <v>0</v>
      </c>
      <c r="F48" s="27"/>
      <c r="G48" s="29">
        <f>TariefOpbouwTarief2X</f>
        <v>0</v>
      </c>
    </row>
    <row r="49" spans="1:13" x14ac:dyDescent="0.2">
      <c r="A49" s="42" t="str">
        <f>TariefOpbouwNaam3&amp;" "&amp;TariefOpbouwErvaring3</f>
        <v>Leiding (meewerkend) voorman/vrouw</v>
      </c>
      <c r="B49" s="27"/>
      <c r="C49" s="28">
        <f>TariefOpbouwTarief3</f>
        <v>0</v>
      </c>
      <c r="D49" s="27"/>
      <c r="E49" s="28">
        <f>TariefOpbouwTarief3W</f>
        <v>0</v>
      </c>
      <c r="F49" s="27"/>
      <c r="G49" s="29">
        <f>TariefOpbouwTarief3X</f>
        <v>0</v>
      </c>
    </row>
    <row r="50" spans="1:13" x14ac:dyDescent="0.2">
      <c r="A50" s="13" t="s">
        <v>83</v>
      </c>
      <c r="B50" s="43" t="str">
        <f>IF(SUM(B47:B49)=1,SUM(B47:B49),"ongeldig")</f>
        <v>ongeldig</v>
      </c>
      <c r="C50" s="28">
        <f>SUMPRODUCT(B47:B49,C47:C49)</f>
        <v>0</v>
      </c>
      <c r="D50" s="43" t="str">
        <f>IF(SUM(D47:D49)=1,SUM(D47:D49),"ongeldig")</f>
        <v>ongeldig</v>
      </c>
      <c r="E50" s="28">
        <f>SUMPRODUCT(D47:D49,E47:E49)</f>
        <v>0</v>
      </c>
      <c r="F50" s="43" t="str">
        <f>IF(SUM(F47:F49)=1,SUM(F47:F49),"ongeldig")</f>
        <v>ongeldig</v>
      </c>
      <c r="G50" s="29">
        <f>SUMPRODUCT(F47:F49,G47:G49)</f>
        <v>0</v>
      </c>
    </row>
    <row r="51" spans="1:13" x14ac:dyDescent="0.2">
      <c r="A51" s="42" t="str">
        <f>TariefOpbouwNaam4&amp;" "&amp;TariefOpbouwErvaring4</f>
        <v>Leiding (niet-meewerkend) voorman/vrouw</v>
      </c>
      <c r="B51" s="27"/>
      <c r="C51" s="28">
        <f>TariefOpbouwTarief4</f>
        <v>0</v>
      </c>
      <c r="D51" s="27"/>
      <c r="E51" s="28">
        <f>TariefOpbouwTarief4W</f>
        <v>0</v>
      </c>
      <c r="F51" s="27"/>
      <c r="G51" s="29">
        <f>TariefOpbouwTarief4X</f>
        <v>0</v>
      </c>
    </row>
    <row r="52" spans="1:13" x14ac:dyDescent="0.2">
      <c r="A52" s="42" t="str">
        <f>TariefOpbouwNaam5&amp;" "&amp;TariefOpbouwErvaring5</f>
        <v>Leiding (niet-meewerkend) objectleider</v>
      </c>
      <c r="B52" s="27"/>
      <c r="C52" s="28">
        <f>TariefOpbouwTarief5</f>
        <v>0</v>
      </c>
      <c r="D52" s="27"/>
      <c r="E52" s="28">
        <f>TariefOpbouwTarief5W</f>
        <v>0</v>
      </c>
      <c r="F52" s="27"/>
      <c r="G52" s="29">
        <f>TariefOpbouwTarief5X</f>
        <v>0</v>
      </c>
    </row>
    <row r="53" spans="1:13" x14ac:dyDescent="0.2">
      <c r="A53" s="36" t="s">
        <v>84</v>
      </c>
      <c r="B53" s="44">
        <f>TariefUitvoering1+IF(SUM(B51:B52)&gt;0,SUMPRODUCT(B51:B52,C51:C52))</f>
        <v>0</v>
      </c>
      <c r="C53" s="44"/>
      <c r="D53" s="44">
        <f>TariefUitvoering8+IF(SUM(D51:D52)&gt;0,SUMPRODUCT(D51:D52,E51:E52))</f>
        <v>0</v>
      </c>
      <c r="E53" s="44"/>
      <c r="F53" s="44">
        <f>TariefUitvoering9+IF(SUM(F51:F52)&gt;0,SUMPRODUCT(F51:F52,G51:G52))</f>
        <v>0</v>
      </c>
      <c r="G53" s="45"/>
    </row>
    <row r="55" spans="1:13" ht="38.25" customHeight="1" x14ac:dyDescent="0.2">
      <c r="A55" s="10" t="s">
        <v>85</v>
      </c>
      <c r="B55" s="40" t="s">
        <v>86</v>
      </c>
      <c r="C55" s="40"/>
      <c r="D55" s="40" t="s">
        <v>87</v>
      </c>
      <c r="E55" s="40"/>
      <c r="F55" s="40" t="s">
        <v>88</v>
      </c>
      <c r="G55" s="40"/>
      <c r="H55" s="40" t="s">
        <v>89</v>
      </c>
      <c r="I55" s="40"/>
      <c r="J55" s="40" t="s">
        <v>90</v>
      </c>
      <c r="K55" s="40"/>
      <c r="L55" s="40" t="s">
        <v>91</v>
      </c>
      <c r="M55" s="41"/>
    </row>
    <row r="56" spans="1:13" x14ac:dyDescent="0.2">
      <c r="A56" s="30"/>
      <c r="B56" s="33" t="s">
        <v>81</v>
      </c>
      <c r="C56" s="33" t="s">
        <v>82</v>
      </c>
      <c r="D56" s="33" t="s">
        <v>81</v>
      </c>
      <c r="E56" s="33" t="s">
        <v>82</v>
      </c>
      <c r="F56" s="33" t="s">
        <v>81</v>
      </c>
      <c r="G56" s="33" t="s">
        <v>82</v>
      </c>
      <c r="H56" s="33" t="s">
        <v>81</v>
      </c>
      <c r="I56" s="33" t="s">
        <v>82</v>
      </c>
      <c r="J56" s="33" t="s">
        <v>81</v>
      </c>
      <c r="K56" s="33" t="s">
        <v>82</v>
      </c>
      <c r="L56" s="33" t="s">
        <v>81</v>
      </c>
      <c r="M56" s="34" t="s">
        <v>82</v>
      </c>
    </row>
    <row r="57" spans="1:13" x14ac:dyDescent="0.2">
      <c r="A57" s="42" t="str">
        <f>TariefOpbouwNaam6&amp;" "&amp;TariefOpbouwErvaring6</f>
        <v xml:space="preserve">Vakvolwassene regie </v>
      </c>
      <c r="B57" s="27"/>
      <c r="C57" s="28">
        <f>TariefOpbouwTarief6</f>
        <v>0</v>
      </c>
      <c r="D57" s="27"/>
      <c r="E57" s="28">
        <f>TariefOpbouwTarief6</f>
        <v>0</v>
      </c>
      <c r="F57" s="27"/>
      <c r="G57" s="28">
        <f>TariefOpbouwTarief6</f>
        <v>0</v>
      </c>
      <c r="H57" s="27"/>
      <c r="I57" s="28">
        <f>TariefOpbouwTarief6</f>
        <v>0</v>
      </c>
      <c r="J57" s="27"/>
      <c r="K57" s="28">
        <f>TariefOpbouwTarief6</f>
        <v>0</v>
      </c>
      <c r="L57" s="27"/>
      <c r="M57" s="29">
        <f>TariefOpbouwTarief6</f>
        <v>0</v>
      </c>
    </row>
    <row r="58" spans="1:13" x14ac:dyDescent="0.2">
      <c r="A58" s="42" t="str">
        <f>TariefOpbouwNaam7&amp;" "&amp;TariefOpbouwErvaring7</f>
        <v>Vakvolwassene regie specialist</v>
      </c>
      <c r="B58" s="27"/>
      <c r="C58" s="28">
        <f>TariefOpbouwTarief7</f>
        <v>0</v>
      </c>
      <c r="D58" s="27"/>
      <c r="E58" s="28">
        <f>TariefOpbouwTarief7</f>
        <v>0</v>
      </c>
      <c r="F58" s="27"/>
      <c r="G58" s="28">
        <f>TariefOpbouwTarief7</f>
        <v>0</v>
      </c>
      <c r="H58" s="27"/>
      <c r="I58" s="28">
        <f>TariefOpbouwTarief7</f>
        <v>0</v>
      </c>
      <c r="J58" s="27"/>
      <c r="K58" s="28">
        <f>TariefOpbouwTarief7</f>
        <v>0</v>
      </c>
      <c r="L58" s="27"/>
      <c r="M58" s="29">
        <f>TariefOpbouwTarief7</f>
        <v>0</v>
      </c>
    </row>
    <row r="59" spans="1:13" x14ac:dyDescent="0.2">
      <c r="A59" s="13" t="s">
        <v>83</v>
      </c>
      <c r="B59" s="43" t="str">
        <f>IF(SUM(B57:B58)=1,SUM(B57:B58),"ongeldig")</f>
        <v>ongeldig</v>
      </c>
      <c r="C59" s="28">
        <f>SUMPRODUCT(B57:B58,C57:C58)</f>
        <v>0</v>
      </c>
      <c r="D59" s="43" t="str">
        <f>IF(SUM(D57:D58)=1,SUM(D57:D58),"ongeldig")</f>
        <v>ongeldig</v>
      </c>
      <c r="E59" s="28">
        <f>SUMPRODUCT(D57:D58,E57:E58)</f>
        <v>0</v>
      </c>
      <c r="F59" s="43" t="str">
        <f>IF(SUM(F57:F58)=1,SUM(F57:F58),"ongeldig")</f>
        <v>ongeldig</v>
      </c>
      <c r="G59" s="28">
        <f>SUMPRODUCT(F57:F58,G57:G58)</f>
        <v>0</v>
      </c>
      <c r="H59" s="43" t="str">
        <f>IF(SUM(H57:H58)=1,SUM(H57:H58),"ongeldig")</f>
        <v>ongeldig</v>
      </c>
      <c r="I59" s="28">
        <f>SUMPRODUCT(H57:H58,I57:I58)</f>
        <v>0</v>
      </c>
      <c r="J59" s="43" t="str">
        <f>IF(SUM(J57:J58)=1,SUM(J57:J58),"ongeldig")</f>
        <v>ongeldig</v>
      </c>
      <c r="K59" s="28">
        <f>SUMPRODUCT(J57:J58,K57:K58)</f>
        <v>0</v>
      </c>
      <c r="L59" s="43" t="str">
        <f>IF(SUM(L57:L58)=1,SUM(L57:L58),"ongeldig")</f>
        <v>ongeldig</v>
      </c>
      <c r="M59" s="29">
        <f>SUMPRODUCT(L57:L58,M57:M58)</f>
        <v>0</v>
      </c>
    </row>
    <row r="60" spans="1:13" x14ac:dyDescent="0.2">
      <c r="A60" s="42" t="str">
        <f>TariefOpbouwNaam8&amp;" "&amp;TariefOpbouwErvaring8</f>
        <v xml:space="preserve">Leiding regie </v>
      </c>
      <c r="B60" s="27"/>
      <c r="C60" s="28">
        <f>TariefOpbouwTarief8</f>
        <v>0</v>
      </c>
      <c r="D60" s="27"/>
      <c r="E60" s="28">
        <f>TariefOpbouwTarief8</f>
        <v>0</v>
      </c>
      <c r="F60" s="27"/>
      <c r="G60" s="28">
        <f>TariefOpbouwTarief8</f>
        <v>0</v>
      </c>
      <c r="H60" s="27"/>
      <c r="I60" s="28">
        <f>TariefOpbouwTarief8</f>
        <v>0</v>
      </c>
      <c r="J60" s="27"/>
      <c r="K60" s="28">
        <f>TariefOpbouwTarief8</f>
        <v>0</v>
      </c>
      <c r="L60" s="27"/>
      <c r="M60" s="29">
        <f>TariefOpbouwTarief8</f>
        <v>0</v>
      </c>
    </row>
    <row r="61" spans="1:13" x14ac:dyDescent="0.2">
      <c r="A61" s="36" t="s">
        <v>92</v>
      </c>
      <c r="B61" s="44">
        <f>TariefUitvoering2+IF(SUM(B60:B60)&gt;0,SUMPRODUCT(B60:B60,C60:C60))</f>
        <v>0</v>
      </c>
      <c r="C61" s="44"/>
      <c r="D61" s="44">
        <f>TariefUitvoering3+IF(SUM(D60:D60)&gt;0,SUMPRODUCT(D60:D60,E60:E60))</f>
        <v>0</v>
      </c>
      <c r="E61" s="44"/>
      <c r="F61" s="44">
        <f>TariefUitvoering4+IF(SUM(F60:F60)&gt;0,SUMPRODUCT(F60:F60,G60:G60))</f>
        <v>0</v>
      </c>
      <c r="G61" s="44"/>
      <c r="H61" s="44">
        <f>TariefUitvoering5+IF(SUM(H60:H60)&gt;0,SUMPRODUCT(H60:H60,I60:I60))</f>
        <v>0</v>
      </c>
      <c r="I61" s="44"/>
      <c r="J61" s="44">
        <f>TariefUitvoering6+IF(SUM(J60:J60)&gt;0,SUMPRODUCT(J60:J60,K60:K60))</f>
        <v>0</v>
      </c>
      <c r="K61" s="44"/>
      <c r="L61" s="44">
        <f>TariefUitvoering7+IF(SUM(L60:L60)&gt;0,SUMPRODUCT(L60:L60,M60:M60))</f>
        <v>0</v>
      </c>
      <c r="M61" s="45"/>
    </row>
  </sheetData>
  <sheetProtection algorithmName="SHA-512" hashValue="4Tcyq/t/ybdLdj/odzfp7SopCNhLhbbkXPz83m4J4Bb5v3YR1t0oGJgEsH7r8vKJ2jS7QGlaHKdgfsPkBIuHbw==" saltValue="ylPCb9uE9cLpum7p2wBhfg==" spinCount="100000" sheet="1" objects="1" scenarios="1" autoFilter="0"/>
  <mergeCells count="122">
    <mergeCell ref="B61:C61"/>
    <mergeCell ref="D61:E61"/>
    <mergeCell ref="F61:G61"/>
    <mergeCell ref="H61:I61"/>
    <mergeCell ref="J61:K61"/>
    <mergeCell ref="L61:M61"/>
    <mergeCell ref="B55:C55"/>
    <mergeCell ref="D55:E55"/>
    <mergeCell ref="F55:G55"/>
    <mergeCell ref="H55:I55"/>
    <mergeCell ref="J55:K55"/>
    <mergeCell ref="L55:M55"/>
    <mergeCell ref="N39:O39"/>
    <mergeCell ref="P39:Q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P26:Q26"/>
    <mergeCell ref="B35:C35"/>
    <mergeCell ref="D35:E35"/>
    <mergeCell ref="F35:G35"/>
    <mergeCell ref="H35:I35"/>
    <mergeCell ref="J35:K35"/>
    <mergeCell ref="L35:M35"/>
    <mergeCell ref="N35:O35"/>
    <mergeCell ref="P35:Q35"/>
    <mergeCell ref="B26:C26"/>
    <mergeCell ref="D26:E26"/>
    <mergeCell ref="F26:G26"/>
    <mergeCell ref="H26:I26"/>
    <mergeCell ref="J26:K26"/>
    <mergeCell ref="L26:M26"/>
    <mergeCell ref="N14:O14"/>
    <mergeCell ref="P14:Q14"/>
    <mergeCell ref="B19:C19"/>
    <mergeCell ref="D19:E19"/>
    <mergeCell ref="F19:G19"/>
    <mergeCell ref="H19:I19"/>
    <mergeCell ref="J19:K19"/>
    <mergeCell ref="L19:M19"/>
    <mergeCell ref="N19:O19"/>
    <mergeCell ref="P19:Q19"/>
    <mergeCell ref="B14:C14"/>
    <mergeCell ref="D14:E14"/>
    <mergeCell ref="F14:G14"/>
    <mergeCell ref="H14:I14"/>
    <mergeCell ref="J14:K14"/>
    <mergeCell ref="L14:M14"/>
    <mergeCell ref="N9:O9"/>
    <mergeCell ref="P9:Q9"/>
    <mergeCell ref="B12:C12"/>
    <mergeCell ref="D12:E12"/>
    <mergeCell ref="F12:G12"/>
    <mergeCell ref="H12:I12"/>
    <mergeCell ref="J12:K12"/>
    <mergeCell ref="L12:M12"/>
    <mergeCell ref="N12:O12"/>
    <mergeCell ref="P12:Q12"/>
    <mergeCell ref="B9:C9"/>
    <mergeCell ref="D9:E9"/>
    <mergeCell ref="F9:G9"/>
    <mergeCell ref="H9:I9"/>
    <mergeCell ref="J9:K9"/>
    <mergeCell ref="L9:M9"/>
    <mergeCell ref="N7:O7"/>
    <mergeCell ref="P7:Q7"/>
    <mergeCell ref="B8:C8"/>
    <mergeCell ref="D8:E8"/>
    <mergeCell ref="F8:G8"/>
    <mergeCell ref="H8:I8"/>
    <mergeCell ref="J8:K8"/>
    <mergeCell ref="L8:M8"/>
    <mergeCell ref="N8:O8"/>
    <mergeCell ref="P8:Q8"/>
    <mergeCell ref="B7:C7"/>
    <mergeCell ref="D7:E7"/>
    <mergeCell ref="F7:G7"/>
    <mergeCell ref="H7:I7"/>
    <mergeCell ref="J7:K7"/>
    <mergeCell ref="L7:M7"/>
    <mergeCell ref="N5:O5"/>
    <mergeCell ref="P5:Q5"/>
    <mergeCell ref="B6:C6"/>
    <mergeCell ref="D6:E6"/>
    <mergeCell ref="F6:G6"/>
    <mergeCell ref="H6:I6"/>
    <mergeCell ref="J6:K6"/>
    <mergeCell ref="L6:M6"/>
    <mergeCell ref="N6:O6"/>
    <mergeCell ref="P6:Q6"/>
    <mergeCell ref="B5:C5"/>
    <mergeCell ref="D5:E5"/>
    <mergeCell ref="F5:G5"/>
    <mergeCell ref="H5:I5"/>
    <mergeCell ref="J5:K5"/>
    <mergeCell ref="L5:M5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orientation="landscape" r:id="rId1"/>
  <headerFooter>
    <oddFooter>&amp;LWaterschap Vallei &amp; Veluwe EA 2027                          &amp;ROpmaakdatum: 30-10-2026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85C7A-60E7-4929-842F-7F9FE5A94B4F}">
  <dimension ref="A1:H76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G.1: ",tabeltype," categorienormen")</f>
        <v>Bijlage G.1: Invultabel categorienormen</v>
      </c>
    </row>
    <row r="3" spans="1:8" ht="38.25" x14ac:dyDescent="0.2">
      <c r="A3" s="46" t="s">
        <v>93</v>
      </c>
      <c r="B3" s="46" t="s">
        <v>94</v>
      </c>
      <c r="C3" s="46" t="s">
        <v>95</v>
      </c>
      <c r="D3" s="46" t="s">
        <v>96</v>
      </c>
      <c r="E3" s="46" t="s">
        <v>97</v>
      </c>
      <c r="F3" s="46" t="s">
        <v>98</v>
      </c>
      <c r="G3" s="46" t="s">
        <v>99</v>
      </c>
      <c r="H3" s="46" t="s">
        <v>100</v>
      </c>
    </row>
    <row r="4" spans="1:8" x14ac:dyDescent="0.2">
      <c r="A4" s="47"/>
      <c r="B4" s="48"/>
      <c r="C4" s="48"/>
      <c r="D4" s="48"/>
      <c r="E4" s="48"/>
      <c r="F4" s="48"/>
      <c r="G4" s="48"/>
      <c r="H4" s="49"/>
    </row>
    <row r="5" spans="1:8" x14ac:dyDescent="0.2">
      <c r="A5" s="50" t="s">
        <v>101</v>
      </c>
      <c r="B5" s="51"/>
      <c r="C5" s="51"/>
      <c r="D5" s="51"/>
      <c r="E5" s="51"/>
      <c r="F5" s="51"/>
      <c r="G5" s="51"/>
      <c r="H5" s="52"/>
    </row>
    <row r="6" spans="1:8" x14ac:dyDescent="0.2">
      <c r="A6" s="57" t="s">
        <v>102</v>
      </c>
      <c r="B6" s="58" t="s">
        <v>103</v>
      </c>
      <c r="C6" s="57">
        <v>1</v>
      </c>
      <c r="D6" s="57" t="s">
        <v>104</v>
      </c>
      <c r="E6" s="59"/>
      <c r="F6" s="60"/>
      <c r="G6" s="57" t="s">
        <v>105</v>
      </c>
      <c r="H6" s="61">
        <f>Tariefopbouw1</f>
        <v>0</v>
      </c>
    </row>
    <row r="7" spans="1:8" x14ac:dyDescent="0.2">
      <c r="A7" s="62" t="s">
        <v>106</v>
      </c>
      <c r="B7" s="63" t="s">
        <v>103</v>
      </c>
      <c r="C7" s="62">
        <v>51</v>
      </c>
      <c r="D7" s="62" t="s">
        <v>107</v>
      </c>
      <c r="E7" s="64"/>
      <c r="F7" s="65"/>
      <c r="G7" s="62" t="s">
        <v>105</v>
      </c>
      <c r="H7" s="66">
        <f>Tariefopbouw1</f>
        <v>0</v>
      </c>
    </row>
    <row r="8" spans="1:8" x14ac:dyDescent="0.2">
      <c r="A8" s="62" t="s">
        <v>108</v>
      </c>
      <c r="B8" s="63" t="s">
        <v>103</v>
      </c>
      <c r="C8" s="62">
        <v>1</v>
      </c>
      <c r="D8" s="62" t="s">
        <v>109</v>
      </c>
      <c r="E8" s="64"/>
      <c r="F8" s="65"/>
      <c r="G8" s="62" t="s">
        <v>105</v>
      </c>
      <c r="H8" s="66">
        <f>Tariefopbouw1</f>
        <v>0</v>
      </c>
    </row>
    <row r="9" spans="1:8" x14ac:dyDescent="0.2">
      <c r="A9" s="62" t="s">
        <v>110</v>
      </c>
      <c r="B9" s="63" t="s">
        <v>103</v>
      </c>
      <c r="C9" s="62">
        <v>51</v>
      </c>
      <c r="D9" s="62" t="s">
        <v>111</v>
      </c>
      <c r="E9" s="64"/>
      <c r="F9" s="65"/>
      <c r="G9" s="62" t="s">
        <v>105</v>
      </c>
      <c r="H9" s="66">
        <f>Tariefopbouw1</f>
        <v>0</v>
      </c>
    </row>
    <row r="10" spans="1:8" x14ac:dyDescent="0.2">
      <c r="A10" s="62" t="s">
        <v>112</v>
      </c>
      <c r="B10" s="63" t="s">
        <v>103</v>
      </c>
      <c r="C10" s="62">
        <v>1</v>
      </c>
      <c r="D10" s="62" t="s">
        <v>113</v>
      </c>
      <c r="E10" s="64"/>
      <c r="F10" s="65"/>
      <c r="G10" s="62" t="s">
        <v>105</v>
      </c>
      <c r="H10" s="66">
        <f>Tariefopbouw1</f>
        <v>0</v>
      </c>
    </row>
    <row r="11" spans="1:8" x14ac:dyDescent="0.2">
      <c r="A11" s="62" t="s">
        <v>114</v>
      </c>
      <c r="B11" s="63" t="s">
        <v>103</v>
      </c>
      <c r="C11" s="62">
        <v>51</v>
      </c>
      <c r="D11" s="62" t="s">
        <v>115</v>
      </c>
      <c r="E11" s="64"/>
      <c r="F11" s="65"/>
      <c r="G11" s="62" t="s">
        <v>105</v>
      </c>
      <c r="H11" s="66">
        <f>Tariefopbouw1</f>
        <v>0</v>
      </c>
    </row>
    <row r="12" spans="1:8" x14ac:dyDescent="0.2">
      <c r="A12" s="62" t="s">
        <v>116</v>
      </c>
      <c r="B12" s="63" t="s">
        <v>103</v>
      </c>
      <c r="C12" s="62">
        <v>1</v>
      </c>
      <c r="D12" s="62" t="s">
        <v>117</v>
      </c>
      <c r="E12" s="64"/>
      <c r="F12" s="65"/>
      <c r="G12" s="62" t="s">
        <v>105</v>
      </c>
      <c r="H12" s="66">
        <f>Tariefopbouw1</f>
        <v>0</v>
      </c>
    </row>
    <row r="13" spans="1:8" x14ac:dyDescent="0.2">
      <c r="A13" s="62" t="s">
        <v>118</v>
      </c>
      <c r="B13" s="63" t="s">
        <v>103</v>
      </c>
      <c r="C13" s="62">
        <v>51</v>
      </c>
      <c r="D13" s="62" t="s">
        <v>119</v>
      </c>
      <c r="E13" s="64"/>
      <c r="F13" s="65"/>
      <c r="G13" s="62" t="s">
        <v>105</v>
      </c>
      <c r="H13" s="66">
        <f>Tariefopbouw1</f>
        <v>0</v>
      </c>
    </row>
    <row r="14" spans="1:8" x14ac:dyDescent="0.2">
      <c r="A14" s="62" t="s">
        <v>120</v>
      </c>
      <c r="B14" s="63" t="s">
        <v>103</v>
      </c>
      <c r="C14" s="62">
        <v>1</v>
      </c>
      <c r="D14" s="62" t="s">
        <v>121</v>
      </c>
      <c r="E14" s="64"/>
      <c r="F14" s="65"/>
      <c r="G14" s="62" t="s">
        <v>105</v>
      </c>
      <c r="H14" s="66">
        <f>Tariefopbouw1</f>
        <v>0</v>
      </c>
    </row>
    <row r="15" spans="1:8" x14ac:dyDescent="0.2">
      <c r="A15" s="62" t="s">
        <v>122</v>
      </c>
      <c r="B15" s="63" t="s">
        <v>103</v>
      </c>
      <c r="C15" s="62">
        <v>51</v>
      </c>
      <c r="D15" s="62" t="s">
        <v>123</v>
      </c>
      <c r="E15" s="64"/>
      <c r="F15" s="65"/>
      <c r="G15" s="62" t="s">
        <v>105</v>
      </c>
      <c r="H15" s="66">
        <f>Tariefopbouw1</f>
        <v>0</v>
      </c>
    </row>
    <row r="16" spans="1:8" x14ac:dyDescent="0.2">
      <c r="A16" s="62" t="s">
        <v>124</v>
      </c>
      <c r="B16" s="63" t="s">
        <v>103</v>
      </c>
      <c r="C16" s="62">
        <v>1</v>
      </c>
      <c r="D16" s="62" t="s">
        <v>125</v>
      </c>
      <c r="E16" s="64"/>
      <c r="F16" s="65"/>
      <c r="G16" s="62" t="s">
        <v>105</v>
      </c>
      <c r="H16" s="66">
        <f>Tariefopbouw1</f>
        <v>0</v>
      </c>
    </row>
    <row r="17" spans="1:8" x14ac:dyDescent="0.2">
      <c r="A17" s="62" t="s">
        <v>126</v>
      </c>
      <c r="B17" s="63" t="s">
        <v>103</v>
      </c>
      <c r="C17" s="62">
        <v>51</v>
      </c>
      <c r="D17" s="62" t="s">
        <v>127</v>
      </c>
      <c r="E17" s="64"/>
      <c r="F17" s="65"/>
      <c r="G17" s="62" t="s">
        <v>105</v>
      </c>
      <c r="H17" s="66">
        <f>Tariefopbouw1</f>
        <v>0</v>
      </c>
    </row>
    <row r="18" spans="1:8" x14ac:dyDescent="0.2">
      <c r="A18" s="62" t="s">
        <v>128</v>
      </c>
      <c r="B18" s="63" t="s">
        <v>103</v>
      </c>
      <c r="C18" s="62">
        <v>1</v>
      </c>
      <c r="D18" s="62" t="s">
        <v>129</v>
      </c>
      <c r="E18" s="64"/>
      <c r="F18" s="65"/>
      <c r="G18" s="62" t="s">
        <v>105</v>
      </c>
      <c r="H18" s="66">
        <f>Tariefopbouw1</f>
        <v>0</v>
      </c>
    </row>
    <row r="19" spans="1:8" x14ac:dyDescent="0.2">
      <c r="A19" s="62" t="s">
        <v>130</v>
      </c>
      <c r="B19" s="63" t="s">
        <v>103</v>
      </c>
      <c r="C19" s="62">
        <v>51</v>
      </c>
      <c r="D19" s="62" t="s">
        <v>131</v>
      </c>
      <c r="E19" s="64"/>
      <c r="F19" s="65"/>
      <c r="G19" s="62" t="s">
        <v>105</v>
      </c>
      <c r="H19" s="66">
        <f>Tariefopbouw1</f>
        <v>0</v>
      </c>
    </row>
    <row r="20" spans="1:8" x14ac:dyDescent="0.2">
      <c r="A20" s="62" t="s">
        <v>132</v>
      </c>
      <c r="B20" s="63" t="s">
        <v>133</v>
      </c>
      <c r="C20" s="62">
        <v>12</v>
      </c>
      <c r="D20" s="62" t="s">
        <v>134</v>
      </c>
      <c r="E20" s="64"/>
      <c r="F20" s="65"/>
      <c r="G20" s="62" t="s">
        <v>105</v>
      </c>
      <c r="H20" s="66">
        <f>Tariefopbouw1</f>
        <v>0</v>
      </c>
    </row>
    <row r="21" spans="1:8" x14ac:dyDescent="0.2">
      <c r="A21" s="62" t="s">
        <v>135</v>
      </c>
      <c r="B21" s="63" t="s">
        <v>136</v>
      </c>
      <c r="C21" s="62">
        <v>10</v>
      </c>
      <c r="D21" s="62" t="s">
        <v>137</v>
      </c>
      <c r="E21" s="64"/>
      <c r="F21" s="65"/>
      <c r="G21" s="62" t="s">
        <v>105</v>
      </c>
      <c r="H21" s="66">
        <f>Tariefopbouw1</f>
        <v>0</v>
      </c>
    </row>
    <row r="22" spans="1:8" x14ac:dyDescent="0.2">
      <c r="A22" s="62" t="s">
        <v>138</v>
      </c>
      <c r="B22" s="63" t="s">
        <v>139</v>
      </c>
      <c r="C22" s="62">
        <v>1</v>
      </c>
      <c r="D22" s="62" t="s">
        <v>140</v>
      </c>
      <c r="E22" s="64"/>
      <c r="F22" s="65"/>
      <c r="G22" s="62" t="s">
        <v>105</v>
      </c>
      <c r="H22" s="66">
        <f>Tariefopbouw1</f>
        <v>0</v>
      </c>
    </row>
    <row r="23" spans="1:8" x14ac:dyDescent="0.2">
      <c r="A23" s="62" t="s">
        <v>141</v>
      </c>
      <c r="B23" s="63" t="s">
        <v>139</v>
      </c>
      <c r="C23" s="62">
        <v>51</v>
      </c>
      <c r="D23" s="62" t="s">
        <v>142</v>
      </c>
      <c r="E23" s="64"/>
      <c r="F23" s="65"/>
      <c r="G23" s="62" t="s">
        <v>105</v>
      </c>
      <c r="H23" s="66">
        <f>Tariefopbouw1</f>
        <v>0</v>
      </c>
    </row>
    <row r="24" spans="1:8" x14ac:dyDescent="0.2">
      <c r="A24" s="62" t="s">
        <v>143</v>
      </c>
      <c r="B24" s="63" t="s">
        <v>139</v>
      </c>
      <c r="C24" s="62">
        <v>1</v>
      </c>
      <c r="D24" s="62" t="s">
        <v>144</v>
      </c>
      <c r="E24" s="64"/>
      <c r="F24" s="65"/>
      <c r="G24" s="62" t="s">
        <v>105</v>
      </c>
      <c r="H24" s="66">
        <f>Tariefopbouw1</f>
        <v>0</v>
      </c>
    </row>
    <row r="25" spans="1:8" x14ac:dyDescent="0.2">
      <c r="A25" s="62" t="s">
        <v>145</v>
      </c>
      <c r="B25" s="63" t="s">
        <v>139</v>
      </c>
      <c r="C25" s="62">
        <v>51</v>
      </c>
      <c r="D25" s="62" t="s">
        <v>146</v>
      </c>
      <c r="E25" s="64"/>
      <c r="F25" s="65"/>
      <c r="G25" s="62" t="s">
        <v>105</v>
      </c>
      <c r="H25" s="66">
        <f>Tariefopbouw1</f>
        <v>0</v>
      </c>
    </row>
    <row r="26" spans="1:8" x14ac:dyDescent="0.2">
      <c r="A26" s="62" t="s">
        <v>147</v>
      </c>
      <c r="B26" s="63" t="s">
        <v>139</v>
      </c>
      <c r="C26" s="62">
        <v>1</v>
      </c>
      <c r="D26" s="62" t="s">
        <v>148</v>
      </c>
      <c r="E26" s="64"/>
      <c r="F26" s="65"/>
      <c r="G26" s="62" t="s">
        <v>105</v>
      </c>
      <c r="H26" s="66">
        <f>Tariefopbouw1</f>
        <v>0</v>
      </c>
    </row>
    <row r="27" spans="1:8" x14ac:dyDescent="0.2">
      <c r="A27" s="62" t="s">
        <v>149</v>
      </c>
      <c r="B27" s="63" t="s">
        <v>139</v>
      </c>
      <c r="C27" s="62">
        <v>2</v>
      </c>
      <c r="D27" s="62" t="s">
        <v>150</v>
      </c>
      <c r="E27" s="64"/>
      <c r="F27" s="65"/>
      <c r="G27" s="62" t="s">
        <v>105</v>
      </c>
      <c r="H27" s="66">
        <f>Tariefopbouw1</f>
        <v>0</v>
      </c>
    </row>
    <row r="28" spans="1:8" x14ac:dyDescent="0.2">
      <c r="A28" s="62" t="s">
        <v>149</v>
      </c>
      <c r="B28" s="63" t="s">
        <v>139</v>
      </c>
      <c r="C28" s="62">
        <v>4</v>
      </c>
      <c r="D28" s="62" t="s">
        <v>150</v>
      </c>
      <c r="E28" s="64"/>
      <c r="F28" s="65"/>
      <c r="G28" s="62" t="s">
        <v>105</v>
      </c>
      <c r="H28" s="66">
        <f>Tariefopbouw1</f>
        <v>0</v>
      </c>
    </row>
    <row r="29" spans="1:8" x14ac:dyDescent="0.2">
      <c r="A29" s="62" t="s">
        <v>149</v>
      </c>
      <c r="B29" s="63" t="s">
        <v>139</v>
      </c>
      <c r="C29" s="62">
        <v>12</v>
      </c>
      <c r="D29" s="62" t="s">
        <v>150</v>
      </c>
      <c r="E29" s="64"/>
      <c r="F29" s="65"/>
      <c r="G29" s="62" t="s">
        <v>105</v>
      </c>
      <c r="H29" s="66">
        <f>Tariefopbouw1</f>
        <v>0</v>
      </c>
    </row>
    <row r="30" spans="1:8" x14ac:dyDescent="0.2">
      <c r="A30" s="62" t="s">
        <v>149</v>
      </c>
      <c r="B30" s="63" t="s">
        <v>139</v>
      </c>
      <c r="C30" s="62">
        <v>26</v>
      </c>
      <c r="D30" s="62" t="s">
        <v>150</v>
      </c>
      <c r="E30" s="64"/>
      <c r="F30" s="65"/>
      <c r="G30" s="62" t="s">
        <v>105</v>
      </c>
      <c r="H30" s="66">
        <f>Tariefopbouw1</f>
        <v>0</v>
      </c>
    </row>
    <row r="31" spans="1:8" x14ac:dyDescent="0.2">
      <c r="A31" s="62" t="s">
        <v>149</v>
      </c>
      <c r="B31" s="63" t="s">
        <v>139</v>
      </c>
      <c r="C31" s="62">
        <v>51</v>
      </c>
      <c r="D31" s="62" t="s">
        <v>150</v>
      </c>
      <c r="E31" s="64"/>
      <c r="F31" s="65"/>
      <c r="G31" s="62" t="s">
        <v>105</v>
      </c>
      <c r="H31" s="66">
        <f>Tariefopbouw1</f>
        <v>0</v>
      </c>
    </row>
    <row r="32" spans="1:8" x14ac:dyDescent="0.2">
      <c r="A32" s="62" t="s">
        <v>151</v>
      </c>
      <c r="B32" s="63" t="s">
        <v>139</v>
      </c>
      <c r="C32" s="62">
        <v>1</v>
      </c>
      <c r="D32" s="62" t="s">
        <v>152</v>
      </c>
      <c r="E32" s="64"/>
      <c r="F32" s="65"/>
      <c r="G32" s="62" t="s">
        <v>105</v>
      </c>
      <c r="H32" s="66">
        <f>Tariefopbouw1</f>
        <v>0</v>
      </c>
    </row>
    <row r="33" spans="1:8" x14ac:dyDescent="0.2">
      <c r="A33" s="62" t="s">
        <v>153</v>
      </c>
      <c r="B33" s="63" t="s">
        <v>139</v>
      </c>
      <c r="C33" s="62">
        <v>51</v>
      </c>
      <c r="D33" s="62" t="s">
        <v>154</v>
      </c>
      <c r="E33" s="64"/>
      <c r="F33" s="65"/>
      <c r="G33" s="62" t="s">
        <v>105</v>
      </c>
      <c r="H33" s="66">
        <f>Tariefopbouw1</f>
        <v>0</v>
      </c>
    </row>
    <row r="34" spans="1:8" x14ac:dyDescent="0.2">
      <c r="A34" s="62" t="s">
        <v>155</v>
      </c>
      <c r="B34" s="63" t="s">
        <v>156</v>
      </c>
      <c r="C34" s="62">
        <v>1</v>
      </c>
      <c r="D34" s="62" t="s">
        <v>157</v>
      </c>
      <c r="E34" s="64"/>
      <c r="F34" s="65"/>
      <c r="G34" s="62" t="s">
        <v>105</v>
      </c>
      <c r="H34" s="66">
        <f>Tariefopbouw1</f>
        <v>0</v>
      </c>
    </row>
    <row r="35" spans="1:8" x14ac:dyDescent="0.2">
      <c r="A35" s="62" t="s">
        <v>158</v>
      </c>
      <c r="B35" s="63" t="s">
        <v>156</v>
      </c>
      <c r="C35" s="62">
        <v>51</v>
      </c>
      <c r="D35" s="62" t="s">
        <v>159</v>
      </c>
      <c r="E35" s="64"/>
      <c r="F35" s="65"/>
      <c r="G35" s="62" t="s">
        <v>105</v>
      </c>
      <c r="H35" s="66">
        <f>Tariefopbouw1</f>
        <v>0</v>
      </c>
    </row>
    <row r="36" spans="1:8" x14ac:dyDescent="0.2">
      <c r="A36" s="62" t="s">
        <v>160</v>
      </c>
      <c r="B36" s="63" t="s">
        <v>156</v>
      </c>
      <c r="C36" s="62">
        <v>1</v>
      </c>
      <c r="D36" s="62" t="s">
        <v>161</v>
      </c>
      <c r="E36" s="64"/>
      <c r="F36" s="65"/>
      <c r="G36" s="62" t="s">
        <v>105</v>
      </c>
      <c r="H36" s="66">
        <f>Tariefopbouw1</f>
        <v>0</v>
      </c>
    </row>
    <row r="37" spans="1:8" x14ac:dyDescent="0.2">
      <c r="A37" s="62" t="s">
        <v>162</v>
      </c>
      <c r="B37" s="63" t="s">
        <v>156</v>
      </c>
      <c r="C37" s="62">
        <v>1</v>
      </c>
      <c r="D37" s="62" t="s">
        <v>163</v>
      </c>
      <c r="E37" s="64"/>
      <c r="F37" s="65"/>
      <c r="G37" s="62" t="s">
        <v>105</v>
      </c>
      <c r="H37" s="66">
        <f>Tariefopbouw1</f>
        <v>0</v>
      </c>
    </row>
    <row r="38" spans="1:8" x14ac:dyDescent="0.2">
      <c r="A38" s="62" t="s">
        <v>164</v>
      </c>
      <c r="B38" s="63" t="s">
        <v>156</v>
      </c>
      <c r="C38" s="62">
        <v>51</v>
      </c>
      <c r="D38" s="62" t="s">
        <v>165</v>
      </c>
      <c r="E38" s="64"/>
      <c r="F38" s="65"/>
      <c r="G38" s="62" t="s">
        <v>105</v>
      </c>
      <c r="H38" s="66">
        <f>Tariefopbouw1</f>
        <v>0</v>
      </c>
    </row>
    <row r="39" spans="1:8" x14ac:dyDescent="0.2">
      <c r="A39" s="62" t="s">
        <v>166</v>
      </c>
      <c r="B39" s="63" t="s">
        <v>156</v>
      </c>
      <c r="C39" s="62">
        <v>1</v>
      </c>
      <c r="D39" s="62" t="s">
        <v>167</v>
      </c>
      <c r="E39" s="64"/>
      <c r="F39" s="65"/>
      <c r="G39" s="62" t="s">
        <v>105</v>
      </c>
      <c r="H39" s="66">
        <f>Tariefopbouw1</f>
        <v>0</v>
      </c>
    </row>
    <row r="40" spans="1:8" x14ac:dyDescent="0.2">
      <c r="A40" s="62" t="s">
        <v>166</v>
      </c>
      <c r="B40" s="63" t="s">
        <v>156</v>
      </c>
      <c r="C40" s="62">
        <v>12</v>
      </c>
      <c r="D40" s="62" t="s">
        <v>167</v>
      </c>
      <c r="E40" s="64"/>
      <c r="F40" s="65"/>
      <c r="G40" s="62" t="s">
        <v>105</v>
      </c>
      <c r="H40" s="66">
        <f>Tariefopbouw1</f>
        <v>0</v>
      </c>
    </row>
    <row r="41" spans="1:8" x14ac:dyDescent="0.2">
      <c r="A41" s="62" t="s">
        <v>166</v>
      </c>
      <c r="B41" s="63" t="s">
        <v>156</v>
      </c>
      <c r="C41" s="62">
        <v>51</v>
      </c>
      <c r="D41" s="62" t="s">
        <v>168</v>
      </c>
      <c r="E41" s="64"/>
      <c r="F41" s="65"/>
      <c r="G41" s="62" t="s">
        <v>105</v>
      </c>
      <c r="H41" s="66">
        <f>Tariefopbouw1</f>
        <v>0</v>
      </c>
    </row>
    <row r="42" spans="1:8" x14ac:dyDescent="0.2">
      <c r="A42" s="62" t="s">
        <v>169</v>
      </c>
      <c r="B42" s="63" t="s">
        <v>156</v>
      </c>
      <c r="C42" s="62">
        <v>1</v>
      </c>
      <c r="D42" s="62" t="s">
        <v>170</v>
      </c>
      <c r="E42" s="64"/>
      <c r="F42" s="65"/>
      <c r="G42" s="62" t="s">
        <v>105</v>
      </c>
      <c r="H42" s="66">
        <f>Tariefopbouw1</f>
        <v>0</v>
      </c>
    </row>
    <row r="43" spans="1:8" x14ac:dyDescent="0.2">
      <c r="A43" s="62" t="s">
        <v>171</v>
      </c>
      <c r="B43" s="63" t="s">
        <v>156</v>
      </c>
      <c r="C43" s="62">
        <v>51</v>
      </c>
      <c r="D43" s="62" t="s">
        <v>172</v>
      </c>
      <c r="E43" s="64"/>
      <c r="F43" s="65"/>
      <c r="G43" s="62" t="s">
        <v>105</v>
      </c>
      <c r="H43" s="66">
        <f>Tariefopbouw1</f>
        <v>0</v>
      </c>
    </row>
    <row r="44" spans="1:8" x14ac:dyDescent="0.2">
      <c r="A44" s="62" t="s">
        <v>173</v>
      </c>
      <c r="B44" s="63" t="s">
        <v>156</v>
      </c>
      <c r="C44" s="62">
        <v>1</v>
      </c>
      <c r="D44" s="62" t="s">
        <v>174</v>
      </c>
      <c r="E44" s="64"/>
      <c r="F44" s="65"/>
      <c r="G44" s="62" t="s">
        <v>105</v>
      </c>
      <c r="H44" s="66">
        <f>Tariefopbouw1</f>
        <v>0</v>
      </c>
    </row>
    <row r="45" spans="1:8" x14ac:dyDescent="0.2">
      <c r="A45" s="62" t="s">
        <v>175</v>
      </c>
      <c r="B45" s="63" t="s">
        <v>156</v>
      </c>
      <c r="C45" s="62">
        <v>2</v>
      </c>
      <c r="D45" s="62" t="s">
        <v>176</v>
      </c>
      <c r="E45" s="64"/>
      <c r="F45" s="65"/>
      <c r="G45" s="62" t="s">
        <v>105</v>
      </c>
      <c r="H45" s="66">
        <f>Tariefopbouw1</f>
        <v>0</v>
      </c>
    </row>
    <row r="46" spans="1:8" x14ac:dyDescent="0.2">
      <c r="A46" s="62" t="s">
        <v>175</v>
      </c>
      <c r="B46" s="63" t="s">
        <v>156</v>
      </c>
      <c r="C46" s="62">
        <v>4</v>
      </c>
      <c r="D46" s="62" t="s">
        <v>176</v>
      </c>
      <c r="E46" s="64"/>
      <c r="F46" s="65"/>
      <c r="G46" s="62" t="s">
        <v>105</v>
      </c>
      <c r="H46" s="66">
        <f>Tariefopbouw1</f>
        <v>0</v>
      </c>
    </row>
    <row r="47" spans="1:8" x14ac:dyDescent="0.2">
      <c r="A47" s="62" t="s">
        <v>175</v>
      </c>
      <c r="B47" s="63" t="s">
        <v>156</v>
      </c>
      <c r="C47" s="62">
        <v>51</v>
      </c>
      <c r="D47" s="62" t="s">
        <v>176</v>
      </c>
      <c r="E47" s="64"/>
      <c r="F47" s="65"/>
      <c r="G47" s="62" t="s">
        <v>105</v>
      </c>
      <c r="H47" s="66">
        <f>Tariefopbouw1</f>
        <v>0</v>
      </c>
    </row>
    <row r="48" spans="1:8" x14ac:dyDescent="0.2">
      <c r="A48" s="62" t="s">
        <v>177</v>
      </c>
      <c r="B48" s="63" t="s">
        <v>156</v>
      </c>
      <c r="C48" s="62">
        <v>1</v>
      </c>
      <c r="D48" s="62" t="s">
        <v>178</v>
      </c>
      <c r="E48" s="64"/>
      <c r="F48" s="65"/>
      <c r="G48" s="62" t="s">
        <v>105</v>
      </c>
      <c r="H48" s="66">
        <f>Tariefopbouw1</f>
        <v>0</v>
      </c>
    </row>
    <row r="49" spans="1:8" x14ac:dyDescent="0.2">
      <c r="A49" s="62" t="s">
        <v>179</v>
      </c>
      <c r="B49" s="63" t="s">
        <v>156</v>
      </c>
      <c r="C49" s="62">
        <v>4</v>
      </c>
      <c r="D49" s="62" t="s">
        <v>180</v>
      </c>
      <c r="E49" s="64"/>
      <c r="F49" s="65"/>
      <c r="G49" s="62" t="s">
        <v>105</v>
      </c>
      <c r="H49" s="66">
        <f>Tariefopbouw1</f>
        <v>0</v>
      </c>
    </row>
    <row r="50" spans="1:8" x14ac:dyDescent="0.2">
      <c r="A50" s="62" t="s">
        <v>179</v>
      </c>
      <c r="B50" s="63" t="s">
        <v>156</v>
      </c>
      <c r="C50" s="62">
        <v>51</v>
      </c>
      <c r="D50" s="62" t="s">
        <v>180</v>
      </c>
      <c r="E50" s="64"/>
      <c r="F50" s="65"/>
      <c r="G50" s="62" t="s">
        <v>105</v>
      </c>
      <c r="H50" s="66">
        <f>Tariefopbouw1</f>
        <v>0</v>
      </c>
    </row>
    <row r="51" spans="1:8" x14ac:dyDescent="0.2">
      <c r="A51" s="62" t="s">
        <v>181</v>
      </c>
      <c r="B51" s="63" t="s">
        <v>156</v>
      </c>
      <c r="C51" s="62">
        <v>1</v>
      </c>
      <c r="D51" s="62" t="s">
        <v>182</v>
      </c>
      <c r="E51" s="64"/>
      <c r="F51" s="65"/>
      <c r="G51" s="62" t="s">
        <v>105</v>
      </c>
      <c r="H51" s="66">
        <f>Tariefopbouw1</f>
        <v>0</v>
      </c>
    </row>
    <row r="52" spans="1:8" x14ac:dyDescent="0.2">
      <c r="A52" s="62" t="s">
        <v>183</v>
      </c>
      <c r="B52" s="63" t="s">
        <v>156</v>
      </c>
      <c r="C52" s="62">
        <v>51</v>
      </c>
      <c r="D52" s="62" t="s">
        <v>184</v>
      </c>
      <c r="E52" s="64"/>
      <c r="F52" s="65"/>
      <c r="G52" s="62" t="s">
        <v>105</v>
      </c>
      <c r="H52" s="66">
        <f>Tariefopbouw1</f>
        <v>0</v>
      </c>
    </row>
    <row r="53" spans="1:8" x14ac:dyDescent="0.2">
      <c r="A53" s="62" t="s">
        <v>185</v>
      </c>
      <c r="B53" s="63" t="s">
        <v>156</v>
      </c>
      <c r="C53" s="62">
        <v>1</v>
      </c>
      <c r="D53" s="62" t="s">
        <v>186</v>
      </c>
      <c r="E53" s="64"/>
      <c r="F53" s="65"/>
      <c r="G53" s="62" t="s">
        <v>105</v>
      </c>
      <c r="H53" s="66">
        <f>Tariefopbouw1</f>
        <v>0</v>
      </c>
    </row>
    <row r="54" spans="1:8" x14ac:dyDescent="0.2">
      <c r="A54" s="62" t="s">
        <v>187</v>
      </c>
      <c r="B54" s="63" t="s">
        <v>156</v>
      </c>
      <c r="C54" s="62">
        <v>2</v>
      </c>
      <c r="D54" s="62" t="s">
        <v>188</v>
      </c>
      <c r="E54" s="64"/>
      <c r="F54" s="65"/>
      <c r="G54" s="62" t="s">
        <v>105</v>
      </c>
      <c r="H54" s="66">
        <f>Tariefopbouw1</f>
        <v>0</v>
      </c>
    </row>
    <row r="55" spans="1:8" x14ac:dyDescent="0.2">
      <c r="A55" s="62" t="s">
        <v>187</v>
      </c>
      <c r="B55" s="63" t="s">
        <v>156</v>
      </c>
      <c r="C55" s="62">
        <v>51</v>
      </c>
      <c r="D55" s="62" t="s">
        <v>188</v>
      </c>
      <c r="E55" s="64"/>
      <c r="F55" s="65"/>
      <c r="G55" s="62" t="s">
        <v>105</v>
      </c>
      <c r="H55" s="66">
        <f>Tariefopbouw1</f>
        <v>0</v>
      </c>
    </row>
    <row r="56" spans="1:8" x14ac:dyDescent="0.2">
      <c r="A56" s="62" t="s">
        <v>189</v>
      </c>
      <c r="B56" s="63" t="s">
        <v>156</v>
      </c>
      <c r="C56" s="62">
        <v>1</v>
      </c>
      <c r="D56" s="62" t="s">
        <v>190</v>
      </c>
      <c r="E56" s="64"/>
      <c r="F56" s="65"/>
      <c r="G56" s="62" t="s">
        <v>105</v>
      </c>
      <c r="H56" s="66">
        <f>Tariefopbouw1</f>
        <v>0</v>
      </c>
    </row>
    <row r="57" spans="1:8" x14ac:dyDescent="0.2">
      <c r="A57" s="62" t="s">
        <v>191</v>
      </c>
      <c r="B57" s="63" t="s">
        <v>156</v>
      </c>
      <c r="C57" s="62">
        <v>51</v>
      </c>
      <c r="D57" s="62" t="s">
        <v>192</v>
      </c>
      <c r="E57" s="64"/>
      <c r="F57" s="65"/>
      <c r="G57" s="62" t="s">
        <v>105</v>
      </c>
      <c r="H57" s="66">
        <f>Tariefopbouw1</f>
        <v>0</v>
      </c>
    </row>
    <row r="58" spans="1:8" x14ac:dyDescent="0.2">
      <c r="A58" s="62" t="s">
        <v>193</v>
      </c>
      <c r="B58" s="63" t="s">
        <v>156</v>
      </c>
      <c r="C58" s="62">
        <v>1</v>
      </c>
      <c r="D58" s="62" t="s">
        <v>194</v>
      </c>
      <c r="E58" s="64"/>
      <c r="F58" s="65"/>
      <c r="G58" s="62" t="s">
        <v>105</v>
      </c>
      <c r="H58" s="66">
        <f>Tariefopbouw1</f>
        <v>0</v>
      </c>
    </row>
    <row r="59" spans="1:8" x14ac:dyDescent="0.2">
      <c r="A59" s="62" t="s">
        <v>195</v>
      </c>
      <c r="B59" s="63" t="s">
        <v>156</v>
      </c>
      <c r="C59" s="62">
        <v>51</v>
      </c>
      <c r="D59" s="62" t="s">
        <v>196</v>
      </c>
      <c r="E59" s="64"/>
      <c r="F59" s="65"/>
      <c r="G59" s="62" t="s">
        <v>105</v>
      </c>
      <c r="H59" s="66">
        <f>Tariefopbouw1</f>
        <v>0</v>
      </c>
    </row>
    <row r="60" spans="1:8" x14ac:dyDescent="0.2">
      <c r="A60" s="62" t="s">
        <v>197</v>
      </c>
      <c r="B60" s="63" t="s">
        <v>156</v>
      </c>
      <c r="C60" s="62">
        <v>1</v>
      </c>
      <c r="D60" s="62" t="s">
        <v>198</v>
      </c>
      <c r="E60" s="64"/>
      <c r="F60" s="65"/>
      <c r="G60" s="62" t="s">
        <v>105</v>
      </c>
      <c r="H60" s="66">
        <f>Tariefopbouw1</f>
        <v>0</v>
      </c>
    </row>
    <row r="61" spans="1:8" x14ac:dyDescent="0.2">
      <c r="A61" s="62" t="s">
        <v>199</v>
      </c>
      <c r="B61" s="63" t="s">
        <v>156</v>
      </c>
      <c r="C61" s="62">
        <v>51</v>
      </c>
      <c r="D61" s="62" t="s">
        <v>200</v>
      </c>
      <c r="E61" s="64"/>
      <c r="F61" s="65"/>
      <c r="G61" s="62" t="s">
        <v>105</v>
      </c>
      <c r="H61" s="66">
        <f>Tariefopbouw1</f>
        <v>0</v>
      </c>
    </row>
    <row r="62" spans="1:8" x14ac:dyDescent="0.2">
      <c r="A62" s="62" t="s">
        <v>201</v>
      </c>
      <c r="B62" s="63" t="s">
        <v>156</v>
      </c>
      <c r="C62" s="62">
        <v>1</v>
      </c>
      <c r="D62" s="62" t="s">
        <v>202</v>
      </c>
      <c r="E62" s="64"/>
      <c r="F62" s="65"/>
      <c r="G62" s="62" t="s">
        <v>105</v>
      </c>
      <c r="H62" s="66">
        <f>Tariefopbouw1</f>
        <v>0</v>
      </c>
    </row>
    <row r="63" spans="1:8" x14ac:dyDescent="0.2">
      <c r="A63" s="62" t="s">
        <v>203</v>
      </c>
      <c r="B63" s="63" t="s">
        <v>156</v>
      </c>
      <c r="C63" s="62">
        <v>51</v>
      </c>
      <c r="D63" s="62" t="s">
        <v>204</v>
      </c>
      <c r="E63" s="64"/>
      <c r="F63" s="65"/>
      <c r="G63" s="62" t="s">
        <v>105</v>
      </c>
      <c r="H63" s="66">
        <f>Tariefopbouw1</f>
        <v>0</v>
      </c>
    </row>
    <row r="64" spans="1:8" x14ac:dyDescent="0.2">
      <c r="A64" s="62" t="s">
        <v>205</v>
      </c>
      <c r="B64" s="63" t="s">
        <v>156</v>
      </c>
      <c r="C64" s="62">
        <v>1</v>
      </c>
      <c r="D64" s="62" t="s">
        <v>206</v>
      </c>
      <c r="E64" s="64"/>
      <c r="F64" s="65"/>
      <c r="G64" s="62" t="s">
        <v>105</v>
      </c>
      <c r="H64" s="66">
        <f>Tariefopbouw1</f>
        <v>0</v>
      </c>
    </row>
    <row r="65" spans="1:8" x14ac:dyDescent="0.2">
      <c r="A65" s="62" t="s">
        <v>207</v>
      </c>
      <c r="B65" s="63" t="s">
        <v>156</v>
      </c>
      <c r="C65" s="62">
        <v>12</v>
      </c>
      <c r="D65" s="62" t="s">
        <v>208</v>
      </c>
      <c r="E65" s="64"/>
      <c r="F65" s="65"/>
      <c r="G65" s="62" t="s">
        <v>105</v>
      </c>
      <c r="H65" s="66">
        <f>Tariefopbouw1</f>
        <v>0</v>
      </c>
    </row>
    <row r="66" spans="1:8" x14ac:dyDescent="0.2">
      <c r="A66" s="62" t="s">
        <v>207</v>
      </c>
      <c r="B66" s="63" t="s">
        <v>156</v>
      </c>
      <c r="C66" s="62">
        <v>51</v>
      </c>
      <c r="D66" s="62" t="s">
        <v>208</v>
      </c>
      <c r="E66" s="64"/>
      <c r="F66" s="65"/>
      <c r="G66" s="62" t="s">
        <v>105</v>
      </c>
      <c r="H66" s="66">
        <f>Tariefopbouw1</f>
        <v>0</v>
      </c>
    </row>
    <row r="67" spans="1:8" x14ac:dyDescent="0.2">
      <c r="A67" s="62" t="s">
        <v>209</v>
      </c>
      <c r="B67" s="63" t="s">
        <v>156</v>
      </c>
      <c r="C67" s="62">
        <v>1</v>
      </c>
      <c r="D67" s="62" t="s">
        <v>210</v>
      </c>
      <c r="E67" s="64"/>
      <c r="F67" s="65"/>
      <c r="G67" s="62" t="s">
        <v>105</v>
      </c>
      <c r="H67" s="66">
        <f>Tariefopbouw1</f>
        <v>0</v>
      </c>
    </row>
    <row r="68" spans="1:8" x14ac:dyDescent="0.2">
      <c r="A68" s="62" t="s">
        <v>211</v>
      </c>
      <c r="B68" s="63" t="s">
        <v>156</v>
      </c>
      <c r="C68" s="62">
        <v>51</v>
      </c>
      <c r="D68" s="62" t="s">
        <v>208</v>
      </c>
      <c r="E68" s="64"/>
      <c r="F68" s="65"/>
      <c r="G68" s="62" t="s">
        <v>105</v>
      </c>
      <c r="H68" s="66">
        <f>Tariefopbouw1</f>
        <v>0</v>
      </c>
    </row>
    <row r="69" spans="1:8" x14ac:dyDescent="0.2">
      <c r="A69" s="62" t="s">
        <v>212</v>
      </c>
      <c r="B69" s="63" t="s">
        <v>156</v>
      </c>
      <c r="C69" s="62">
        <v>4</v>
      </c>
      <c r="D69" s="62" t="s">
        <v>213</v>
      </c>
      <c r="E69" s="64"/>
      <c r="F69" s="65"/>
      <c r="G69" s="62" t="s">
        <v>105</v>
      </c>
      <c r="H69" s="66">
        <f>Tariefopbouw1</f>
        <v>0</v>
      </c>
    </row>
    <row r="70" spans="1:8" x14ac:dyDescent="0.2">
      <c r="A70" s="62" t="s">
        <v>214</v>
      </c>
      <c r="B70" s="63" t="s">
        <v>156</v>
      </c>
      <c r="C70" s="62">
        <v>1</v>
      </c>
      <c r="D70" s="62" t="s">
        <v>215</v>
      </c>
      <c r="E70" s="64"/>
      <c r="F70" s="65"/>
      <c r="G70" s="62" t="s">
        <v>105</v>
      </c>
      <c r="H70" s="66">
        <f>Tariefopbouw1</f>
        <v>0</v>
      </c>
    </row>
    <row r="71" spans="1:8" x14ac:dyDescent="0.2">
      <c r="A71" s="62" t="s">
        <v>216</v>
      </c>
      <c r="B71" s="63" t="s">
        <v>156</v>
      </c>
      <c r="C71" s="62">
        <v>2</v>
      </c>
      <c r="D71" s="62" t="s">
        <v>217</v>
      </c>
      <c r="E71" s="64"/>
      <c r="F71" s="65"/>
      <c r="G71" s="62" t="s">
        <v>105</v>
      </c>
      <c r="H71" s="66">
        <f>Tariefopbouw1</f>
        <v>0</v>
      </c>
    </row>
    <row r="72" spans="1:8" x14ac:dyDescent="0.2">
      <c r="A72" s="62" t="s">
        <v>216</v>
      </c>
      <c r="B72" s="63" t="s">
        <v>156</v>
      </c>
      <c r="C72" s="62">
        <v>4</v>
      </c>
      <c r="D72" s="62" t="s">
        <v>217</v>
      </c>
      <c r="E72" s="64"/>
      <c r="F72" s="65"/>
      <c r="G72" s="62" t="s">
        <v>105</v>
      </c>
      <c r="H72" s="66">
        <f>Tariefopbouw1</f>
        <v>0</v>
      </c>
    </row>
    <row r="73" spans="1:8" x14ac:dyDescent="0.2">
      <c r="A73" s="62" t="s">
        <v>216</v>
      </c>
      <c r="B73" s="63" t="s">
        <v>156</v>
      </c>
      <c r="C73" s="62">
        <v>12</v>
      </c>
      <c r="D73" s="62" t="s">
        <v>217</v>
      </c>
      <c r="E73" s="64"/>
      <c r="F73" s="65"/>
      <c r="G73" s="62" t="s">
        <v>105</v>
      </c>
      <c r="H73" s="66">
        <f>Tariefopbouw1</f>
        <v>0</v>
      </c>
    </row>
    <row r="74" spans="1:8" x14ac:dyDescent="0.2">
      <c r="A74" s="62" t="s">
        <v>216</v>
      </c>
      <c r="B74" s="63" t="s">
        <v>156</v>
      </c>
      <c r="C74" s="62">
        <v>51</v>
      </c>
      <c r="D74" s="62" t="s">
        <v>217</v>
      </c>
      <c r="E74" s="64"/>
      <c r="F74" s="65"/>
      <c r="G74" s="62" t="s">
        <v>105</v>
      </c>
      <c r="H74" s="66">
        <f>Tariefopbouw1</f>
        <v>0</v>
      </c>
    </row>
    <row r="75" spans="1:8" x14ac:dyDescent="0.2">
      <c r="A75" s="62" t="s">
        <v>218</v>
      </c>
      <c r="B75" s="63" t="s">
        <v>156</v>
      </c>
      <c r="C75" s="62">
        <v>1</v>
      </c>
      <c r="D75" s="62" t="s">
        <v>219</v>
      </c>
      <c r="E75" s="64"/>
      <c r="F75" s="65"/>
      <c r="G75" s="62" t="s">
        <v>105</v>
      </c>
      <c r="H75" s="66">
        <f>Tariefopbouw1</f>
        <v>0</v>
      </c>
    </row>
    <row r="76" spans="1:8" x14ac:dyDescent="0.2">
      <c r="A76" s="67" t="s">
        <v>220</v>
      </c>
      <c r="B76" s="68" t="s">
        <v>156</v>
      </c>
      <c r="C76" s="67">
        <v>51</v>
      </c>
      <c r="D76" s="67" t="s">
        <v>221</v>
      </c>
      <c r="E76" s="69"/>
      <c r="F76" s="70"/>
      <c r="G76" s="67" t="s">
        <v>105</v>
      </c>
      <c r="H76" s="71">
        <f>Tariefopbouw1</f>
        <v>0</v>
      </c>
    </row>
  </sheetData>
  <sheetProtection algorithmName="SHA-512" hashValue="5SCJxQCVKilIUTfMBv/dOsBJNotwmcQqMHDVu/+9I/ZVHw22hDKXfM++ZThRyuZvL27fW+gJoiCSnGJ5I7/bxg==" saltValue="/mUXDWzbr/hjeq4qXYLYkw==" spinCount="100000" sheet="1" objects="1" scenarios="1" autoFilter="0"/>
  <pageMargins left="0.7" right="0.7" top="0.75" bottom="0.75" header="0.3" footer="0.3"/>
  <pageSetup paperSize="9" scale="70" orientation="landscape" r:id="rId1"/>
  <headerFooter>
    <oddFooter>&amp;LWaterschap Vallei &amp; Veluwe EA 2027                          &amp;ROpmaakdatum: 30-10-2026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BF1A6-EC2C-4B97-B607-5FC6602104B6}">
  <dimension ref="A1:M14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7" width="11.625" customWidth="1"/>
    <col min="8" max="8" width="9.625" customWidth="1"/>
    <col min="9" max="11" width="11.625" customWidth="1"/>
    <col min="12" max="12" width="12.625" customWidth="1"/>
    <col min="13" max="13" width="14.625" customWidth="1"/>
  </cols>
  <sheetData>
    <row r="1" spans="1:13" x14ac:dyDescent="0.2">
      <c r="A1" s="1" t="str">
        <f>CONCATENATE("Bijlage G.2: ",tabeltype," regulier werk")</f>
        <v>Bijlage G.2: Invultabel regulier werk</v>
      </c>
    </row>
    <row r="3" spans="1:13" ht="38.25" x14ac:dyDescent="0.2">
      <c r="A3" s="46" t="s">
        <v>222</v>
      </c>
      <c r="B3" s="46" t="s">
        <v>7</v>
      </c>
      <c r="C3" s="46" t="s">
        <v>223</v>
      </c>
      <c r="D3" s="46" t="s">
        <v>96</v>
      </c>
      <c r="E3" s="46" t="s">
        <v>224</v>
      </c>
      <c r="F3" s="46" t="s">
        <v>225</v>
      </c>
      <c r="G3" s="46" t="s">
        <v>97</v>
      </c>
      <c r="H3" s="46" t="s">
        <v>99</v>
      </c>
      <c r="I3" s="46" t="s">
        <v>100</v>
      </c>
      <c r="J3" s="46" t="s">
        <v>226</v>
      </c>
      <c r="K3" s="46" t="s">
        <v>227</v>
      </c>
      <c r="L3" s="46" t="s">
        <v>228</v>
      </c>
      <c r="M3" s="46" t="s">
        <v>229</v>
      </c>
    </row>
    <row r="4" spans="1:13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x14ac:dyDescent="0.2">
      <c r="A5" s="50" t="s">
        <v>101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2"/>
    </row>
    <row r="6" spans="1:13" x14ac:dyDescent="0.2">
      <c r="A6" s="57" t="s">
        <v>230</v>
      </c>
      <c r="B6" s="57" t="s">
        <v>15</v>
      </c>
      <c r="C6" s="57" t="s">
        <v>231</v>
      </c>
      <c r="D6" s="57" t="s">
        <v>232</v>
      </c>
      <c r="E6" s="74">
        <v>6</v>
      </c>
      <c r="F6" s="74">
        <f>E6*VLOOKUP(B6,dagsoorttabel1,2,FALSE)</f>
        <v>0.28235294117647058</v>
      </c>
      <c r="G6" s="75">
        <f>catpn_1_BBHV_12</f>
        <v>0</v>
      </c>
      <c r="H6" s="57" t="s">
        <v>105</v>
      </c>
      <c r="I6" s="61">
        <f>cattf_1_BBHV_12</f>
        <v>0</v>
      </c>
      <c r="J6" s="74">
        <f>IF(OR(ISBLANK(G6),G6=0),0,F6/ROUND(G6,4))</f>
        <v>0</v>
      </c>
      <c r="K6" s="61">
        <f>ROUND(I6,2)*J6</f>
        <v>0</v>
      </c>
      <c r="L6" s="74">
        <f>J6*dagenperjaar1</f>
        <v>0</v>
      </c>
      <c r="M6" s="61">
        <f>L6*ROUND(I6,2)</f>
        <v>0</v>
      </c>
    </row>
    <row r="7" spans="1:13" x14ac:dyDescent="0.2">
      <c r="A7" s="62" t="s">
        <v>233</v>
      </c>
      <c r="B7" s="62" t="s">
        <v>13</v>
      </c>
      <c r="C7" s="62" t="s">
        <v>231</v>
      </c>
      <c r="D7" s="62" t="s">
        <v>234</v>
      </c>
      <c r="E7" s="76">
        <v>2</v>
      </c>
      <c r="F7" s="76">
        <f>E7*VLOOKUP(B7,dagsoorttabel1,2,FALSE)</f>
        <v>0.4</v>
      </c>
      <c r="G7" s="77">
        <f>IF(AND(catpn_1_BCHB_1&gt;0,catpn_1_BCHV_51&gt;0),(dagenperjaar1*VLOOKUP(B7,dagsoorttabel1,2,FALSE))/(((dagenperjaar1*VLOOKUP(B7,dagsoorttabel1,2,FALSE))-catfd_1_BCHV_51)/catpn_1_BCHB_1+catfd_1_BCHV_51/catpn_1_BCHV_51),0)</f>
        <v>0</v>
      </c>
      <c r="H7" s="62" t="s">
        <v>105</v>
      </c>
      <c r="I7" s="66">
        <f>IF(AND(catpn_1_BCHB_1&gt;0,catpn_1_BCHV_51&gt;0),(cattf_1_BCHB_1*((dagenperjaar1*VLOOKUP(B7,dagsoorttabel1,2,FALSE))-catfd_1_BCHV_51)/catpn_1_BCHB_1+cattf_1_BCHV_51*catfd_1_BCHV_51/catpn_1_BCHV_51)/(((dagenperjaar1*VLOOKUP(B7,dagsoorttabel1,2,FALSE))-catfd_1_BCHV_51)/catpn_1_BCHB_1+catfd_1_BCHV_51/catpn_1_BCHV_51),0)</f>
        <v>0</v>
      </c>
      <c r="J7" s="76">
        <f>IF(OR(ISBLANK(G7),G7=0),0,F7/ROUND(G7,4))</f>
        <v>0</v>
      </c>
      <c r="K7" s="66">
        <f>ROUND(I7,2)*J7</f>
        <v>0</v>
      </c>
      <c r="L7" s="76">
        <f>J7*dagenperjaar1</f>
        <v>0</v>
      </c>
      <c r="M7" s="66">
        <f>L7*ROUND(I7,2)</f>
        <v>0</v>
      </c>
    </row>
    <row r="8" spans="1:13" x14ac:dyDescent="0.2">
      <c r="A8" s="62" t="s">
        <v>233</v>
      </c>
      <c r="B8" s="62" t="s">
        <v>12</v>
      </c>
      <c r="C8" s="62" t="s">
        <v>231</v>
      </c>
      <c r="D8" s="62" t="s">
        <v>234</v>
      </c>
      <c r="E8" s="76">
        <v>2.4</v>
      </c>
      <c r="F8" s="76">
        <f>E8*VLOOKUP(B8,dagsoorttabel1,2,FALSE)</f>
        <v>0.96</v>
      </c>
      <c r="G8" s="77">
        <f>IF(AND(catpn_1_BKHB_1&gt;0,catpn_1_BKHV_51&gt;0),(dagenperjaar1*VLOOKUP(B8,dagsoorttabel1,2,FALSE))/(((dagenperjaar1*VLOOKUP(B8,dagsoorttabel1,2,FALSE))-catfd_1_BKHV_51)/catpn_1_BKHB_1+catfd_1_BKHV_51/catpn_1_BKHV_51),0)</f>
        <v>0</v>
      </c>
      <c r="H8" s="62" t="s">
        <v>105</v>
      </c>
      <c r="I8" s="66">
        <f>IF(AND(catpn_1_BKHB_1&gt;0,catpn_1_BKHV_51&gt;0),(cattf_1_BKHB_1*((dagenperjaar1*VLOOKUP(B8,dagsoorttabel1,2,FALSE))-catfd_1_BKHV_51)/catpn_1_BKHB_1+cattf_1_BKHV_51*catfd_1_BKHV_51/catpn_1_BKHV_51)/(((dagenperjaar1*VLOOKUP(B8,dagsoorttabel1,2,FALSE))-catfd_1_BKHV_51)/catpn_1_BKHB_1+catfd_1_BKHV_51/catpn_1_BKHV_51),0)</f>
        <v>0</v>
      </c>
      <c r="J8" s="76">
        <f>IF(OR(ISBLANK(G8),G8=0),0,F8/ROUND(G8,4))</f>
        <v>0</v>
      </c>
      <c r="K8" s="66">
        <f>ROUND(I8,2)*J8</f>
        <v>0</v>
      </c>
      <c r="L8" s="76">
        <f>J8*dagenperjaar1</f>
        <v>0</v>
      </c>
      <c r="M8" s="66">
        <f>L8*ROUND(I8,2)</f>
        <v>0</v>
      </c>
    </row>
    <row r="9" spans="1:13" x14ac:dyDescent="0.2">
      <c r="A9" s="62" t="s">
        <v>235</v>
      </c>
      <c r="B9" s="62" t="s">
        <v>13</v>
      </c>
      <c r="C9" s="62" t="s">
        <v>231</v>
      </c>
      <c r="D9" s="62" t="s">
        <v>236</v>
      </c>
      <c r="E9" s="76">
        <v>170.89999999999998</v>
      </c>
      <c r="F9" s="76">
        <f>E9*VLOOKUP(B9,dagsoorttabel1,2,FALSE)</f>
        <v>34.18</v>
      </c>
      <c r="G9" s="77">
        <f>IF(AND(catpn_1_BKHB_1&gt;0,catpn_1_BKHV_51&gt;0),(dagenperjaar1*VLOOKUP(B9,dagsoorttabel1,2,FALSE))/(((dagenperjaar1*VLOOKUP(B9,dagsoorttabel1,2,FALSE))-catfd_1_BKHV_51)/catpn_1_BKHB_1+catfd_1_BKHV_51/catpn_1_BKHV_51),0)</f>
        <v>0</v>
      </c>
      <c r="H9" s="62" t="s">
        <v>105</v>
      </c>
      <c r="I9" s="66">
        <f>IF(AND(catpn_1_BKHB_1&gt;0,catpn_1_BKHV_51&gt;0),(cattf_1_BKHB_1*((dagenperjaar1*VLOOKUP(B9,dagsoorttabel1,2,FALSE))-catfd_1_BKHV_51)/catpn_1_BKHB_1+cattf_1_BKHV_51*catfd_1_BKHV_51/catpn_1_BKHV_51)/(((dagenperjaar1*VLOOKUP(B9,dagsoorttabel1,2,FALSE))-catfd_1_BKHV_51)/catpn_1_BKHB_1+catfd_1_BKHV_51/catpn_1_BKHV_51),0)</f>
        <v>0</v>
      </c>
      <c r="J9" s="76">
        <f>IF(OR(ISBLANK(G9),G9=0),0,F9/ROUND(G9,4))</f>
        <v>0</v>
      </c>
      <c r="K9" s="66">
        <f>ROUND(I9,2)*J9</f>
        <v>0</v>
      </c>
      <c r="L9" s="76">
        <f>J9*dagenperjaar1</f>
        <v>0</v>
      </c>
      <c r="M9" s="66">
        <f>L9*ROUND(I9,2)</f>
        <v>0</v>
      </c>
    </row>
    <row r="10" spans="1:13" x14ac:dyDescent="0.2">
      <c r="A10" s="62" t="s">
        <v>235</v>
      </c>
      <c r="B10" s="62" t="s">
        <v>14</v>
      </c>
      <c r="C10" s="62" t="s">
        <v>231</v>
      </c>
      <c r="D10" s="62" t="s">
        <v>236</v>
      </c>
      <c r="E10" s="76">
        <v>42</v>
      </c>
      <c r="F10" s="76">
        <f>E10*VLOOKUP(B10,dagsoorttabel1,2,FALSE)</f>
        <v>4.2823529411764705</v>
      </c>
      <c r="G10" s="77">
        <f>catpn_1_BKHV_51</f>
        <v>0</v>
      </c>
      <c r="H10" s="62" t="s">
        <v>105</v>
      </c>
      <c r="I10" s="66">
        <f>cattf_1_BKHV_51</f>
        <v>0</v>
      </c>
      <c r="J10" s="76">
        <f>IF(OR(ISBLANK(G10),G10=0),0,F10/ROUND(G10,4))</f>
        <v>0</v>
      </c>
      <c r="K10" s="66">
        <f>ROUND(I10,2)*J10</f>
        <v>0</v>
      </c>
      <c r="L10" s="76">
        <f>J10*dagenperjaar1</f>
        <v>0</v>
      </c>
      <c r="M10" s="66">
        <f>L10*ROUND(I10,2)</f>
        <v>0</v>
      </c>
    </row>
    <row r="11" spans="1:13" x14ac:dyDescent="0.2">
      <c r="A11" s="62" t="s">
        <v>235</v>
      </c>
      <c r="B11" s="62" t="s">
        <v>12</v>
      </c>
      <c r="C11" s="62" t="s">
        <v>231</v>
      </c>
      <c r="D11" s="62" t="s">
        <v>236</v>
      </c>
      <c r="E11" s="76">
        <v>392.70000000000005</v>
      </c>
      <c r="F11" s="76">
        <f>E11*VLOOKUP(B11,dagsoorttabel1,2,FALSE)</f>
        <v>157.08000000000004</v>
      </c>
      <c r="G11" s="77">
        <f>IF(AND(catpn_1_BKHB_1&gt;0,catpn_1_BKHV_51&gt;0),(dagenperjaar1*VLOOKUP(B11,dagsoorttabel1,2,FALSE))/(((dagenperjaar1*VLOOKUP(B11,dagsoorttabel1,2,FALSE))-catfd_1_BKHV_51)/catpn_1_BKHB_1+catfd_1_BKHV_51/catpn_1_BKHV_51),0)</f>
        <v>0</v>
      </c>
      <c r="H11" s="62" t="s">
        <v>105</v>
      </c>
      <c r="I11" s="66">
        <f>IF(AND(catpn_1_BKHB_1&gt;0,catpn_1_BKHV_51&gt;0),(cattf_1_BKHB_1*((dagenperjaar1*VLOOKUP(B11,dagsoorttabel1,2,FALSE))-catfd_1_BKHV_51)/catpn_1_BKHB_1+cattf_1_BKHV_51*catfd_1_BKHV_51/catpn_1_BKHV_51)/(((dagenperjaar1*VLOOKUP(B11,dagsoorttabel1,2,FALSE))-catfd_1_BKHV_51)/catpn_1_BKHB_1+catfd_1_BKHV_51/catpn_1_BKHV_51),0)</f>
        <v>0</v>
      </c>
      <c r="J11" s="76">
        <f>IF(OR(ISBLANK(G11),G11=0),0,F11/ROUND(G11,4))</f>
        <v>0</v>
      </c>
      <c r="K11" s="66">
        <f>ROUND(I11,2)*J11</f>
        <v>0</v>
      </c>
      <c r="L11" s="76">
        <f>J11*dagenperjaar1</f>
        <v>0</v>
      </c>
      <c r="M11" s="66">
        <f>L11*ROUND(I11,2)</f>
        <v>0</v>
      </c>
    </row>
    <row r="12" spans="1:13" x14ac:dyDescent="0.2">
      <c r="A12" s="62" t="s">
        <v>235</v>
      </c>
      <c r="B12" s="62" t="s">
        <v>11</v>
      </c>
      <c r="C12" s="62" t="s">
        <v>231</v>
      </c>
      <c r="D12" s="62" t="s">
        <v>236</v>
      </c>
      <c r="E12" s="76">
        <v>534.51</v>
      </c>
      <c r="F12" s="76">
        <f>E12*VLOOKUP(B12,dagsoorttabel1,2,FALSE)</f>
        <v>320.70599999999996</v>
      </c>
      <c r="G12" s="77">
        <f>catpn_1_BKHV_51</f>
        <v>0</v>
      </c>
      <c r="H12" s="62" t="s">
        <v>105</v>
      </c>
      <c r="I12" s="66">
        <f>cattf_1_BKHV_51</f>
        <v>0</v>
      </c>
      <c r="J12" s="76">
        <f>IF(OR(ISBLANK(G12),G12=0),0,F12/ROUND(G12,4))</f>
        <v>0</v>
      </c>
      <c r="K12" s="66">
        <f>ROUND(I12,2)*J12</f>
        <v>0</v>
      </c>
      <c r="L12" s="76">
        <f>J12*dagenperjaar1</f>
        <v>0</v>
      </c>
      <c r="M12" s="66">
        <f>L12*ROUND(I12,2)</f>
        <v>0</v>
      </c>
    </row>
    <row r="13" spans="1:13" x14ac:dyDescent="0.2">
      <c r="A13" s="62" t="s">
        <v>235</v>
      </c>
      <c r="B13" s="62" t="s">
        <v>9</v>
      </c>
      <c r="C13" s="62" t="s">
        <v>231</v>
      </c>
      <c r="D13" s="62" t="s">
        <v>236</v>
      </c>
      <c r="E13" s="76">
        <v>337.73</v>
      </c>
      <c r="F13" s="76">
        <f>E13*VLOOKUP(B13,dagsoorttabel1,2,FALSE)</f>
        <v>337.73</v>
      </c>
      <c r="G13" s="77">
        <f>IF(AND(catpn_1_BKHB_1&gt;0,catpn_1_BKHV_51&gt;0),(dagenperjaar1*VLOOKUP(B13,dagsoorttabel1,2,FALSE))/(((dagenperjaar1*VLOOKUP(B13,dagsoorttabel1,2,FALSE))-catfd_1_BKHV_51)/catpn_1_BKHB_1+catfd_1_BKHV_51/catpn_1_BKHV_51),0)</f>
        <v>0</v>
      </c>
      <c r="H13" s="62" t="s">
        <v>105</v>
      </c>
      <c r="I13" s="66">
        <f>IF(AND(catpn_1_BKHB_1&gt;0,catpn_1_BKHV_51&gt;0),(cattf_1_BKHB_1*((dagenperjaar1*VLOOKUP(B13,dagsoorttabel1,2,FALSE))-catfd_1_BKHV_51)/catpn_1_BKHB_1+cattf_1_BKHV_51*catfd_1_BKHV_51/catpn_1_BKHV_51)/(((dagenperjaar1*VLOOKUP(B13,dagsoorttabel1,2,FALSE))-catfd_1_BKHV_51)/catpn_1_BKHB_1+catfd_1_BKHV_51/catpn_1_BKHV_51),0)</f>
        <v>0</v>
      </c>
      <c r="J13" s="76">
        <f>IF(OR(ISBLANK(G13),G13=0),0,F13/ROUND(G13,4))</f>
        <v>0</v>
      </c>
      <c r="K13" s="66">
        <f>ROUND(I13,2)*J13</f>
        <v>0</v>
      </c>
      <c r="L13" s="76">
        <f>J13*dagenperjaar1</f>
        <v>0</v>
      </c>
      <c r="M13" s="66">
        <f>L13*ROUND(I13,2)</f>
        <v>0</v>
      </c>
    </row>
    <row r="14" spans="1:13" x14ac:dyDescent="0.2">
      <c r="A14" s="62" t="s">
        <v>237</v>
      </c>
      <c r="B14" s="62" t="s">
        <v>13</v>
      </c>
      <c r="C14" s="62" t="s">
        <v>231</v>
      </c>
      <c r="D14" s="62" t="s">
        <v>238</v>
      </c>
      <c r="E14" s="76">
        <v>112.89999999999999</v>
      </c>
      <c r="F14" s="76">
        <f>E14*VLOOKUP(B14,dagsoorttabel1,2,FALSE)</f>
        <v>22.58</v>
      </c>
      <c r="G14" s="77">
        <f>IF(AND(catpn_1_BKZB_1&gt;0,catpn_1_BKZV_51&gt;0),(dagenperjaar1*VLOOKUP(B14,dagsoorttabel1,2,FALSE))/(((dagenperjaar1*VLOOKUP(B14,dagsoorttabel1,2,FALSE))-catfd_1_BKZV_51)/catpn_1_BKZB_1+catfd_1_BKZV_51/catpn_1_BKZV_51),0)</f>
        <v>0</v>
      </c>
      <c r="H14" s="62" t="s">
        <v>105</v>
      </c>
      <c r="I14" s="66">
        <f>IF(AND(catpn_1_BKZB_1&gt;0,catpn_1_BKZV_51&gt;0),(cattf_1_BKZB_1*((dagenperjaar1*VLOOKUP(B14,dagsoorttabel1,2,FALSE))-catfd_1_BKZV_51)/catpn_1_BKZB_1+cattf_1_BKZV_51*catfd_1_BKZV_51/catpn_1_BKZV_51)/(((dagenperjaar1*VLOOKUP(B14,dagsoorttabel1,2,FALSE))-catfd_1_BKZV_51)/catpn_1_BKZB_1+catfd_1_BKZV_51/catpn_1_BKZV_51),0)</f>
        <v>0</v>
      </c>
      <c r="J14" s="76">
        <f>IF(OR(ISBLANK(G14),G14=0),0,F14/ROUND(G14,4))</f>
        <v>0</v>
      </c>
      <c r="K14" s="66">
        <f>ROUND(I14,2)*J14</f>
        <v>0</v>
      </c>
      <c r="L14" s="76">
        <f>J14*dagenperjaar1</f>
        <v>0</v>
      </c>
      <c r="M14" s="66">
        <f>L14*ROUND(I14,2)</f>
        <v>0</v>
      </c>
    </row>
    <row r="15" spans="1:13" x14ac:dyDescent="0.2">
      <c r="A15" s="62" t="s">
        <v>237</v>
      </c>
      <c r="B15" s="62" t="s">
        <v>11</v>
      </c>
      <c r="C15" s="62" t="s">
        <v>231</v>
      </c>
      <c r="D15" s="62" t="s">
        <v>238</v>
      </c>
      <c r="E15" s="76">
        <v>199.1</v>
      </c>
      <c r="F15" s="76">
        <f>E15*VLOOKUP(B15,dagsoorttabel1,2,FALSE)</f>
        <v>119.46</v>
      </c>
      <c r="G15" s="77">
        <f>IF(AND(catpn_1_BKZB_1&gt;0,catpn_1_BKHV_51&gt;0),(dagenperjaar1*VLOOKUP(B15,dagsoorttabel1,2,FALSE))/(((dagenperjaar1*VLOOKUP(B15,dagsoorttabel1,2,FALSE))-catfd_1_BKHV_51)/catpn_1_BKZB_1+catfd_1_BKHV_51/catpn_1_BKHV_51),0)</f>
        <v>0</v>
      </c>
      <c r="H15" s="62" t="s">
        <v>105</v>
      </c>
      <c r="I15" s="66">
        <f>IF(AND(catpn_1_BKZB_1&gt;0,catpn_1_BKHV_51&gt;0),(cattf_1_BKZB_1*((dagenperjaar1*VLOOKUP(B15,dagsoorttabel1,2,FALSE))-catfd_1_BKHV_51)/catpn_1_BKZB_1+cattf_1_BKHV_51*catfd_1_BKHV_51/catpn_1_BKHV_51)/(((dagenperjaar1*VLOOKUP(B15,dagsoorttabel1,2,FALSE))-catfd_1_BKHV_51)/catpn_1_BKZB_1+catfd_1_BKHV_51/catpn_1_BKHV_51),0)</f>
        <v>0</v>
      </c>
      <c r="J15" s="76">
        <f>IF(OR(ISBLANK(G15),G15=0),0,F15/ROUND(G15,4))</f>
        <v>0</v>
      </c>
      <c r="K15" s="66">
        <f>ROUND(I15,2)*J15</f>
        <v>0</v>
      </c>
      <c r="L15" s="76">
        <f>J15*dagenperjaar1</f>
        <v>0</v>
      </c>
      <c r="M15" s="66">
        <f>L15*ROUND(I15,2)</f>
        <v>0</v>
      </c>
    </row>
    <row r="16" spans="1:13" x14ac:dyDescent="0.2">
      <c r="A16" s="62" t="s">
        <v>237</v>
      </c>
      <c r="B16" s="62" t="s">
        <v>10</v>
      </c>
      <c r="C16" s="62" t="s">
        <v>231</v>
      </c>
      <c r="D16" s="62" t="s">
        <v>238</v>
      </c>
      <c r="E16" s="76">
        <v>1320.69</v>
      </c>
      <c r="F16" s="76">
        <f>E16*VLOOKUP(B16,dagsoorttabel1,2,FALSE)</f>
        <v>1056.5520000000001</v>
      </c>
      <c r="G16" s="77">
        <f>IF(AND(catpn_1_BKZB_1&gt;0,catpn_1_BKZV_51&gt;0),(dagenperjaar1*VLOOKUP(B16,dagsoorttabel1,2,FALSE))/(((dagenperjaar1*VLOOKUP(B16,dagsoorttabel1,2,FALSE))-catfd_1_BKZV_51)/catpn_1_BKZB_1+catfd_1_BKZV_51/catpn_1_BKZV_51),0)</f>
        <v>0</v>
      </c>
      <c r="H16" s="62" t="s">
        <v>105</v>
      </c>
      <c r="I16" s="66">
        <f>IF(AND(catpn_1_BKZB_1&gt;0,catpn_1_BKZV_51&gt;0),(cattf_1_BKZB_1*((dagenperjaar1*VLOOKUP(B16,dagsoorttabel1,2,FALSE))-catfd_1_BKZV_51)/catpn_1_BKZB_1+cattf_1_BKZV_51*catfd_1_BKZV_51/catpn_1_BKZV_51)/(((dagenperjaar1*VLOOKUP(B16,dagsoorttabel1,2,FALSE))-catfd_1_BKZV_51)/catpn_1_BKZB_1+catfd_1_BKZV_51/catpn_1_BKZV_51),0)</f>
        <v>0</v>
      </c>
      <c r="J16" s="76">
        <f>IF(OR(ISBLANK(G16),G16=0),0,F16/ROUND(G16,4))</f>
        <v>0</v>
      </c>
      <c r="K16" s="66">
        <f>ROUND(I16,2)*J16</f>
        <v>0</v>
      </c>
      <c r="L16" s="76">
        <f>J16*dagenperjaar1</f>
        <v>0</v>
      </c>
      <c r="M16" s="66">
        <f>L16*ROUND(I16,2)</f>
        <v>0</v>
      </c>
    </row>
    <row r="17" spans="1:13" x14ac:dyDescent="0.2">
      <c r="A17" s="62" t="s">
        <v>237</v>
      </c>
      <c r="B17" s="62" t="s">
        <v>9</v>
      </c>
      <c r="C17" s="62" t="s">
        <v>231</v>
      </c>
      <c r="D17" s="62" t="s">
        <v>238</v>
      </c>
      <c r="E17" s="76">
        <v>2071</v>
      </c>
      <c r="F17" s="76">
        <f>E17*VLOOKUP(B17,dagsoorttabel1,2,FALSE)</f>
        <v>2071</v>
      </c>
      <c r="G17" s="77">
        <f>IF(AND(catpn_1_BKZB_1&gt;0,catpn_1_BKZV_51&gt;0),(dagenperjaar1*VLOOKUP(B17,dagsoorttabel1,2,FALSE))/(((dagenperjaar1*VLOOKUP(B17,dagsoorttabel1,2,FALSE))-catfd_1_BKZV_51)/catpn_1_BKZB_1+catfd_1_BKZV_51/catpn_1_BKZV_51),0)</f>
        <v>0</v>
      </c>
      <c r="H17" s="62" t="s">
        <v>105</v>
      </c>
      <c r="I17" s="66">
        <f>IF(AND(catpn_1_BKZB_1&gt;0,catpn_1_BKZV_51&gt;0),(cattf_1_BKZB_1*((dagenperjaar1*VLOOKUP(B17,dagsoorttabel1,2,FALSE))-catfd_1_BKZV_51)/catpn_1_BKZB_1+cattf_1_BKZV_51*catfd_1_BKZV_51/catpn_1_BKZV_51)/(((dagenperjaar1*VLOOKUP(B17,dagsoorttabel1,2,FALSE))-catfd_1_BKZV_51)/catpn_1_BKZB_1+catfd_1_BKZV_51/catpn_1_BKZV_51),0)</f>
        <v>0</v>
      </c>
      <c r="J17" s="76">
        <f>IF(OR(ISBLANK(G17),G17=0),0,F17/ROUND(G17,4))</f>
        <v>0</v>
      </c>
      <c r="K17" s="66">
        <f>ROUND(I17,2)*J17</f>
        <v>0</v>
      </c>
      <c r="L17" s="76">
        <f>J17*dagenperjaar1</f>
        <v>0</v>
      </c>
      <c r="M17" s="66">
        <f>L17*ROUND(I17,2)</f>
        <v>0</v>
      </c>
    </row>
    <row r="18" spans="1:13" x14ac:dyDescent="0.2">
      <c r="A18" s="62" t="s">
        <v>239</v>
      </c>
      <c r="B18" s="62" t="s">
        <v>9</v>
      </c>
      <c r="C18" s="62" t="s">
        <v>231</v>
      </c>
      <c r="D18" s="62" t="s">
        <v>240</v>
      </c>
      <c r="E18" s="76">
        <v>14.8</v>
      </c>
      <c r="F18" s="76">
        <f>E18*VLOOKUP(B18,dagsoorttabel1,2,FALSE)</f>
        <v>14.8</v>
      </c>
      <c r="G18" s="77">
        <f>IF(AND(catpn_1_BRHB_1&gt;0,catpn_1_BRHV_51&gt;0),(dagenperjaar1*VLOOKUP(B18,dagsoorttabel1,2,FALSE))/(((dagenperjaar1*VLOOKUP(B18,dagsoorttabel1,2,FALSE))-catfd_1_BRHV_51)/catpn_1_BRHB_1+catfd_1_BRHV_51/catpn_1_BRHV_51),0)</f>
        <v>0</v>
      </c>
      <c r="H18" s="62" t="s">
        <v>105</v>
      </c>
      <c r="I18" s="66">
        <f>IF(AND(catpn_1_BRHB_1&gt;0,catpn_1_BRHV_51&gt;0),(cattf_1_BRHB_1*((dagenperjaar1*VLOOKUP(B18,dagsoorttabel1,2,FALSE))-catfd_1_BRHV_51)/catpn_1_BRHB_1+cattf_1_BRHV_51*catfd_1_BRHV_51/catpn_1_BRHV_51)/(((dagenperjaar1*VLOOKUP(B18,dagsoorttabel1,2,FALSE))-catfd_1_BRHV_51)/catpn_1_BRHB_1+catfd_1_BRHV_51/catpn_1_BRHV_51),0)</f>
        <v>0</v>
      </c>
      <c r="J18" s="76">
        <f>IF(OR(ISBLANK(G18),G18=0),0,F18/ROUND(G18,4))</f>
        <v>0</v>
      </c>
      <c r="K18" s="66">
        <f>ROUND(I18,2)*J18</f>
        <v>0</v>
      </c>
      <c r="L18" s="76">
        <f>J18*dagenperjaar1</f>
        <v>0</v>
      </c>
      <c r="M18" s="66">
        <f>L18*ROUND(I18,2)</f>
        <v>0</v>
      </c>
    </row>
    <row r="19" spans="1:13" x14ac:dyDescent="0.2">
      <c r="A19" s="62" t="s">
        <v>241</v>
      </c>
      <c r="B19" s="62" t="s">
        <v>12</v>
      </c>
      <c r="C19" s="62" t="s">
        <v>231</v>
      </c>
      <c r="D19" s="62" t="s">
        <v>242</v>
      </c>
      <c r="E19" s="76">
        <v>232.7</v>
      </c>
      <c r="F19" s="76">
        <f>E19*VLOOKUP(B19,dagsoorttabel1,2,FALSE)</f>
        <v>93.08</v>
      </c>
      <c r="G19" s="77">
        <f>IF(AND(catpn_1_BVHB_1&gt;0,catpn_1_BVHV_51&gt;0),(dagenperjaar1*VLOOKUP(B19,dagsoorttabel1,2,FALSE))/(((dagenperjaar1*VLOOKUP(B19,dagsoorttabel1,2,FALSE))-catfd_1_BVHV_51)/catpn_1_BVHB_1+catfd_1_BVHV_51/catpn_1_BVHV_51),0)</f>
        <v>0</v>
      </c>
      <c r="H19" s="62" t="s">
        <v>105</v>
      </c>
      <c r="I19" s="66">
        <f>IF(AND(catpn_1_BVHB_1&gt;0,catpn_1_BVHV_51&gt;0),(cattf_1_BVHB_1*((dagenperjaar1*VLOOKUP(B19,dagsoorttabel1,2,FALSE))-catfd_1_BVHV_51)/catpn_1_BVHB_1+cattf_1_BVHV_51*catfd_1_BVHV_51/catpn_1_BVHV_51)/(((dagenperjaar1*VLOOKUP(B19,dagsoorttabel1,2,FALSE))-catfd_1_BVHV_51)/catpn_1_BVHB_1+catfd_1_BVHV_51/catpn_1_BVHV_51),0)</f>
        <v>0</v>
      </c>
      <c r="J19" s="76">
        <f>IF(OR(ISBLANK(G19),G19=0),0,F19/ROUND(G19,4))</f>
        <v>0</v>
      </c>
      <c r="K19" s="66">
        <f>ROUND(I19,2)*J19</f>
        <v>0</v>
      </c>
      <c r="L19" s="76">
        <f>J19*dagenperjaar1</f>
        <v>0</v>
      </c>
      <c r="M19" s="66">
        <f>L19*ROUND(I19,2)</f>
        <v>0</v>
      </c>
    </row>
    <row r="20" spans="1:13" x14ac:dyDescent="0.2">
      <c r="A20" s="62" t="s">
        <v>241</v>
      </c>
      <c r="B20" s="62" t="s">
        <v>11</v>
      </c>
      <c r="C20" s="62" t="s">
        <v>231</v>
      </c>
      <c r="D20" s="62" t="s">
        <v>242</v>
      </c>
      <c r="E20" s="76">
        <v>187.60000000000002</v>
      </c>
      <c r="F20" s="76">
        <f>E20*VLOOKUP(B20,dagsoorttabel1,2,FALSE)</f>
        <v>112.56000000000002</v>
      </c>
      <c r="G20" s="77">
        <f>IF(AND(catpn_1_BVHB_1&gt;0,catpn_1_BVHV_51&gt;0),(dagenperjaar1*VLOOKUP(B20,dagsoorttabel1,2,FALSE))/(((dagenperjaar1*VLOOKUP(B20,dagsoorttabel1,2,FALSE))-catfd_1_BVHV_51)/catpn_1_BVHB_1+catfd_1_BVHV_51/catpn_1_BVHV_51),0)</f>
        <v>0</v>
      </c>
      <c r="H20" s="62" t="s">
        <v>105</v>
      </c>
      <c r="I20" s="66">
        <f>IF(AND(catpn_1_BVHB_1&gt;0,catpn_1_BVHV_51&gt;0),(cattf_1_BVHB_1*((dagenperjaar1*VLOOKUP(B20,dagsoorttabel1,2,FALSE))-catfd_1_BVHV_51)/catpn_1_BVHB_1+cattf_1_BVHV_51*catfd_1_BVHV_51/catpn_1_BVHV_51)/(((dagenperjaar1*VLOOKUP(B20,dagsoorttabel1,2,FALSE))-catfd_1_BVHV_51)/catpn_1_BVHB_1+catfd_1_BVHV_51/catpn_1_BVHV_51),0)</f>
        <v>0</v>
      </c>
      <c r="J20" s="76">
        <f>IF(OR(ISBLANK(G20),G20=0),0,F20/ROUND(G20,4))</f>
        <v>0</v>
      </c>
      <c r="K20" s="66">
        <f>ROUND(I20,2)*J20</f>
        <v>0</v>
      </c>
      <c r="L20" s="76">
        <f>J20*dagenperjaar1</f>
        <v>0</v>
      </c>
      <c r="M20" s="66">
        <f>L20*ROUND(I20,2)</f>
        <v>0</v>
      </c>
    </row>
    <row r="21" spans="1:13" x14ac:dyDescent="0.2">
      <c r="A21" s="62" t="s">
        <v>241</v>
      </c>
      <c r="B21" s="62" t="s">
        <v>9</v>
      </c>
      <c r="C21" s="62" t="s">
        <v>231</v>
      </c>
      <c r="D21" s="62" t="s">
        <v>242</v>
      </c>
      <c r="E21" s="76">
        <v>105.8</v>
      </c>
      <c r="F21" s="76">
        <f>E21*VLOOKUP(B21,dagsoorttabel1,2,FALSE)</f>
        <v>105.8</v>
      </c>
      <c r="G21" s="77">
        <f>IF(AND(catpn_1_BVHB_1&gt;0,catpn_1_BVHV_51&gt;0),(dagenperjaar1*VLOOKUP(B21,dagsoorttabel1,2,FALSE))/(((dagenperjaar1*VLOOKUP(B21,dagsoorttabel1,2,FALSE))-catfd_1_BVHV_51)/catpn_1_BVHB_1+catfd_1_BVHV_51/catpn_1_BVHV_51),0)</f>
        <v>0</v>
      </c>
      <c r="H21" s="62" t="s">
        <v>105</v>
      </c>
      <c r="I21" s="66">
        <f>IF(AND(catpn_1_BVHB_1&gt;0,catpn_1_BVHV_51&gt;0),(cattf_1_BVHB_1*((dagenperjaar1*VLOOKUP(B21,dagsoorttabel1,2,FALSE))-catfd_1_BVHV_51)/catpn_1_BVHB_1+cattf_1_BVHV_51*catfd_1_BVHV_51/catpn_1_BVHV_51)/(((dagenperjaar1*VLOOKUP(B21,dagsoorttabel1,2,FALSE))-catfd_1_BVHV_51)/catpn_1_BVHB_1+catfd_1_BVHV_51/catpn_1_BVHV_51),0)</f>
        <v>0</v>
      </c>
      <c r="J21" s="76">
        <f>IF(OR(ISBLANK(G21),G21=0),0,F21/ROUND(G21,4))</f>
        <v>0</v>
      </c>
      <c r="K21" s="66">
        <f>ROUND(I21,2)*J21</f>
        <v>0</v>
      </c>
      <c r="L21" s="76">
        <f>J21*dagenperjaar1</f>
        <v>0</v>
      </c>
      <c r="M21" s="66">
        <f>L21*ROUND(I21,2)</f>
        <v>0</v>
      </c>
    </row>
    <row r="22" spans="1:13" x14ac:dyDescent="0.2">
      <c r="A22" s="62" t="s">
        <v>243</v>
      </c>
      <c r="B22" s="62" t="s">
        <v>13</v>
      </c>
      <c r="C22" s="62" t="s">
        <v>231</v>
      </c>
      <c r="D22" s="62" t="s">
        <v>244</v>
      </c>
      <c r="E22" s="76">
        <v>93.25</v>
      </c>
      <c r="F22" s="76">
        <f>E22*VLOOKUP(B22,dagsoorttabel1,2,FALSE)</f>
        <v>18.650000000000002</v>
      </c>
      <c r="G22" s="77">
        <f>IF(AND(catpn_1_BVZB_1&gt;0,catpn_1_BVZV_51&gt;0),(dagenperjaar1*VLOOKUP(B22,dagsoorttabel1,2,FALSE))/(((dagenperjaar1*VLOOKUP(B22,dagsoorttabel1,2,FALSE))-catfd_1_BVZV_51)/catpn_1_BVZB_1+catfd_1_BVZV_51/catpn_1_BVZV_51),0)</f>
        <v>0</v>
      </c>
      <c r="H22" s="62" t="s">
        <v>105</v>
      </c>
      <c r="I22" s="66">
        <f>IF(AND(catpn_1_BVZB_1&gt;0,catpn_1_BVZV_51&gt;0),(cattf_1_BVZB_1*((dagenperjaar1*VLOOKUP(B22,dagsoorttabel1,2,FALSE))-catfd_1_BVZV_51)/catpn_1_BVZB_1+cattf_1_BVZV_51*catfd_1_BVZV_51/catpn_1_BVZV_51)/(((dagenperjaar1*VLOOKUP(B22,dagsoorttabel1,2,FALSE))-catfd_1_BVZV_51)/catpn_1_BVZB_1+catfd_1_BVZV_51/catpn_1_BVZV_51),0)</f>
        <v>0</v>
      </c>
      <c r="J22" s="76">
        <f>IF(OR(ISBLANK(G22),G22=0),0,F22/ROUND(G22,4))</f>
        <v>0</v>
      </c>
      <c r="K22" s="66">
        <f>ROUND(I22,2)*J22</f>
        <v>0</v>
      </c>
      <c r="L22" s="76">
        <f>J22*dagenperjaar1</f>
        <v>0</v>
      </c>
      <c r="M22" s="66">
        <f>L22*ROUND(I22,2)</f>
        <v>0</v>
      </c>
    </row>
    <row r="23" spans="1:13" x14ac:dyDescent="0.2">
      <c r="A23" s="62" t="s">
        <v>243</v>
      </c>
      <c r="B23" s="62" t="s">
        <v>11</v>
      </c>
      <c r="C23" s="62" t="s">
        <v>231</v>
      </c>
      <c r="D23" s="62" t="s">
        <v>244</v>
      </c>
      <c r="E23" s="76">
        <v>63</v>
      </c>
      <c r="F23" s="76">
        <f>E23*VLOOKUP(B23,dagsoorttabel1,2,FALSE)</f>
        <v>37.799999999999997</v>
      </c>
      <c r="G23" s="77">
        <f>IF(AND(catpn_1_BVZB_1&gt;0,catpn_1_BVZV_51&gt;0),(dagenperjaar1*VLOOKUP(B23,dagsoorttabel1,2,FALSE))/(((dagenperjaar1*VLOOKUP(B23,dagsoorttabel1,2,FALSE))-catfd_1_BVZV_51)/catpn_1_BVZB_1+catfd_1_BVZV_51/catpn_1_BVZV_51),0)</f>
        <v>0</v>
      </c>
      <c r="H23" s="62" t="s">
        <v>105</v>
      </c>
      <c r="I23" s="66">
        <f>IF(AND(catpn_1_BVZB_1&gt;0,catpn_1_BVZV_51&gt;0),(cattf_1_BVZB_1*((dagenperjaar1*VLOOKUP(B23,dagsoorttabel1,2,FALSE))-catfd_1_BVZV_51)/catpn_1_BVZB_1+cattf_1_BVZV_51*catfd_1_BVZV_51/catpn_1_BVZV_51)/(((dagenperjaar1*VLOOKUP(B23,dagsoorttabel1,2,FALSE))-catfd_1_BVZV_51)/catpn_1_BVZB_1+catfd_1_BVZV_51/catpn_1_BVZV_51),0)</f>
        <v>0</v>
      </c>
      <c r="J23" s="76">
        <f>IF(OR(ISBLANK(G23),G23=0),0,F23/ROUND(G23,4))</f>
        <v>0</v>
      </c>
      <c r="K23" s="66">
        <f>ROUND(I23,2)*J23</f>
        <v>0</v>
      </c>
      <c r="L23" s="76">
        <f>J23*dagenperjaar1</f>
        <v>0</v>
      </c>
      <c r="M23" s="66">
        <f>L23*ROUND(I23,2)</f>
        <v>0</v>
      </c>
    </row>
    <row r="24" spans="1:13" x14ac:dyDescent="0.2">
      <c r="A24" s="62" t="s">
        <v>243</v>
      </c>
      <c r="B24" s="62" t="s">
        <v>10</v>
      </c>
      <c r="C24" s="62" t="s">
        <v>231</v>
      </c>
      <c r="D24" s="62" t="s">
        <v>244</v>
      </c>
      <c r="E24" s="76">
        <v>27.7</v>
      </c>
      <c r="F24" s="76">
        <f>E24*VLOOKUP(B24,dagsoorttabel1,2,FALSE)</f>
        <v>22.16</v>
      </c>
      <c r="G24" s="77">
        <f>IF(AND(catpn_1_BVZB_1&gt;0,catpn_1_BVZV_51&gt;0),(dagenperjaar1*VLOOKUP(B24,dagsoorttabel1,2,FALSE))/(((dagenperjaar1*VLOOKUP(B24,dagsoorttabel1,2,FALSE))-catfd_1_BVZV_51)/catpn_1_BVZB_1+catfd_1_BVZV_51/catpn_1_BVZV_51),0)</f>
        <v>0</v>
      </c>
      <c r="H24" s="62" t="s">
        <v>105</v>
      </c>
      <c r="I24" s="66">
        <f>IF(AND(catpn_1_BVZB_1&gt;0,catpn_1_BVZV_51&gt;0),(cattf_1_BVZB_1*((dagenperjaar1*VLOOKUP(B24,dagsoorttabel1,2,FALSE))-catfd_1_BVZV_51)/catpn_1_BVZB_1+cattf_1_BVZV_51*catfd_1_BVZV_51/catpn_1_BVZV_51)/(((dagenperjaar1*VLOOKUP(B24,dagsoorttabel1,2,FALSE))-catfd_1_BVZV_51)/catpn_1_BVZB_1+catfd_1_BVZV_51/catpn_1_BVZV_51),0)</f>
        <v>0</v>
      </c>
      <c r="J24" s="76">
        <f>IF(OR(ISBLANK(G24),G24=0),0,F24/ROUND(G24,4))</f>
        <v>0</v>
      </c>
      <c r="K24" s="66">
        <f>ROUND(I24,2)*J24</f>
        <v>0</v>
      </c>
      <c r="L24" s="76">
        <f>J24*dagenperjaar1</f>
        <v>0</v>
      </c>
      <c r="M24" s="66">
        <f>L24*ROUND(I24,2)</f>
        <v>0</v>
      </c>
    </row>
    <row r="25" spans="1:13" x14ac:dyDescent="0.2">
      <c r="A25" s="62" t="s">
        <v>243</v>
      </c>
      <c r="B25" s="62" t="s">
        <v>9</v>
      </c>
      <c r="C25" s="62" t="s">
        <v>231</v>
      </c>
      <c r="D25" s="62" t="s">
        <v>244</v>
      </c>
      <c r="E25" s="76">
        <v>511.79999999999995</v>
      </c>
      <c r="F25" s="76">
        <f>E25*VLOOKUP(B25,dagsoorttabel1,2,FALSE)</f>
        <v>511.79999999999995</v>
      </c>
      <c r="G25" s="77">
        <f>IF(AND(catpn_1_BVZB_1&gt;0,catpn_1_BVZV_51&gt;0),(dagenperjaar1*VLOOKUP(B25,dagsoorttabel1,2,FALSE))/(((dagenperjaar1*VLOOKUP(B25,dagsoorttabel1,2,FALSE))-catfd_1_BVZV_51)/catpn_1_BVZB_1+catfd_1_BVZV_51/catpn_1_BVZV_51),0)</f>
        <v>0</v>
      </c>
      <c r="H25" s="62" t="s">
        <v>105</v>
      </c>
      <c r="I25" s="66">
        <f>IF(AND(catpn_1_BVZB_1&gt;0,catpn_1_BVZV_51&gt;0),(cattf_1_BVZB_1*((dagenperjaar1*VLOOKUP(B25,dagsoorttabel1,2,FALSE))-catfd_1_BVZV_51)/catpn_1_BVZB_1+cattf_1_BVZV_51*catfd_1_BVZV_51/catpn_1_BVZV_51)/(((dagenperjaar1*VLOOKUP(B25,dagsoorttabel1,2,FALSE))-catfd_1_BVZV_51)/catpn_1_BVZB_1+catfd_1_BVZV_51/catpn_1_BVZV_51),0)</f>
        <v>0</v>
      </c>
      <c r="J25" s="76">
        <f>IF(OR(ISBLANK(G25),G25=0),0,F25/ROUND(G25,4))</f>
        <v>0</v>
      </c>
      <c r="K25" s="66">
        <f>ROUND(I25,2)*J25</f>
        <v>0</v>
      </c>
      <c r="L25" s="76">
        <f>J25*dagenperjaar1</f>
        <v>0</v>
      </c>
      <c r="M25" s="66">
        <f>L25*ROUND(I25,2)</f>
        <v>0</v>
      </c>
    </row>
    <row r="26" spans="1:13" x14ac:dyDescent="0.2">
      <c r="A26" s="62" t="s">
        <v>245</v>
      </c>
      <c r="B26" s="62" t="s">
        <v>11</v>
      </c>
      <c r="C26" s="62" t="s">
        <v>231</v>
      </c>
      <c r="D26" s="62" t="s">
        <v>246</v>
      </c>
      <c r="E26" s="76">
        <v>1.6</v>
      </c>
      <c r="F26" s="76">
        <f>E26*VLOOKUP(B26,dagsoorttabel1,2,FALSE)</f>
        <v>0.96</v>
      </c>
      <c r="G26" s="77">
        <f>IF(AND(catpn_1_EAHB_1&gt;0,catpn_1_EAHV_51&gt;0),(dagenperjaar1*VLOOKUP(B26,dagsoorttabel1,2,FALSE))/(((dagenperjaar1*VLOOKUP(B26,dagsoorttabel1,2,FALSE))-catfd_1_EAHV_51)/catpn_1_EAHB_1+catfd_1_EAHV_51/catpn_1_EAHV_51),0)</f>
        <v>0</v>
      </c>
      <c r="H26" s="62" t="s">
        <v>105</v>
      </c>
      <c r="I26" s="66">
        <f>IF(AND(catpn_1_EAHB_1&gt;0,catpn_1_EAHV_51&gt;0),(cattf_1_EAHB_1*((dagenperjaar1*VLOOKUP(B26,dagsoorttabel1,2,FALSE))-catfd_1_EAHV_51)/catpn_1_EAHB_1+cattf_1_EAHV_51*catfd_1_EAHV_51/catpn_1_EAHV_51)/(((dagenperjaar1*VLOOKUP(B26,dagsoorttabel1,2,FALSE))-catfd_1_EAHV_51)/catpn_1_EAHB_1+catfd_1_EAHV_51/catpn_1_EAHV_51),0)</f>
        <v>0</v>
      </c>
      <c r="J26" s="76">
        <f>IF(OR(ISBLANK(G26),G26=0),0,F26/ROUND(G26,4))</f>
        <v>0</v>
      </c>
      <c r="K26" s="66">
        <f>ROUND(I26,2)*J26</f>
        <v>0</v>
      </c>
      <c r="L26" s="76">
        <f>J26*dagenperjaar1</f>
        <v>0</v>
      </c>
      <c r="M26" s="66">
        <f>L26*ROUND(I26,2)</f>
        <v>0</v>
      </c>
    </row>
    <row r="27" spans="1:13" x14ac:dyDescent="0.2">
      <c r="A27" s="62" t="s">
        <v>245</v>
      </c>
      <c r="B27" s="62" t="s">
        <v>9</v>
      </c>
      <c r="C27" s="62" t="s">
        <v>231</v>
      </c>
      <c r="D27" s="62" t="s">
        <v>246</v>
      </c>
      <c r="E27" s="76">
        <v>72.8</v>
      </c>
      <c r="F27" s="76">
        <f>E27*VLOOKUP(B27,dagsoorttabel1,2,FALSE)</f>
        <v>72.8</v>
      </c>
      <c r="G27" s="77">
        <f>IF(AND(catpn_1_EAHB_1&gt;0,catpn_1_EAHV_51&gt;0),(dagenperjaar1*VLOOKUP(B27,dagsoorttabel1,2,FALSE))/(((dagenperjaar1*VLOOKUP(B27,dagsoorttabel1,2,FALSE))-catfd_1_EAHV_51)/catpn_1_EAHB_1+catfd_1_EAHV_51/catpn_1_EAHV_51),0)</f>
        <v>0</v>
      </c>
      <c r="H27" s="62" t="s">
        <v>105</v>
      </c>
      <c r="I27" s="66">
        <f>IF(AND(catpn_1_EAHB_1&gt;0,catpn_1_EAHV_51&gt;0),(cattf_1_EAHB_1*((dagenperjaar1*VLOOKUP(B27,dagsoorttabel1,2,FALSE))-catfd_1_EAHV_51)/catpn_1_EAHB_1+cattf_1_EAHV_51*catfd_1_EAHV_51/catpn_1_EAHV_51)/(((dagenperjaar1*VLOOKUP(B27,dagsoorttabel1,2,FALSE))-catfd_1_EAHV_51)/catpn_1_EAHB_1+catfd_1_EAHV_51/catpn_1_EAHV_51),0)</f>
        <v>0</v>
      </c>
      <c r="J27" s="76">
        <f>IF(OR(ISBLANK(G27),G27=0),0,F27/ROUND(G27,4))</f>
        <v>0</v>
      </c>
      <c r="K27" s="66">
        <f>ROUND(I27,2)*J27</f>
        <v>0</v>
      </c>
      <c r="L27" s="76">
        <f>J27*dagenperjaar1</f>
        <v>0</v>
      </c>
      <c r="M27" s="66">
        <f>L27*ROUND(I27,2)</f>
        <v>0</v>
      </c>
    </row>
    <row r="28" spans="1:13" x14ac:dyDescent="0.2">
      <c r="A28" s="62" t="s">
        <v>247</v>
      </c>
      <c r="B28" s="62" t="s">
        <v>20</v>
      </c>
      <c r="C28" s="62" t="s">
        <v>231</v>
      </c>
      <c r="D28" s="62" t="s">
        <v>248</v>
      </c>
      <c r="E28" s="76">
        <v>123.1</v>
      </c>
      <c r="F28" s="76">
        <f>E28*VLOOKUP(B28,dagsoorttabel1,2,FALSE)</f>
        <v>1.9309803921568627</v>
      </c>
      <c r="G28" s="77">
        <f>catpn_1_ERHV_1</f>
        <v>0</v>
      </c>
      <c r="H28" s="62" t="s">
        <v>105</v>
      </c>
      <c r="I28" s="66">
        <f>cattf_1_ERHV_1</f>
        <v>0</v>
      </c>
      <c r="J28" s="76">
        <f>IF(OR(ISBLANK(G28),G28=0),0,F28/ROUND(G28,4))</f>
        <v>0</v>
      </c>
      <c r="K28" s="66">
        <f>ROUND(I28,2)*J28</f>
        <v>0</v>
      </c>
      <c r="L28" s="76">
        <f>J28*dagenperjaar1</f>
        <v>0</v>
      </c>
      <c r="M28" s="66">
        <f>L28*ROUND(I28,2)</f>
        <v>0</v>
      </c>
    </row>
    <row r="29" spans="1:13" x14ac:dyDescent="0.2">
      <c r="A29" s="62" t="s">
        <v>249</v>
      </c>
      <c r="B29" s="62" t="s">
        <v>13</v>
      </c>
      <c r="C29" s="62" t="s">
        <v>231</v>
      </c>
      <c r="D29" s="62" t="s">
        <v>250</v>
      </c>
      <c r="E29" s="76">
        <v>64</v>
      </c>
      <c r="F29" s="76">
        <f>E29*VLOOKUP(B29,dagsoorttabel1,2,FALSE)</f>
        <v>12.8</v>
      </c>
      <c r="G29" s="77">
        <f>IF(AND(catpn_1_LAHB_1&gt;0,catpn_1_LAHV_51&gt;0),(dagenperjaar1*VLOOKUP(B29,dagsoorttabel1,2,FALSE))/(((dagenperjaar1*VLOOKUP(B29,dagsoorttabel1,2,FALSE))-catfd_1_LAHV_51)/catpn_1_LAHB_1+catfd_1_LAHV_51/catpn_1_LAHV_51),0)</f>
        <v>0</v>
      </c>
      <c r="H29" s="62" t="s">
        <v>105</v>
      </c>
      <c r="I29" s="66">
        <f>IF(AND(catpn_1_LAHB_1&gt;0,catpn_1_LAHV_51&gt;0),(cattf_1_LAHB_1*((dagenperjaar1*VLOOKUP(B29,dagsoorttabel1,2,FALSE))-catfd_1_LAHV_51)/catpn_1_LAHB_1+cattf_1_LAHV_51*catfd_1_LAHV_51/catpn_1_LAHV_51)/(((dagenperjaar1*VLOOKUP(B29,dagsoorttabel1,2,FALSE))-catfd_1_LAHV_51)/catpn_1_LAHB_1+catfd_1_LAHV_51/catpn_1_LAHV_51),0)</f>
        <v>0</v>
      </c>
      <c r="J29" s="76">
        <f>IF(OR(ISBLANK(G29),G29=0),0,F29/ROUND(G29,4))</f>
        <v>0</v>
      </c>
      <c r="K29" s="66">
        <f>ROUND(I29,2)*J29</f>
        <v>0</v>
      </c>
      <c r="L29" s="76">
        <f>J29*dagenperjaar1</f>
        <v>0</v>
      </c>
      <c r="M29" s="66">
        <f>L29*ROUND(I29,2)</f>
        <v>0</v>
      </c>
    </row>
    <row r="30" spans="1:13" x14ac:dyDescent="0.2">
      <c r="A30" s="62" t="s">
        <v>249</v>
      </c>
      <c r="B30" s="62" t="s">
        <v>12</v>
      </c>
      <c r="C30" s="62" t="s">
        <v>231</v>
      </c>
      <c r="D30" s="62" t="s">
        <v>250</v>
      </c>
      <c r="E30" s="76">
        <v>14</v>
      </c>
      <c r="F30" s="76">
        <f>E30*VLOOKUP(B30,dagsoorttabel1,2,FALSE)</f>
        <v>5.6000000000000005</v>
      </c>
      <c r="G30" s="77">
        <f>IF(AND(catpn_1_LAHB_1&gt;0,catpn_1_LAHV_51&gt;0),(dagenperjaar1*VLOOKUP(B30,dagsoorttabel1,2,FALSE))/(((dagenperjaar1*VLOOKUP(B30,dagsoorttabel1,2,FALSE))-catfd_1_LAHV_51)/catpn_1_LAHB_1+catfd_1_LAHV_51/catpn_1_LAHV_51),0)</f>
        <v>0</v>
      </c>
      <c r="H30" s="62" t="s">
        <v>105</v>
      </c>
      <c r="I30" s="66">
        <f>IF(AND(catpn_1_LAHB_1&gt;0,catpn_1_LAHV_51&gt;0),(cattf_1_LAHB_1*((dagenperjaar1*VLOOKUP(B30,dagsoorttabel1,2,FALSE))-catfd_1_LAHV_51)/catpn_1_LAHB_1+cattf_1_LAHV_51*catfd_1_LAHV_51/catpn_1_LAHV_51)/(((dagenperjaar1*VLOOKUP(B30,dagsoorttabel1,2,FALSE))-catfd_1_LAHV_51)/catpn_1_LAHB_1+catfd_1_LAHV_51/catpn_1_LAHV_51),0)</f>
        <v>0</v>
      </c>
      <c r="J30" s="76">
        <f>IF(OR(ISBLANK(G30),G30=0),0,F30/ROUND(G30,4))</f>
        <v>0</v>
      </c>
      <c r="K30" s="66">
        <f>ROUND(I30,2)*J30</f>
        <v>0</v>
      </c>
      <c r="L30" s="76">
        <f>J30*dagenperjaar1</f>
        <v>0</v>
      </c>
      <c r="M30" s="66">
        <f>L30*ROUND(I30,2)</f>
        <v>0</v>
      </c>
    </row>
    <row r="31" spans="1:13" x14ac:dyDescent="0.2">
      <c r="A31" s="62" t="s">
        <v>249</v>
      </c>
      <c r="B31" s="62" t="s">
        <v>11</v>
      </c>
      <c r="C31" s="62" t="s">
        <v>231</v>
      </c>
      <c r="D31" s="62" t="s">
        <v>250</v>
      </c>
      <c r="E31" s="76">
        <v>85.56</v>
      </c>
      <c r="F31" s="76">
        <f>E31*VLOOKUP(B31,dagsoorttabel1,2,FALSE)</f>
        <v>51.335999999999999</v>
      </c>
      <c r="G31" s="77">
        <f>IF(AND(catpn_1_LAHB_1&gt;0,catpn_1_LAHV_51&gt;0),(dagenperjaar1*VLOOKUP(B31,dagsoorttabel1,2,FALSE))/(((dagenperjaar1*VLOOKUP(B31,dagsoorttabel1,2,FALSE))-catfd_1_LAHV_51)/catpn_1_LAHB_1+catfd_1_LAHV_51/catpn_1_LAHV_51),0)</f>
        <v>0</v>
      </c>
      <c r="H31" s="62" t="s">
        <v>105</v>
      </c>
      <c r="I31" s="66">
        <f>IF(AND(catpn_1_LAHB_1&gt;0,catpn_1_LAHV_51&gt;0),(cattf_1_LAHB_1*((dagenperjaar1*VLOOKUP(B31,dagsoorttabel1,2,FALSE))-catfd_1_LAHV_51)/catpn_1_LAHB_1+cattf_1_LAHV_51*catfd_1_LAHV_51/catpn_1_LAHV_51)/(((dagenperjaar1*VLOOKUP(B31,dagsoorttabel1,2,FALSE))-catfd_1_LAHV_51)/catpn_1_LAHB_1+catfd_1_LAHV_51/catpn_1_LAHV_51),0)</f>
        <v>0</v>
      </c>
      <c r="J31" s="76">
        <f>IF(OR(ISBLANK(G31),G31=0),0,F31/ROUND(G31,4))</f>
        <v>0</v>
      </c>
      <c r="K31" s="66">
        <f>ROUND(I31,2)*J31</f>
        <v>0</v>
      </c>
      <c r="L31" s="76">
        <f>J31*dagenperjaar1</f>
        <v>0</v>
      </c>
      <c r="M31" s="66">
        <f>L31*ROUND(I31,2)</f>
        <v>0</v>
      </c>
    </row>
    <row r="32" spans="1:13" x14ac:dyDescent="0.2">
      <c r="A32" s="62" t="s">
        <v>249</v>
      </c>
      <c r="B32" s="62" t="s">
        <v>9</v>
      </c>
      <c r="C32" s="62" t="s">
        <v>231</v>
      </c>
      <c r="D32" s="62" t="s">
        <v>250</v>
      </c>
      <c r="E32" s="76">
        <v>43.9</v>
      </c>
      <c r="F32" s="76">
        <f>E32*VLOOKUP(B32,dagsoorttabel1,2,FALSE)</f>
        <v>43.9</v>
      </c>
      <c r="G32" s="77">
        <f>IF(AND(catpn_1_LAHB_1&gt;0,catpn_1_LAHV_51&gt;0),(dagenperjaar1*VLOOKUP(B32,dagsoorttabel1,2,FALSE))/(((dagenperjaar1*VLOOKUP(B32,dagsoorttabel1,2,FALSE))-catfd_1_LAHV_51)/catpn_1_LAHB_1+catfd_1_LAHV_51/catpn_1_LAHV_51),0)</f>
        <v>0</v>
      </c>
      <c r="H32" s="62" t="s">
        <v>105</v>
      </c>
      <c r="I32" s="66">
        <f>IF(AND(catpn_1_LAHB_1&gt;0,catpn_1_LAHV_51&gt;0),(cattf_1_LAHB_1*((dagenperjaar1*VLOOKUP(B32,dagsoorttabel1,2,FALSE))-catfd_1_LAHV_51)/catpn_1_LAHB_1+cattf_1_LAHV_51*catfd_1_LAHV_51/catpn_1_LAHV_51)/(((dagenperjaar1*VLOOKUP(B32,dagsoorttabel1,2,FALSE))-catfd_1_LAHV_51)/catpn_1_LAHB_1+catfd_1_LAHV_51/catpn_1_LAHV_51),0)</f>
        <v>0</v>
      </c>
      <c r="J32" s="76">
        <f>IF(OR(ISBLANK(G32),G32=0),0,F32/ROUND(G32,4))</f>
        <v>0</v>
      </c>
      <c r="K32" s="66">
        <f>ROUND(I32,2)*J32</f>
        <v>0</v>
      </c>
      <c r="L32" s="76">
        <f>J32*dagenperjaar1</f>
        <v>0</v>
      </c>
      <c r="M32" s="66">
        <f>L32*ROUND(I32,2)</f>
        <v>0</v>
      </c>
    </row>
    <row r="33" spans="1:13" x14ac:dyDescent="0.2">
      <c r="A33" s="62" t="s">
        <v>251</v>
      </c>
      <c r="B33" s="62" t="s">
        <v>15</v>
      </c>
      <c r="C33" s="62" t="s">
        <v>231</v>
      </c>
      <c r="D33" s="62" t="s">
        <v>252</v>
      </c>
      <c r="E33" s="76">
        <v>33.299999999999997</v>
      </c>
      <c r="F33" s="76">
        <f>E33*VLOOKUP(B33,dagsoorttabel1,2,FALSE)</f>
        <v>1.5670588235294116</v>
      </c>
      <c r="G33" s="77">
        <f>catpn_1_MAZV_12</f>
        <v>0</v>
      </c>
      <c r="H33" s="62" t="s">
        <v>105</v>
      </c>
      <c r="I33" s="66">
        <f>cattf_1_MAZV_12</f>
        <v>0</v>
      </c>
      <c r="J33" s="76">
        <f>IF(OR(ISBLANK(G33),G33=0),0,F33/ROUND(G33,4))</f>
        <v>0</v>
      </c>
      <c r="K33" s="66">
        <f>ROUND(I33,2)*J33</f>
        <v>0</v>
      </c>
      <c r="L33" s="76">
        <f>J33*dagenperjaar1</f>
        <v>0</v>
      </c>
      <c r="M33" s="66">
        <f>L33*ROUND(I33,2)</f>
        <v>0</v>
      </c>
    </row>
    <row r="34" spans="1:13" x14ac:dyDescent="0.2">
      <c r="A34" s="62" t="s">
        <v>251</v>
      </c>
      <c r="B34" s="62" t="s">
        <v>14</v>
      </c>
      <c r="C34" s="62" t="s">
        <v>231</v>
      </c>
      <c r="D34" s="62" t="s">
        <v>252</v>
      </c>
      <c r="E34" s="76">
        <v>20</v>
      </c>
      <c r="F34" s="76">
        <f>E34*VLOOKUP(B34,dagsoorttabel1,2,FALSE)</f>
        <v>2.0392156862745097</v>
      </c>
      <c r="G34" s="77">
        <f>IF(AND(catpn_1_MAHB_1&gt;0,catpn_1_MAZV_51&gt;0),(dagenperjaar1*VLOOKUP(B34,dagsoorttabel1,2,FALSE))/(((dagenperjaar1*VLOOKUP(B34,dagsoorttabel1,2,FALSE))-catfd_1_MAZV_51)/catpn_1_MAHB_1+catfd_1_MAZV_51/catpn_1_MAZV_51),0)</f>
        <v>0</v>
      </c>
      <c r="H34" s="62" t="s">
        <v>105</v>
      </c>
      <c r="I34" s="66">
        <f>IF(AND(catpn_1_MAHB_1&gt;0,catpn_1_MAZV_51&gt;0),(cattf_1_MAHB_1*((dagenperjaar1*VLOOKUP(B34,dagsoorttabel1,2,FALSE))-catfd_1_MAZV_51)/catpn_1_MAHB_1+cattf_1_MAZV_51*catfd_1_MAZV_51/catpn_1_MAZV_51)/(((dagenperjaar1*VLOOKUP(B34,dagsoorttabel1,2,FALSE))-catfd_1_MAZV_51)/catpn_1_MAHB_1+catfd_1_MAZV_51/catpn_1_MAZV_51),0)</f>
        <v>0</v>
      </c>
      <c r="J34" s="76">
        <f>IF(OR(ISBLANK(G34),G34=0),0,F34/ROUND(G34,4))</f>
        <v>0</v>
      </c>
      <c r="K34" s="66">
        <f>ROUND(I34,2)*J34</f>
        <v>0</v>
      </c>
      <c r="L34" s="76">
        <f>J34*dagenperjaar1</f>
        <v>0</v>
      </c>
      <c r="M34" s="66">
        <f>L34*ROUND(I34,2)</f>
        <v>0</v>
      </c>
    </row>
    <row r="35" spans="1:13" x14ac:dyDescent="0.2">
      <c r="A35" s="62" t="s">
        <v>251</v>
      </c>
      <c r="B35" s="62" t="s">
        <v>22</v>
      </c>
      <c r="C35" s="62" t="s">
        <v>231</v>
      </c>
      <c r="D35" s="62" t="s">
        <v>252</v>
      </c>
      <c r="E35" s="76">
        <v>3.7</v>
      </c>
      <c r="F35" s="76">
        <f>E35*VLOOKUP(B35,dagsoorttabel1,2,FALSE)</f>
        <v>2.9019607843137257E-2</v>
      </c>
      <c r="G35" s="77">
        <f>catpn_1_MAZV_1</f>
        <v>0</v>
      </c>
      <c r="H35" s="62" t="s">
        <v>105</v>
      </c>
      <c r="I35" s="66">
        <f>cattf_1_MAZV_1</f>
        <v>0</v>
      </c>
      <c r="J35" s="76">
        <f>IF(OR(ISBLANK(G35),G35=0),0,F35/ROUND(G35,4))</f>
        <v>0</v>
      </c>
      <c r="K35" s="66">
        <f>ROUND(I35,2)*J35</f>
        <v>0</v>
      </c>
      <c r="L35" s="76">
        <f>J35*dagenperjaar1</f>
        <v>0</v>
      </c>
      <c r="M35" s="66">
        <f>L35*ROUND(I35,2)</f>
        <v>0</v>
      </c>
    </row>
    <row r="36" spans="1:13" x14ac:dyDescent="0.2">
      <c r="A36" s="62" t="s">
        <v>251</v>
      </c>
      <c r="B36" s="62" t="s">
        <v>12</v>
      </c>
      <c r="C36" s="62" t="s">
        <v>231</v>
      </c>
      <c r="D36" s="62" t="s">
        <v>252</v>
      </c>
      <c r="E36" s="76">
        <v>12.55</v>
      </c>
      <c r="F36" s="76">
        <f>E36*VLOOKUP(B36,dagsoorttabel1,2,FALSE)</f>
        <v>5.0200000000000005</v>
      </c>
      <c r="G36" s="77">
        <f>IF(AND(catpn_1_MAHB_1&gt;0,catpn_1_MAHV_51&gt;0),(dagenperjaar1*VLOOKUP(B36,dagsoorttabel1,2,FALSE))/(((dagenperjaar1*VLOOKUP(B36,dagsoorttabel1,2,FALSE))-catfd_1_MAHV_51)/catpn_1_MAHB_1+catfd_1_MAHV_51/catpn_1_MAHV_51),0)</f>
        <v>0</v>
      </c>
      <c r="H36" s="62" t="s">
        <v>105</v>
      </c>
      <c r="I36" s="66">
        <f>IF(AND(catpn_1_MAHB_1&gt;0,catpn_1_MAHV_51&gt;0),(cattf_1_MAHB_1*((dagenperjaar1*VLOOKUP(B36,dagsoorttabel1,2,FALSE))-catfd_1_MAHV_51)/catpn_1_MAHB_1+cattf_1_MAHV_51*catfd_1_MAHV_51/catpn_1_MAHV_51)/(((dagenperjaar1*VLOOKUP(B36,dagsoorttabel1,2,FALSE))-catfd_1_MAHV_51)/catpn_1_MAHB_1+catfd_1_MAHV_51/catpn_1_MAHV_51),0)</f>
        <v>0</v>
      </c>
      <c r="J36" s="76">
        <f>IF(OR(ISBLANK(G36),G36=0),0,F36/ROUND(G36,4))</f>
        <v>0</v>
      </c>
      <c r="K36" s="66">
        <f>ROUND(I36,2)*J36</f>
        <v>0</v>
      </c>
      <c r="L36" s="76">
        <f>J36*dagenperjaar1</f>
        <v>0</v>
      </c>
      <c r="M36" s="66">
        <f>L36*ROUND(I36,2)</f>
        <v>0</v>
      </c>
    </row>
    <row r="37" spans="1:13" x14ac:dyDescent="0.2">
      <c r="A37" s="62" t="s">
        <v>251</v>
      </c>
      <c r="B37" s="62" t="s">
        <v>20</v>
      </c>
      <c r="C37" s="62" t="s">
        <v>231</v>
      </c>
      <c r="D37" s="62" t="s">
        <v>252</v>
      </c>
      <c r="E37" s="76">
        <v>42.800000000000004</v>
      </c>
      <c r="F37" s="76">
        <f>E37*VLOOKUP(B37,dagsoorttabel1,2,FALSE)</f>
        <v>0.67137254901960786</v>
      </c>
      <c r="G37" s="77">
        <f>catpn_1_MAZV_1</f>
        <v>0</v>
      </c>
      <c r="H37" s="62" t="s">
        <v>105</v>
      </c>
      <c r="I37" s="66">
        <f>cattf_1_MAZV_1</f>
        <v>0</v>
      </c>
      <c r="J37" s="76">
        <f>IF(OR(ISBLANK(G37),G37=0),0,F37/ROUND(G37,4))</f>
        <v>0</v>
      </c>
      <c r="K37" s="66">
        <f>ROUND(I37,2)*J37</f>
        <v>0</v>
      </c>
      <c r="L37" s="76">
        <f>J37*dagenperjaar1</f>
        <v>0</v>
      </c>
      <c r="M37" s="66">
        <f>L37*ROUND(I37,2)</f>
        <v>0</v>
      </c>
    </row>
    <row r="38" spans="1:13" x14ac:dyDescent="0.2">
      <c r="A38" s="62" t="s">
        <v>253</v>
      </c>
      <c r="B38" s="62" t="s">
        <v>13</v>
      </c>
      <c r="C38" s="62" t="s">
        <v>231</v>
      </c>
      <c r="D38" s="62" t="s">
        <v>254</v>
      </c>
      <c r="E38" s="76">
        <v>25.2</v>
      </c>
      <c r="F38" s="76">
        <f>E38*VLOOKUP(B38,dagsoorttabel1,2,FALSE)</f>
        <v>5.04</v>
      </c>
      <c r="G38" s="77">
        <f>IF(AND(catpn_1_RKHB_1&gt;0,catpn_1_RKHV_51&gt;0),(dagenperjaar1*VLOOKUP(B38,dagsoorttabel1,2,FALSE))/(((dagenperjaar1*VLOOKUP(B38,dagsoorttabel1,2,FALSE))-catfd_1_RKHV_51)/catpn_1_RKHB_1+catfd_1_RKHV_51/catpn_1_RKHV_51),0)</f>
        <v>0</v>
      </c>
      <c r="H38" s="62" t="s">
        <v>105</v>
      </c>
      <c r="I38" s="66">
        <f>IF(AND(catpn_1_RKHB_1&gt;0,catpn_1_RKHV_51&gt;0),(cattf_1_RKHB_1*((dagenperjaar1*VLOOKUP(B38,dagsoorttabel1,2,FALSE))-catfd_1_RKHV_51)/catpn_1_RKHB_1+cattf_1_RKHV_51*catfd_1_RKHV_51/catpn_1_RKHV_51)/(((dagenperjaar1*VLOOKUP(B38,dagsoorttabel1,2,FALSE))-catfd_1_RKHV_51)/catpn_1_RKHB_1+catfd_1_RKHV_51/catpn_1_RKHV_51),0)</f>
        <v>0</v>
      </c>
      <c r="J38" s="76">
        <f>IF(OR(ISBLANK(G38),G38=0),0,F38/ROUND(G38,4))</f>
        <v>0</v>
      </c>
      <c r="K38" s="66">
        <f>ROUND(I38,2)*J38</f>
        <v>0</v>
      </c>
      <c r="L38" s="76">
        <f>J38*dagenperjaar1</f>
        <v>0</v>
      </c>
      <c r="M38" s="66">
        <f>L38*ROUND(I38,2)</f>
        <v>0</v>
      </c>
    </row>
    <row r="39" spans="1:13" x14ac:dyDescent="0.2">
      <c r="A39" s="62" t="s">
        <v>253</v>
      </c>
      <c r="B39" s="62" t="s">
        <v>11</v>
      </c>
      <c r="C39" s="62" t="s">
        <v>231</v>
      </c>
      <c r="D39" s="62" t="s">
        <v>254</v>
      </c>
      <c r="E39" s="76">
        <v>47.3</v>
      </c>
      <c r="F39" s="76">
        <f>E39*VLOOKUP(B39,dagsoorttabel1,2,FALSE)</f>
        <v>28.38</v>
      </c>
      <c r="G39" s="77">
        <f>IF(AND(catpn_1_RKHB_1&gt;0,catpn_1_RKHV_51&gt;0),(dagenperjaar1*VLOOKUP(B39,dagsoorttabel1,2,FALSE))/(((dagenperjaar1*VLOOKUP(B39,dagsoorttabel1,2,FALSE))-catfd_1_RKHV_51)/catpn_1_RKHB_1+catfd_1_RKHV_51/catpn_1_RKHV_51),0)</f>
        <v>0</v>
      </c>
      <c r="H39" s="62" t="s">
        <v>105</v>
      </c>
      <c r="I39" s="66">
        <f>IF(AND(catpn_1_RKHB_1&gt;0,catpn_1_RKHV_51&gt;0),(cattf_1_RKHB_1*((dagenperjaar1*VLOOKUP(B39,dagsoorttabel1,2,FALSE))-catfd_1_RKHV_51)/catpn_1_RKHB_1+cattf_1_RKHV_51*catfd_1_RKHV_51/catpn_1_RKHV_51)/(((dagenperjaar1*VLOOKUP(B39,dagsoorttabel1,2,FALSE))-catfd_1_RKHV_51)/catpn_1_RKHB_1+catfd_1_RKHV_51/catpn_1_RKHV_51),0)</f>
        <v>0</v>
      </c>
      <c r="J39" s="76">
        <f>IF(OR(ISBLANK(G39),G39=0),0,F39/ROUND(G39,4))</f>
        <v>0</v>
      </c>
      <c r="K39" s="66">
        <f>ROUND(I39,2)*J39</f>
        <v>0</v>
      </c>
      <c r="L39" s="76">
        <f>J39*dagenperjaar1</f>
        <v>0</v>
      </c>
      <c r="M39" s="66">
        <f>L39*ROUND(I39,2)</f>
        <v>0</v>
      </c>
    </row>
    <row r="40" spans="1:13" x14ac:dyDescent="0.2">
      <c r="A40" s="62" t="s">
        <v>253</v>
      </c>
      <c r="B40" s="62" t="s">
        <v>20</v>
      </c>
      <c r="C40" s="62" t="s">
        <v>231</v>
      </c>
      <c r="D40" s="62" t="s">
        <v>254</v>
      </c>
      <c r="E40" s="76">
        <v>12.3</v>
      </c>
      <c r="F40" s="76">
        <f>E40*VLOOKUP(B40,dagsoorttabel1,2,FALSE)</f>
        <v>0.19294117647058825</v>
      </c>
      <c r="G40" s="77">
        <f>catpn_1_RPHV_4</f>
        <v>0</v>
      </c>
      <c r="H40" s="62" t="s">
        <v>105</v>
      </c>
      <c r="I40" s="66">
        <f>cattf_1_RPHV_4</f>
        <v>0</v>
      </c>
      <c r="J40" s="76">
        <f>IF(OR(ISBLANK(G40),G40=0),0,F40/ROUND(G40,4))</f>
        <v>0</v>
      </c>
      <c r="K40" s="66">
        <f>ROUND(I40,2)*J40</f>
        <v>0</v>
      </c>
      <c r="L40" s="76">
        <f>J40*dagenperjaar1</f>
        <v>0</v>
      </c>
      <c r="M40" s="66">
        <f>L40*ROUND(I40,2)</f>
        <v>0</v>
      </c>
    </row>
    <row r="41" spans="1:13" x14ac:dyDescent="0.2">
      <c r="A41" s="62" t="s">
        <v>253</v>
      </c>
      <c r="B41" s="62" t="s">
        <v>10</v>
      </c>
      <c r="C41" s="62" t="s">
        <v>231</v>
      </c>
      <c r="D41" s="62" t="s">
        <v>254</v>
      </c>
      <c r="E41" s="76">
        <v>6.3199999999999994</v>
      </c>
      <c r="F41" s="76">
        <f>E41*VLOOKUP(B41,dagsoorttabel1,2,FALSE)</f>
        <v>5.056</v>
      </c>
      <c r="G41" s="77">
        <f>IF(AND(catpn_1_RKHB_1&gt;0,catpn_1_RKHV_51&gt;0),(dagenperjaar1*VLOOKUP(B41,dagsoorttabel1,2,FALSE))/(((dagenperjaar1*VLOOKUP(B41,dagsoorttabel1,2,FALSE))-catfd_1_RKHV_51)/catpn_1_RKHB_1+catfd_1_RKHV_51/catpn_1_RKHV_51),0)</f>
        <v>0</v>
      </c>
      <c r="H41" s="62" t="s">
        <v>105</v>
      </c>
      <c r="I41" s="66">
        <f>IF(AND(catpn_1_RKHB_1&gt;0,catpn_1_RKHV_51&gt;0),(cattf_1_RKHB_1*((dagenperjaar1*VLOOKUP(B41,dagsoorttabel1,2,FALSE))-catfd_1_RKHV_51)/catpn_1_RKHB_1+cattf_1_RKHV_51*catfd_1_RKHV_51/catpn_1_RKHV_51)/(((dagenperjaar1*VLOOKUP(B41,dagsoorttabel1,2,FALSE))-catfd_1_RKHV_51)/catpn_1_RKHB_1+catfd_1_RKHV_51/catpn_1_RKHV_51),0)</f>
        <v>0</v>
      </c>
      <c r="J41" s="76">
        <f>IF(OR(ISBLANK(G41),G41=0),0,F41/ROUND(G41,4))</f>
        <v>0</v>
      </c>
      <c r="K41" s="66">
        <f>ROUND(I41,2)*J41</f>
        <v>0</v>
      </c>
      <c r="L41" s="76">
        <f>J41*dagenperjaar1</f>
        <v>0</v>
      </c>
      <c r="M41" s="66">
        <f>L41*ROUND(I41,2)</f>
        <v>0</v>
      </c>
    </row>
    <row r="42" spans="1:13" x14ac:dyDescent="0.2">
      <c r="A42" s="62" t="s">
        <v>253</v>
      </c>
      <c r="B42" s="62" t="s">
        <v>9</v>
      </c>
      <c r="C42" s="62" t="s">
        <v>231</v>
      </c>
      <c r="D42" s="62" t="s">
        <v>254</v>
      </c>
      <c r="E42" s="76">
        <v>17.600000000000001</v>
      </c>
      <c r="F42" s="76">
        <f>E42*VLOOKUP(B42,dagsoorttabel1,2,FALSE)</f>
        <v>17.600000000000001</v>
      </c>
      <c r="G42" s="77">
        <f>IF(AND(catpn_1_RKHB_1&gt;0,catpn_1_RKHV_51&gt;0),(dagenperjaar1*VLOOKUP(B42,dagsoorttabel1,2,FALSE))/(((dagenperjaar1*VLOOKUP(B42,dagsoorttabel1,2,FALSE))-catfd_1_RKHV_51)/catpn_1_RKHB_1+catfd_1_RKHV_51/catpn_1_RKHV_51),0)</f>
        <v>0</v>
      </c>
      <c r="H42" s="62" t="s">
        <v>105</v>
      </c>
      <c r="I42" s="66">
        <f>IF(AND(catpn_1_RKHB_1&gt;0,catpn_1_RKHV_51&gt;0),(cattf_1_RKHB_1*((dagenperjaar1*VLOOKUP(B42,dagsoorttabel1,2,FALSE))-catfd_1_RKHV_51)/catpn_1_RKHB_1+cattf_1_RKHV_51*catfd_1_RKHV_51/catpn_1_RKHV_51)/(((dagenperjaar1*VLOOKUP(B42,dagsoorttabel1,2,FALSE))-catfd_1_RKHV_51)/catpn_1_RKHB_1+catfd_1_RKHV_51/catpn_1_RKHV_51),0)</f>
        <v>0</v>
      </c>
      <c r="J42" s="76">
        <f>IF(OR(ISBLANK(G42),G42=0),0,F42/ROUND(G42,4))</f>
        <v>0</v>
      </c>
      <c r="K42" s="66">
        <f>ROUND(I42,2)*J42</f>
        <v>0</v>
      </c>
      <c r="L42" s="76">
        <f>J42*dagenperjaar1</f>
        <v>0</v>
      </c>
      <c r="M42" s="66">
        <f>L42*ROUND(I42,2)</f>
        <v>0</v>
      </c>
    </row>
    <row r="43" spans="1:13" x14ac:dyDescent="0.2">
      <c r="A43" s="62" t="s">
        <v>255</v>
      </c>
      <c r="B43" s="62" t="s">
        <v>13</v>
      </c>
      <c r="C43" s="62" t="s">
        <v>231</v>
      </c>
      <c r="D43" s="62" t="s">
        <v>256</v>
      </c>
      <c r="E43" s="76">
        <v>13.4</v>
      </c>
      <c r="F43" s="76">
        <f>E43*VLOOKUP(B43,dagsoorttabel1,2,FALSE)</f>
        <v>2.68</v>
      </c>
      <c r="G43" s="77">
        <f>IF(AND(catpn_1_RPHB_1&gt;0,catpn_1_RPHV_51&gt;0),(dagenperjaar1*VLOOKUP(B43,dagsoorttabel1,2,FALSE))/(((dagenperjaar1*VLOOKUP(B43,dagsoorttabel1,2,FALSE))-catfd_1_RPHV_51)/catpn_1_RPHB_1+catfd_1_RPHV_51/catpn_1_RPHV_51),0)</f>
        <v>0</v>
      </c>
      <c r="H43" s="62" t="s">
        <v>105</v>
      </c>
      <c r="I43" s="66">
        <f>IF(AND(catpn_1_RPHB_1&gt;0,catpn_1_RPHV_51&gt;0),(cattf_1_RPHB_1*((dagenperjaar1*VLOOKUP(B43,dagsoorttabel1,2,FALSE))-catfd_1_RPHV_51)/catpn_1_RPHB_1+cattf_1_RPHV_51*catfd_1_RPHV_51/catpn_1_RPHV_51)/(((dagenperjaar1*VLOOKUP(B43,dagsoorttabel1,2,FALSE))-catfd_1_RPHV_51)/catpn_1_RPHB_1+catfd_1_RPHV_51/catpn_1_RPHV_51),0)</f>
        <v>0</v>
      </c>
      <c r="J43" s="76">
        <f>IF(OR(ISBLANK(G43),G43=0),0,F43/ROUND(G43,4))</f>
        <v>0</v>
      </c>
      <c r="K43" s="66">
        <f>ROUND(I43,2)*J43</f>
        <v>0</v>
      </c>
      <c r="L43" s="76">
        <f>J43*dagenperjaar1</f>
        <v>0</v>
      </c>
      <c r="M43" s="66">
        <f>L43*ROUND(I43,2)</f>
        <v>0</v>
      </c>
    </row>
    <row r="44" spans="1:13" x14ac:dyDescent="0.2">
      <c r="A44" s="62" t="s">
        <v>255</v>
      </c>
      <c r="B44" s="62" t="s">
        <v>14</v>
      </c>
      <c r="C44" s="62" t="s">
        <v>231</v>
      </c>
      <c r="D44" s="62" t="s">
        <v>256</v>
      </c>
      <c r="E44" s="76">
        <v>4.67</v>
      </c>
      <c r="F44" s="76">
        <f>E44*VLOOKUP(B44,dagsoorttabel1,2,FALSE)</f>
        <v>0.47615686274509805</v>
      </c>
      <c r="G44" s="77">
        <f>catpn_1_RPHV_51</f>
        <v>0</v>
      </c>
      <c r="H44" s="62" t="s">
        <v>105</v>
      </c>
      <c r="I44" s="66">
        <f>cattf_1_RPHV_51</f>
        <v>0</v>
      </c>
      <c r="J44" s="76">
        <f>IF(OR(ISBLANK(G44),G44=0),0,F44/ROUND(G44,4))</f>
        <v>0</v>
      </c>
      <c r="K44" s="66">
        <f>ROUND(I44,2)*J44</f>
        <v>0</v>
      </c>
      <c r="L44" s="76">
        <f>J44*dagenperjaar1</f>
        <v>0</v>
      </c>
      <c r="M44" s="66">
        <f>L44*ROUND(I44,2)</f>
        <v>0</v>
      </c>
    </row>
    <row r="45" spans="1:13" x14ac:dyDescent="0.2">
      <c r="A45" s="62" t="s">
        <v>255</v>
      </c>
      <c r="B45" s="62" t="s">
        <v>22</v>
      </c>
      <c r="C45" s="62" t="s">
        <v>231</v>
      </c>
      <c r="D45" s="62" t="s">
        <v>256</v>
      </c>
      <c r="E45" s="76">
        <v>9.6</v>
      </c>
      <c r="F45" s="76">
        <f>E45*VLOOKUP(B45,dagsoorttabel1,2,FALSE)</f>
        <v>7.5294117647058817E-2</v>
      </c>
      <c r="G45" s="77">
        <f>catpn_1_RPHV_2</f>
        <v>0</v>
      </c>
      <c r="H45" s="62" t="s">
        <v>105</v>
      </c>
      <c r="I45" s="66">
        <f>cattf_1_RPHV_2</f>
        <v>0</v>
      </c>
      <c r="J45" s="76">
        <f>IF(OR(ISBLANK(G45),G45=0),0,F45/ROUND(G45,4))</f>
        <v>0</v>
      </c>
      <c r="K45" s="66">
        <f>ROUND(I45,2)*J45</f>
        <v>0</v>
      </c>
      <c r="L45" s="76">
        <f>J45*dagenperjaar1</f>
        <v>0</v>
      </c>
      <c r="M45" s="66">
        <f>L45*ROUND(I45,2)</f>
        <v>0</v>
      </c>
    </row>
    <row r="46" spans="1:13" x14ac:dyDescent="0.2">
      <c r="A46" s="62" t="s">
        <v>255</v>
      </c>
      <c r="B46" s="62" t="s">
        <v>11</v>
      </c>
      <c r="C46" s="62" t="s">
        <v>231</v>
      </c>
      <c r="D46" s="62" t="s">
        <v>256</v>
      </c>
      <c r="E46" s="76">
        <v>23.66</v>
      </c>
      <c r="F46" s="76">
        <f>E46*VLOOKUP(B46,dagsoorttabel1,2,FALSE)</f>
        <v>14.196</v>
      </c>
      <c r="G46" s="77">
        <f>IF(AND(catpn_1_RPHB_1&gt;0,catpn_1_RPHV_51&gt;0),(dagenperjaar1*VLOOKUP(B46,dagsoorttabel1,2,FALSE))/(((dagenperjaar1*VLOOKUP(B46,dagsoorttabel1,2,FALSE))-catfd_1_RPHV_51)/catpn_1_RPHB_1+catfd_1_RPHV_51/catpn_1_RPHV_51),0)</f>
        <v>0</v>
      </c>
      <c r="H46" s="62" t="s">
        <v>105</v>
      </c>
      <c r="I46" s="66">
        <f>IF(AND(catpn_1_RPHB_1&gt;0,catpn_1_RPHV_51&gt;0),(cattf_1_RPHB_1*((dagenperjaar1*VLOOKUP(B46,dagsoorttabel1,2,FALSE))-catfd_1_RPHV_51)/catpn_1_RPHB_1+cattf_1_RPHV_51*catfd_1_RPHV_51/catpn_1_RPHV_51)/(((dagenperjaar1*VLOOKUP(B46,dagsoorttabel1,2,FALSE))-catfd_1_RPHV_51)/catpn_1_RPHB_1+catfd_1_RPHV_51/catpn_1_RPHV_51),0)</f>
        <v>0</v>
      </c>
      <c r="J46" s="76">
        <f>IF(OR(ISBLANK(G46),G46=0),0,F46/ROUND(G46,4))</f>
        <v>0</v>
      </c>
      <c r="K46" s="66">
        <f>ROUND(I46,2)*J46</f>
        <v>0</v>
      </c>
      <c r="L46" s="76">
        <f>J46*dagenperjaar1</f>
        <v>0</v>
      </c>
      <c r="M46" s="66">
        <f>L46*ROUND(I46,2)</f>
        <v>0</v>
      </c>
    </row>
    <row r="47" spans="1:13" x14ac:dyDescent="0.2">
      <c r="A47" s="62" t="s">
        <v>255</v>
      </c>
      <c r="B47" s="62" t="s">
        <v>9</v>
      </c>
      <c r="C47" s="62" t="s">
        <v>231</v>
      </c>
      <c r="D47" s="62" t="s">
        <v>256</v>
      </c>
      <c r="E47" s="76">
        <v>2</v>
      </c>
      <c r="F47" s="76">
        <f>E47*VLOOKUP(B47,dagsoorttabel1,2,FALSE)</f>
        <v>2</v>
      </c>
      <c r="G47" s="77">
        <f>IF(AND(catpn_1_RPHB_1&gt;0,catpn_1_RPHV_51&gt;0),(dagenperjaar1*VLOOKUP(B47,dagsoorttabel1,2,FALSE))/(((dagenperjaar1*VLOOKUP(B47,dagsoorttabel1,2,FALSE))-catfd_1_RPHV_51)/catpn_1_RPHB_1+catfd_1_RPHV_51/catpn_1_RPHV_51),0)</f>
        <v>0</v>
      </c>
      <c r="H47" s="62" t="s">
        <v>105</v>
      </c>
      <c r="I47" s="66">
        <f>IF(AND(catpn_1_RPHB_1&gt;0,catpn_1_RPHV_51&gt;0),(cattf_1_RPHB_1*((dagenperjaar1*VLOOKUP(B47,dagsoorttabel1,2,FALSE))-catfd_1_RPHV_51)/catpn_1_RPHB_1+cattf_1_RPHV_51*catfd_1_RPHV_51/catpn_1_RPHV_51)/(((dagenperjaar1*VLOOKUP(B47,dagsoorttabel1,2,FALSE))-catfd_1_RPHV_51)/catpn_1_RPHB_1+catfd_1_RPHV_51/catpn_1_RPHV_51),0)</f>
        <v>0</v>
      </c>
      <c r="J47" s="76">
        <f>IF(OR(ISBLANK(G47),G47=0),0,F47/ROUND(G47,4))</f>
        <v>0</v>
      </c>
      <c r="K47" s="66">
        <f>ROUND(I47,2)*J47</f>
        <v>0</v>
      </c>
      <c r="L47" s="76">
        <f>J47*dagenperjaar1</f>
        <v>0</v>
      </c>
      <c r="M47" s="66">
        <f>L47*ROUND(I47,2)</f>
        <v>0</v>
      </c>
    </row>
    <row r="48" spans="1:13" x14ac:dyDescent="0.2">
      <c r="A48" s="62" t="s">
        <v>257</v>
      </c>
      <c r="B48" s="62" t="s">
        <v>13</v>
      </c>
      <c r="C48" s="62" t="s">
        <v>231</v>
      </c>
      <c r="D48" s="62" t="s">
        <v>258</v>
      </c>
      <c r="E48" s="76">
        <v>72.400000000000006</v>
      </c>
      <c r="F48" s="76">
        <f>E48*VLOOKUP(B48,dagsoorttabel1,2,FALSE)</f>
        <v>14.480000000000002</v>
      </c>
      <c r="G48" s="77">
        <f>IF(AND(catpn_1_RRHB_1&gt;0,catpn_1_RRHV_51&gt;0),(dagenperjaar1*VLOOKUP(B48,dagsoorttabel1,2,FALSE))/(((dagenperjaar1*VLOOKUP(B48,dagsoorttabel1,2,FALSE))-catfd_1_RRHV_51)/catpn_1_RRHB_1+catfd_1_RRHV_51/catpn_1_RRHV_51),0)</f>
        <v>0</v>
      </c>
      <c r="H48" s="62" t="s">
        <v>105</v>
      </c>
      <c r="I48" s="66">
        <f>IF(AND(catpn_1_RRHB_1&gt;0,catpn_1_RRHV_51&gt;0),(cattf_1_RRHB_1*((dagenperjaar1*VLOOKUP(B48,dagsoorttabel1,2,FALSE))-catfd_1_RRHV_51)/catpn_1_RRHB_1+cattf_1_RRHV_51*catfd_1_RRHV_51/catpn_1_RRHV_51)/(((dagenperjaar1*VLOOKUP(B48,dagsoorttabel1,2,FALSE))-catfd_1_RRHV_51)/catpn_1_RRHB_1+catfd_1_RRHV_51/catpn_1_RRHV_51),0)</f>
        <v>0</v>
      </c>
      <c r="J48" s="76">
        <f>IF(OR(ISBLANK(G48),G48=0),0,F48/ROUND(G48,4))</f>
        <v>0</v>
      </c>
      <c r="K48" s="66">
        <f>ROUND(I48,2)*J48</f>
        <v>0</v>
      </c>
      <c r="L48" s="76">
        <f>J48*dagenperjaar1</f>
        <v>0</v>
      </c>
      <c r="M48" s="66">
        <f>L48*ROUND(I48,2)</f>
        <v>0</v>
      </c>
    </row>
    <row r="49" spans="1:13" x14ac:dyDescent="0.2">
      <c r="A49" s="62" t="s">
        <v>257</v>
      </c>
      <c r="B49" s="62" t="s">
        <v>14</v>
      </c>
      <c r="C49" s="62" t="s">
        <v>231</v>
      </c>
      <c r="D49" s="62" t="s">
        <v>258</v>
      </c>
      <c r="E49" s="76">
        <v>52.39</v>
      </c>
      <c r="F49" s="76">
        <f>E49*VLOOKUP(B49,dagsoorttabel1,2,FALSE)</f>
        <v>5.3417254901960787</v>
      </c>
      <c r="G49" s="77">
        <f>catpn_1_RRHV_51</f>
        <v>0</v>
      </c>
      <c r="H49" s="62" t="s">
        <v>105</v>
      </c>
      <c r="I49" s="66">
        <f>cattf_1_RRHV_51</f>
        <v>0</v>
      </c>
      <c r="J49" s="76">
        <f>IF(OR(ISBLANK(G49),G49=0),0,F49/ROUND(G49,4))</f>
        <v>0</v>
      </c>
      <c r="K49" s="66">
        <f>ROUND(I49,2)*J49</f>
        <v>0</v>
      </c>
      <c r="L49" s="76">
        <f>J49*dagenperjaar1</f>
        <v>0</v>
      </c>
      <c r="M49" s="66">
        <f>L49*ROUND(I49,2)</f>
        <v>0</v>
      </c>
    </row>
    <row r="50" spans="1:13" x14ac:dyDescent="0.2">
      <c r="A50" s="62" t="s">
        <v>257</v>
      </c>
      <c r="B50" s="62" t="s">
        <v>12</v>
      </c>
      <c r="C50" s="62" t="s">
        <v>231</v>
      </c>
      <c r="D50" s="62" t="s">
        <v>258</v>
      </c>
      <c r="E50" s="76">
        <v>146.30000000000001</v>
      </c>
      <c r="F50" s="76">
        <f>E50*VLOOKUP(B50,dagsoorttabel1,2,FALSE)</f>
        <v>58.52000000000001</v>
      </c>
      <c r="G50" s="77">
        <f>IF(AND(catpn_1_RRHB_1&gt;0,catpn_1_RRHV_51&gt;0),(dagenperjaar1*VLOOKUP(B50,dagsoorttabel1,2,FALSE))/(((dagenperjaar1*VLOOKUP(B50,dagsoorttabel1,2,FALSE))-catfd_1_RRHV_51)/catpn_1_RRHB_1+catfd_1_RRHV_51/catpn_1_RRHV_51),0)</f>
        <v>0</v>
      </c>
      <c r="H50" s="62" t="s">
        <v>105</v>
      </c>
      <c r="I50" s="66">
        <f>IF(AND(catpn_1_RRHB_1&gt;0,catpn_1_RRHV_51&gt;0),(cattf_1_RRHB_1*((dagenperjaar1*VLOOKUP(B50,dagsoorttabel1,2,FALSE))-catfd_1_RRHV_51)/catpn_1_RRHB_1+cattf_1_RRHV_51*catfd_1_RRHV_51/catpn_1_RRHV_51)/(((dagenperjaar1*VLOOKUP(B50,dagsoorttabel1,2,FALSE))-catfd_1_RRHV_51)/catpn_1_RRHB_1+catfd_1_RRHV_51/catpn_1_RRHV_51),0)</f>
        <v>0</v>
      </c>
      <c r="J50" s="76">
        <f>IF(OR(ISBLANK(G50),G50=0),0,F50/ROUND(G50,4))</f>
        <v>0</v>
      </c>
      <c r="K50" s="66">
        <f>ROUND(I50,2)*J50</f>
        <v>0</v>
      </c>
      <c r="L50" s="76">
        <f>J50*dagenperjaar1</f>
        <v>0</v>
      </c>
      <c r="M50" s="66">
        <f>L50*ROUND(I50,2)</f>
        <v>0</v>
      </c>
    </row>
    <row r="51" spans="1:13" x14ac:dyDescent="0.2">
      <c r="A51" s="62" t="s">
        <v>257</v>
      </c>
      <c r="B51" s="62" t="s">
        <v>11</v>
      </c>
      <c r="C51" s="62" t="s">
        <v>231</v>
      </c>
      <c r="D51" s="62" t="s">
        <v>258</v>
      </c>
      <c r="E51" s="76">
        <v>321.09999999999997</v>
      </c>
      <c r="F51" s="76">
        <f>E51*VLOOKUP(B51,dagsoorttabel1,2,FALSE)</f>
        <v>192.65999999999997</v>
      </c>
      <c r="G51" s="77">
        <f>IF(AND(catpn_1_RRHB_1&gt;0,catpn_1_RRHV_51&gt;0),(dagenperjaar1*VLOOKUP(B51,dagsoorttabel1,2,FALSE))/(((dagenperjaar1*VLOOKUP(B51,dagsoorttabel1,2,FALSE))-catfd_1_RRHV_51)/catpn_1_RRHB_1+catfd_1_RRHV_51/catpn_1_RRHV_51),0)</f>
        <v>0</v>
      </c>
      <c r="H51" s="62" t="s">
        <v>105</v>
      </c>
      <c r="I51" s="66">
        <f>IF(AND(catpn_1_RRHB_1&gt;0,catpn_1_RRHV_51&gt;0),(cattf_1_RRHB_1*((dagenperjaar1*VLOOKUP(B51,dagsoorttabel1,2,FALSE))-catfd_1_RRHV_51)/catpn_1_RRHB_1+cattf_1_RRHV_51*catfd_1_RRHV_51/catpn_1_RRHV_51)/(((dagenperjaar1*VLOOKUP(B51,dagsoorttabel1,2,FALSE))-catfd_1_RRHV_51)/catpn_1_RRHB_1+catfd_1_RRHV_51/catpn_1_RRHV_51),0)</f>
        <v>0</v>
      </c>
      <c r="J51" s="76">
        <f>IF(OR(ISBLANK(G51),G51=0),0,F51/ROUND(G51,4))</f>
        <v>0</v>
      </c>
      <c r="K51" s="66">
        <f>ROUND(I51,2)*J51</f>
        <v>0</v>
      </c>
      <c r="L51" s="76">
        <f>J51*dagenperjaar1</f>
        <v>0</v>
      </c>
      <c r="M51" s="66">
        <f>L51*ROUND(I51,2)</f>
        <v>0</v>
      </c>
    </row>
    <row r="52" spans="1:13" x14ac:dyDescent="0.2">
      <c r="A52" s="62" t="s">
        <v>257</v>
      </c>
      <c r="B52" s="62" t="s">
        <v>20</v>
      </c>
      <c r="C52" s="62" t="s">
        <v>231</v>
      </c>
      <c r="D52" s="62" t="s">
        <v>258</v>
      </c>
      <c r="E52" s="76">
        <v>10.8</v>
      </c>
      <c r="F52" s="76">
        <f>E52*VLOOKUP(B52,dagsoorttabel1,2,FALSE)</f>
        <v>0.16941176470588237</v>
      </c>
      <c r="G52" s="77">
        <f>catpn_1_RRHV_4</f>
        <v>0</v>
      </c>
      <c r="H52" s="62" t="s">
        <v>105</v>
      </c>
      <c r="I52" s="66">
        <f>cattf_1_RRHV_4</f>
        <v>0</v>
      </c>
      <c r="J52" s="76">
        <f>IF(OR(ISBLANK(G52),G52=0),0,F52/ROUND(G52,4))</f>
        <v>0</v>
      </c>
      <c r="K52" s="66">
        <f>ROUND(I52,2)*J52</f>
        <v>0</v>
      </c>
      <c r="L52" s="76">
        <f>J52*dagenperjaar1</f>
        <v>0</v>
      </c>
      <c r="M52" s="66">
        <f>L52*ROUND(I52,2)</f>
        <v>0</v>
      </c>
    </row>
    <row r="53" spans="1:13" x14ac:dyDescent="0.2">
      <c r="A53" s="62" t="s">
        <v>257</v>
      </c>
      <c r="B53" s="62" t="s">
        <v>10</v>
      </c>
      <c r="C53" s="62" t="s">
        <v>231</v>
      </c>
      <c r="D53" s="62" t="s">
        <v>258</v>
      </c>
      <c r="E53" s="76">
        <v>9.3000000000000007</v>
      </c>
      <c r="F53" s="76">
        <f>E53*VLOOKUP(B53,dagsoorttabel1,2,FALSE)</f>
        <v>7.4400000000000013</v>
      </c>
      <c r="G53" s="77">
        <f>IF(AND(catpn_1_RRHB_1&gt;0,catpn_1_RRHV_51&gt;0),(dagenperjaar1*VLOOKUP(B53,dagsoorttabel1,2,FALSE))/(((dagenperjaar1*VLOOKUP(B53,dagsoorttabel1,2,FALSE))-catfd_1_RRHV_51)/catpn_1_RRHB_1+catfd_1_RRHV_51/catpn_1_RRHV_51),0)</f>
        <v>0</v>
      </c>
      <c r="H53" s="62" t="s">
        <v>105</v>
      </c>
      <c r="I53" s="66">
        <f>IF(AND(catpn_1_RRHB_1&gt;0,catpn_1_RRHV_51&gt;0),(cattf_1_RRHB_1*((dagenperjaar1*VLOOKUP(B53,dagsoorttabel1,2,FALSE))-catfd_1_RRHV_51)/catpn_1_RRHB_1+cattf_1_RRHV_51*catfd_1_RRHV_51/catpn_1_RRHV_51)/(((dagenperjaar1*VLOOKUP(B53,dagsoorttabel1,2,FALSE))-catfd_1_RRHV_51)/catpn_1_RRHB_1+catfd_1_RRHV_51/catpn_1_RRHV_51),0)</f>
        <v>0</v>
      </c>
      <c r="J53" s="76">
        <f>IF(OR(ISBLANK(G53),G53=0),0,F53/ROUND(G53,4))</f>
        <v>0</v>
      </c>
      <c r="K53" s="66">
        <f>ROUND(I53,2)*J53</f>
        <v>0</v>
      </c>
      <c r="L53" s="76">
        <f>J53*dagenperjaar1</f>
        <v>0</v>
      </c>
      <c r="M53" s="66">
        <f>L53*ROUND(I53,2)</f>
        <v>0</v>
      </c>
    </row>
    <row r="54" spans="1:13" x14ac:dyDescent="0.2">
      <c r="A54" s="62" t="s">
        <v>257</v>
      </c>
      <c r="B54" s="62" t="s">
        <v>9</v>
      </c>
      <c r="C54" s="62" t="s">
        <v>231</v>
      </c>
      <c r="D54" s="62" t="s">
        <v>258</v>
      </c>
      <c r="E54" s="76">
        <v>391.69999999999993</v>
      </c>
      <c r="F54" s="76">
        <f>E54*VLOOKUP(B54,dagsoorttabel1,2,FALSE)</f>
        <v>391.69999999999993</v>
      </c>
      <c r="G54" s="77">
        <f>IF(AND(catpn_1_RRHB_1&gt;0,catpn_1_RRHV_51&gt;0),(dagenperjaar1*VLOOKUP(B54,dagsoorttabel1,2,FALSE))/(((dagenperjaar1*VLOOKUP(B54,dagsoorttabel1,2,FALSE))-catfd_1_RRHV_51)/catpn_1_RRHB_1+catfd_1_RRHV_51/catpn_1_RRHV_51),0)</f>
        <v>0</v>
      </c>
      <c r="H54" s="62" t="s">
        <v>105</v>
      </c>
      <c r="I54" s="66">
        <f>IF(AND(catpn_1_RRHB_1&gt;0,catpn_1_RRHV_51&gt;0),(cattf_1_RRHB_1*((dagenperjaar1*VLOOKUP(B54,dagsoorttabel1,2,FALSE))-catfd_1_RRHV_51)/catpn_1_RRHB_1+cattf_1_RRHV_51*catfd_1_RRHV_51/catpn_1_RRHV_51)/(((dagenperjaar1*VLOOKUP(B54,dagsoorttabel1,2,FALSE))-catfd_1_RRHV_51)/catpn_1_RRHB_1+catfd_1_RRHV_51/catpn_1_RRHV_51),0)</f>
        <v>0</v>
      </c>
      <c r="J54" s="76">
        <f>IF(OR(ISBLANK(G54),G54=0),0,F54/ROUND(G54,4))</f>
        <v>0</v>
      </c>
      <c r="K54" s="66">
        <f>ROUND(I54,2)*J54</f>
        <v>0</v>
      </c>
      <c r="L54" s="76">
        <f>J54*dagenperjaar1</f>
        <v>0</v>
      </c>
      <c r="M54" s="66">
        <f>L54*ROUND(I54,2)</f>
        <v>0</v>
      </c>
    </row>
    <row r="55" spans="1:13" x14ac:dyDescent="0.2">
      <c r="A55" s="62" t="s">
        <v>259</v>
      </c>
      <c r="B55" s="62" t="s">
        <v>10</v>
      </c>
      <c r="C55" s="62" t="s">
        <v>231</v>
      </c>
      <c r="D55" s="62" t="s">
        <v>260</v>
      </c>
      <c r="E55" s="76">
        <v>90</v>
      </c>
      <c r="F55" s="76">
        <f>E55*VLOOKUP(B55,dagsoorttabel1,2,FALSE)</f>
        <v>72</v>
      </c>
      <c r="G55" s="77">
        <f>IF(AND(catpn_1_RRZB_1&gt;0,catpn_1_RRZV_51&gt;0),(dagenperjaar1*VLOOKUP(B55,dagsoorttabel1,2,FALSE))/(((dagenperjaar1*VLOOKUP(B55,dagsoorttabel1,2,FALSE))-catfd_1_RRZV_51)/catpn_1_RRZB_1+catfd_1_RRZV_51/catpn_1_RRZV_51),0)</f>
        <v>0</v>
      </c>
      <c r="H55" s="62" t="s">
        <v>105</v>
      </c>
      <c r="I55" s="66">
        <f>IF(AND(catpn_1_RRZB_1&gt;0,catpn_1_RRZV_51&gt;0),(cattf_1_RRZB_1*((dagenperjaar1*VLOOKUP(B55,dagsoorttabel1,2,FALSE))-catfd_1_RRZV_51)/catpn_1_RRZB_1+cattf_1_RRZV_51*catfd_1_RRZV_51/catpn_1_RRZV_51)/(((dagenperjaar1*VLOOKUP(B55,dagsoorttabel1,2,FALSE))-catfd_1_RRZV_51)/catpn_1_RRZB_1+catfd_1_RRZV_51/catpn_1_RRZV_51),0)</f>
        <v>0</v>
      </c>
      <c r="J55" s="76">
        <f>IF(OR(ISBLANK(G55),G55=0),0,F55/ROUND(G55,4))</f>
        <v>0</v>
      </c>
      <c r="K55" s="66">
        <f>ROUND(I55,2)*J55</f>
        <v>0</v>
      </c>
      <c r="L55" s="76">
        <f>J55*dagenperjaar1</f>
        <v>0</v>
      </c>
      <c r="M55" s="66">
        <f>L55*ROUND(I55,2)</f>
        <v>0</v>
      </c>
    </row>
    <row r="56" spans="1:13" x14ac:dyDescent="0.2">
      <c r="A56" s="62" t="s">
        <v>259</v>
      </c>
      <c r="B56" s="62" t="s">
        <v>9</v>
      </c>
      <c r="C56" s="62" t="s">
        <v>231</v>
      </c>
      <c r="D56" s="62" t="s">
        <v>260</v>
      </c>
      <c r="E56" s="76">
        <v>347.29999999999995</v>
      </c>
      <c r="F56" s="76">
        <f>E56*VLOOKUP(B56,dagsoorttabel1,2,FALSE)</f>
        <v>347.29999999999995</v>
      </c>
      <c r="G56" s="77">
        <f>IF(AND(catpn_1_RRZB_1&gt;0,catpn_1_RRZV_51&gt;0),(dagenperjaar1*VLOOKUP(B56,dagsoorttabel1,2,FALSE))/(((dagenperjaar1*VLOOKUP(B56,dagsoorttabel1,2,FALSE))-catfd_1_RRZV_51)/catpn_1_RRZB_1+catfd_1_RRZV_51/catpn_1_RRZV_51),0)</f>
        <v>0</v>
      </c>
      <c r="H56" s="62" t="s">
        <v>105</v>
      </c>
      <c r="I56" s="66">
        <f>IF(AND(catpn_1_RRZB_1&gt;0,catpn_1_RRZV_51&gt;0),(cattf_1_RRZB_1*((dagenperjaar1*VLOOKUP(B56,dagsoorttabel1,2,FALSE))-catfd_1_RRZV_51)/catpn_1_RRZB_1+cattf_1_RRZV_51*catfd_1_RRZV_51/catpn_1_RRZV_51)/(((dagenperjaar1*VLOOKUP(B56,dagsoorttabel1,2,FALSE))-catfd_1_RRZV_51)/catpn_1_RRZB_1+catfd_1_RRZV_51/catpn_1_RRZV_51),0)</f>
        <v>0</v>
      </c>
      <c r="J56" s="76">
        <f>IF(OR(ISBLANK(G56),G56=0),0,F56/ROUND(G56,4))</f>
        <v>0</v>
      </c>
      <c r="K56" s="66">
        <f>ROUND(I56,2)*J56</f>
        <v>0</v>
      </c>
      <c r="L56" s="76">
        <f>J56*dagenperjaar1</f>
        <v>0</v>
      </c>
      <c r="M56" s="66">
        <f>L56*ROUND(I56,2)</f>
        <v>0</v>
      </c>
    </row>
    <row r="57" spans="1:13" x14ac:dyDescent="0.2">
      <c r="A57" s="62" t="s">
        <v>261</v>
      </c>
      <c r="B57" s="62" t="s">
        <v>13</v>
      </c>
      <c r="C57" s="62" t="s">
        <v>231</v>
      </c>
      <c r="D57" s="62" t="s">
        <v>262</v>
      </c>
      <c r="E57" s="76">
        <v>2</v>
      </c>
      <c r="F57" s="76">
        <f>E57*VLOOKUP(B57,dagsoorttabel1,2,FALSE)</f>
        <v>0.4</v>
      </c>
      <c r="G57" s="77">
        <f>IF(AND(catpn_1_SDHB_1&gt;0,catpn_1_SDHV_51&gt;0),(dagenperjaar1*VLOOKUP(B57,dagsoorttabel1,2,FALSE))/(((dagenperjaar1*VLOOKUP(B57,dagsoorttabel1,2,FALSE))-catfd_1_SDHV_51)/catpn_1_SDHB_1+catfd_1_SDHV_51/catpn_1_SDHV_51),0)</f>
        <v>0</v>
      </c>
      <c r="H57" s="62" t="s">
        <v>105</v>
      </c>
      <c r="I57" s="66">
        <f>IF(AND(catpn_1_SDHB_1&gt;0,catpn_1_SDHV_51&gt;0),(cattf_1_SDHB_1*((dagenperjaar1*VLOOKUP(B57,dagsoorttabel1,2,FALSE))-catfd_1_SDHV_51)/catpn_1_SDHB_1+cattf_1_SDHV_51*catfd_1_SDHV_51/catpn_1_SDHV_51)/(((dagenperjaar1*VLOOKUP(B57,dagsoorttabel1,2,FALSE))-catfd_1_SDHV_51)/catpn_1_SDHB_1+catfd_1_SDHV_51/catpn_1_SDHV_51),0)</f>
        <v>0</v>
      </c>
      <c r="J57" s="76">
        <f>IF(OR(ISBLANK(G57),G57=0),0,F57/ROUND(G57,4))</f>
        <v>0</v>
      </c>
      <c r="K57" s="66">
        <f>ROUND(I57,2)*J57</f>
        <v>0</v>
      </c>
      <c r="L57" s="76">
        <f>J57*dagenperjaar1</f>
        <v>0</v>
      </c>
      <c r="M57" s="66">
        <f>L57*ROUND(I57,2)</f>
        <v>0</v>
      </c>
    </row>
    <row r="58" spans="1:13" x14ac:dyDescent="0.2">
      <c r="A58" s="62" t="s">
        <v>261</v>
      </c>
      <c r="B58" s="62" t="s">
        <v>12</v>
      </c>
      <c r="C58" s="62" t="s">
        <v>231</v>
      </c>
      <c r="D58" s="62" t="s">
        <v>262</v>
      </c>
      <c r="E58" s="76">
        <v>1.4</v>
      </c>
      <c r="F58" s="76">
        <f>E58*VLOOKUP(B58,dagsoorttabel1,2,FALSE)</f>
        <v>0.55999999999999994</v>
      </c>
      <c r="G58" s="77">
        <f>IF(AND(catpn_1_SDHB_1&gt;0,catpn_1_SDHV_51&gt;0),(dagenperjaar1*VLOOKUP(B58,dagsoorttabel1,2,FALSE))/(((dagenperjaar1*VLOOKUP(B58,dagsoorttabel1,2,FALSE))-catfd_1_SDHV_51)/catpn_1_SDHB_1+catfd_1_SDHV_51/catpn_1_SDHV_51),0)</f>
        <v>0</v>
      </c>
      <c r="H58" s="62" t="s">
        <v>105</v>
      </c>
      <c r="I58" s="66">
        <f>IF(AND(catpn_1_SDHB_1&gt;0,catpn_1_SDHV_51&gt;0),(cattf_1_SDHB_1*((dagenperjaar1*VLOOKUP(B58,dagsoorttabel1,2,FALSE))-catfd_1_SDHV_51)/catpn_1_SDHB_1+cattf_1_SDHV_51*catfd_1_SDHV_51/catpn_1_SDHV_51)/(((dagenperjaar1*VLOOKUP(B58,dagsoorttabel1,2,FALSE))-catfd_1_SDHV_51)/catpn_1_SDHB_1+catfd_1_SDHV_51/catpn_1_SDHV_51),0)</f>
        <v>0</v>
      </c>
      <c r="J58" s="76">
        <f>IF(OR(ISBLANK(G58),G58=0),0,F58/ROUND(G58,4))</f>
        <v>0</v>
      </c>
      <c r="K58" s="66">
        <f>ROUND(I58,2)*J58</f>
        <v>0</v>
      </c>
      <c r="L58" s="76">
        <f>J58*dagenperjaar1</f>
        <v>0</v>
      </c>
      <c r="M58" s="66">
        <f>L58*ROUND(I58,2)</f>
        <v>0</v>
      </c>
    </row>
    <row r="59" spans="1:13" x14ac:dyDescent="0.2">
      <c r="A59" s="62" t="s">
        <v>261</v>
      </c>
      <c r="B59" s="62" t="s">
        <v>11</v>
      </c>
      <c r="C59" s="62" t="s">
        <v>231</v>
      </c>
      <c r="D59" s="62" t="s">
        <v>262</v>
      </c>
      <c r="E59" s="76">
        <v>11.600000000000001</v>
      </c>
      <c r="F59" s="76">
        <f>E59*VLOOKUP(B59,dagsoorttabel1,2,FALSE)</f>
        <v>6.9600000000000009</v>
      </c>
      <c r="G59" s="77">
        <f>IF(AND(catpn_1_SDHB_1&gt;0,catpn_1_SDHV_51&gt;0),(dagenperjaar1*VLOOKUP(B59,dagsoorttabel1,2,FALSE))/(((dagenperjaar1*VLOOKUP(B59,dagsoorttabel1,2,FALSE))-catfd_1_SDHV_51)/catpn_1_SDHB_1+catfd_1_SDHV_51/catpn_1_SDHV_51),0)</f>
        <v>0</v>
      </c>
      <c r="H59" s="62" t="s">
        <v>105</v>
      </c>
      <c r="I59" s="66">
        <f>IF(AND(catpn_1_SDHB_1&gt;0,catpn_1_SDHV_51&gt;0),(cattf_1_SDHB_1*((dagenperjaar1*VLOOKUP(B59,dagsoorttabel1,2,FALSE))-catfd_1_SDHV_51)/catpn_1_SDHB_1+cattf_1_SDHV_51*catfd_1_SDHV_51/catpn_1_SDHV_51)/(((dagenperjaar1*VLOOKUP(B59,dagsoorttabel1,2,FALSE))-catfd_1_SDHV_51)/catpn_1_SDHB_1+catfd_1_SDHV_51/catpn_1_SDHV_51),0)</f>
        <v>0</v>
      </c>
      <c r="J59" s="76">
        <f>IF(OR(ISBLANK(G59),G59=0),0,F59/ROUND(G59,4))</f>
        <v>0</v>
      </c>
      <c r="K59" s="66">
        <f>ROUND(I59,2)*J59</f>
        <v>0</v>
      </c>
      <c r="L59" s="76">
        <f>J59*dagenperjaar1</f>
        <v>0</v>
      </c>
      <c r="M59" s="66">
        <f>L59*ROUND(I59,2)</f>
        <v>0</v>
      </c>
    </row>
    <row r="60" spans="1:13" x14ac:dyDescent="0.2">
      <c r="A60" s="62" t="s">
        <v>261</v>
      </c>
      <c r="B60" s="62" t="s">
        <v>9</v>
      </c>
      <c r="C60" s="62" t="s">
        <v>231</v>
      </c>
      <c r="D60" s="62" t="s">
        <v>262</v>
      </c>
      <c r="E60" s="76">
        <v>8.4</v>
      </c>
      <c r="F60" s="76">
        <f>E60*VLOOKUP(B60,dagsoorttabel1,2,FALSE)</f>
        <v>8.4</v>
      </c>
      <c r="G60" s="77">
        <f>IF(AND(catpn_1_SDHB_1&gt;0,catpn_1_SDHV_51&gt;0),(dagenperjaar1*VLOOKUP(B60,dagsoorttabel1,2,FALSE))/(((dagenperjaar1*VLOOKUP(B60,dagsoorttabel1,2,FALSE))-catfd_1_SDHV_51)/catpn_1_SDHB_1+catfd_1_SDHV_51/catpn_1_SDHV_51),0)</f>
        <v>0</v>
      </c>
      <c r="H60" s="62" t="s">
        <v>105</v>
      </c>
      <c r="I60" s="66">
        <f>IF(AND(catpn_1_SDHB_1&gt;0,catpn_1_SDHV_51&gt;0),(cattf_1_SDHB_1*((dagenperjaar1*VLOOKUP(B60,dagsoorttabel1,2,FALSE))-catfd_1_SDHV_51)/catpn_1_SDHB_1+cattf_1_SDHV_51*catfd_1_SDHV_51/catpn_1_SDHV_51)/(((dagenperjaar1*VLOOKUP(B60,dagsoorttabel1,2,FALSE))-catfd_1_SDHV_51)/catpn_1_SDHB_1+catfd_1_SDHV_51/catpn_1_SDHV_51),0)</f>
        <v>0</v>
      </c>
      <c r="J60" s="76">
        <f>IF(OR(ISBLANK(G60),G60=0),0,F60/ROUND(G60,4))</f>
        <v>0</v>
      </c>
      <c r="K60" s="66">
        <f>ROUND(I60,2)*J60</f>
        <v>0</v>
      </c>
      <c r="L60" s="76">
        <f>J60*dagenperjaar1</f>
        <v>0</v>
      </c>
      <c r="M60" s="66">
        <f>L60*ROUND(I60,2)</f>
        <v>0</v>
      </c>
    </row>
    <row r="61" spans="1:13" x14ac:dyDescent="0.2">
      <c r="A61" s="62" t="s">
        <v>263</v>
      </c>
      <c r="B61" s="62" t="s">
        <v>9</v>
      </c>
      <c r="C61" s="62" t="s">
        <v>231</v>
      </c>
      <c r="D61" s="62" t="s">
        <v>264</v>
      </c>
      <c r="E61" s="76">
        <v>5.4</v>
      </c>
      <c r="F61" s="76">
        <f>E61*VLOOKUP(B61,dagsoorttabel1,2,FALSE)</f>
        <v>5.4</v>
      </c>
      <c r="G61" s="77">
        <f>catpn_1_SDHB_1</f>
        <v>0</v>
      </c>
      <c r="H61" s="62" t="s">
        <v>105</v>
      </c>
      <c r="I61" s="66">
        <f>cattf_1_SDHB_1</f>
        <v>0</v>
      </c>
      <c r="J61" s="76">
        <f>IF(OR(ISBLANK(G61),G61=0),0,F61/ROUND(G61,4))</f>
        <v>0</v>
      </c>
      <c r="K61" s="66">
        <f>ROUND(I61,2)*J61</f>
        <v>0</v>
      </c>
      <c r="L61" s="76">
        <f>J61*dagenperjaar1</f>
        <v>0</v>
      </c>
      <c r="M61" s="66">
        <f>L61*ROUND(I61,2)</f>
        <v>0</v>
      </c>
    </row>
    <row r="62" spans="1:13" x14ac:dyDescent="0.2">
      <c r="A62" s="62" t="s">
        <v>265</v>
      </c>
      <c r="B62" s="62" t="s">
        <v>13</v>
      </c>
      <c r="C62" s="62" t="s">
        <v>231</v>
      </c>
      <c r="D62" s="62" t="s">
        <v>266</v>
      </c>
      <c r="E62" s="76">
        <v>31.1</v>
      </c>
      <c r="F62" s="76">
        <f>E62*VLOOKUP(B62,dagsoorttabel1,2,FALSE)</f>
        <v>6.2200000000000006</v>
      </c>
      <c r="G62" s="77">
        <f>IF(AND(catpn_1_SKHB_1&gt;0,catpn_1_SKHV_51&gt;0),(dagenperjaar1*VLOOKUP(B62,dagsoorttabel1,2,FALSE))/(((dagenperjaar1*VLOOKUP(B62,dagsoorttabel1,2,FALSE))-catfd_1_SKHV_51)/catpn_1_SKHB_1+catfd_1_SKHV_51/catpn_1_SKHV_51),0)</f>
        <v>0</v>
      </c>
      <c r="H62" s="62" t="s">
        <v>105</v>
      </c>
      <c r="I62" s="66">
        <f>IF(AND(catpn_1_SKHB_1&gt;0,catpn_1_SKHV_51&gt;0),(cattf_1_SKHB_1*((dagenperjaar1*VLOOKUP(B62,dagsoorttabel1,2,FALSE))-catfd_1_SKHV_51)/catpn_1_SKHB_1+cattf_1_SKHV_51*catfd_1_SKHV_51/catpn_1_SKHV_51)/(((dagenperjaar1*VLOOKUP(B62,dagsoorttabel1,2,FALSE))-catfd_1_SKHV_51)/catpn_1_SKHB_1+catfd_1_SKHV_51/catpn_1_SKHV_51),0)</f>
        <v>0</v>
      </c>
      <c r="J62" s="76">
        <f>IF(OR(ISBLANK(G62),G62=0),0,F62/ROUND(G62,4))</f>
        <v>0</v>
      </c>
      <c r="K62" s="66">
        <f>ROUND(I62,2)*J62</f>
        <v>0</v>
      </c>
      <c r="L62" s="76">
        <f>J62*dagenperjaar1</f>
        <v>0</v>
      </c>
      <c r="M62" s="66">
        <f>L62*ROUND(I62,2)</f>
        <v>0</v>
      </c>
    </row>
    <row r="63" spans="1:13" x14ac:dyDescent="0.2">
      <c r="A63" s="62" t="s">
        <v>265</v>
      </c>
      <c r="B63" s="62" t="s">
        <v>14</v>
      </c>
      <c r="C63" s="62" t="s">
        <v>231</v>
      </c>
      <c r="D63" s="62" t="s">
        <v>266</v>
      </c>
      <c r="E63" s="76">
        <v>5</v>
      </c>
      <c r="F63" s="76">
        <f>E63*VLOOKUP(B63,dagsoorttabel1,2,FALSE)</f>
        <v>0.50980392156862742</v>
      </c>
      <c r="G63" s="77">
        <f>catpn_1_SKHV_51</f>
        <v>0</v>
      </c>
      <c r="H63" s="62" t="s">
        <v>105</v>
      </c>
      <c r="I63" s="66">
        <f>cattf_1_SKHV_51</f>
        <v>0</v>
      </c>
      <c r="J63" s="76">
        <f>IF(OR(ISBLANK(G63),G63=0),0,F63/ROUND(G63,4))</f>
        <v>0</v>
      </c>
      <c r="K63" s="66">
        <f>ROUND(I63,2)*J63</f>
        <v>0</v>
      </c>
      <c r="L63" s="76">
        <f>J63*dagenperjaar1</f>
        <v>0</v>
      </c>
      <c r="M63" s="66">
        <f>L63*ROUND(I63,2)</f>
        <v>0</v>
      </c>
    </row>
    <row r="64" spans="1:13" x14ac:dyDescent="0.2">
      <c r="A64" s="62" t="s">
        <v>265</v>
      </c>
      <c r="B64" s="62" t="s">
        <v>12</v>
      </c>
      <c r="C64" s="62" t="s">
        <v>231</v>
      </c>
      <c r="D64" s="62" t="s">
        <v>266</v>
      </c>
      <c r="E64" s="76">
        <v>43.1</v>
      </c>
      <c r="F64" s="76">
        <f>E64*VLOOKUP(B64,dagsoorttabel1,2,FALSE)</f>
        <v>17.240000000000002</v>
      </c>
      <c r="G64" s="77">
        <f>IF(AND(catpn_1_SKHB_1&gt;0,catpn_1_SKHV_51&gt;0),(dagenperjaar1*VLOOKUP(B64,dagsoorttabel1,2,FALSE))/(((dagenperjaar1*VLOOKUP(B64,dagsoorttabel1,2,FALSE))-catfd_1_SKHV_51)/catpn_1_SKHB_1+catfd_1_SKHV_51/catpn_1_SKHV_51),0)</f>
        <v>0</v>
      </c>
      <c r="H64" s="62" t="s">
        <v>105</v>
      </c>
      <c r="I64" s="66">
        <f>IF(AND(catpn_1_SKHB_1&gt;0,catpn_1_SKHV_51&gt;0),(cattf_1_SKHB_1*((dagenperjaar1*VLOOKUP(B64,dagsoorttabel1,2,FALSE))-catfd_1_SKHV_51)/catpn_1_SKHB_1+cattf_1_SKHV_51*catfd_1_SKHV_51/catpn_1_SKHV_51)/(((dagenperjaar1*VLOOKUP(B64,dagsoorttabel1,2,FALSE))-catfd_1_SKHV_51)/catpn_1_SKHB_1+catfd_1_SKHV_51/catpn_1_SKHV_51),0)</f>
        <v>0</v>
      </c>
      <c r="J64" s="76">
        <f>IF(OR(ISBLANK(G64),G64=0),0,F64/ROUND(G64,4))</f>
        <v>0</v>
      </c>
      <c r="K64" s="66">
        <f>ROUND(I64,2)*J64</f>
        <v>0</v>
      </c>
      <c r="L64" s="76">
        <f>J64*dagenperjaar1</f>
        <v>0</v>
      </c>
      <c r="M64" s="66">
        <f>L64*ROUND(I64,2)</f>
        <v>0</v>
      </c>
    </row>
    <row r="65" spans="1:13" x14ac:dyDescent="0.2">
      <c r="A65" s="62" t="s">
        <v>265</v>
      </c>
      <c r="B65" s="62" t="s">
        <v>11</v>
      </c>
      <c r="C65" s="62" t="s">
        <v>231</v>
      </c>
      <c r="D65" s="62" t="s">
        <v>266</v>
      </c>
      <c r="E65" s="76">
        <v>151</v>
      </c>
      <c r="F65" s="76">
        <f>E65*VLOOKUP(B65,dagsoorttabel1,2,FALSE)</f>
        <v>90.6</v>
      </c>
      <c r="G65" s="77">
        <f>IF(AND(catpn_1_SKHB_1&gt;0,catpn_1_SKHV_51&gt;0),(dagenperjaar1*VLOOKUP(B65,dagsoorttabel1,2,FALSE))/(((dagenperjaar1*VLOOKUP(B65,dagsoorttabel1,2,FALSE))-catfd_1_SKHV_51)/catpn_1_SKHB_1+catfd_1_SKHV_51/catpn_1_SKHV_51),0)</f>
        <v>0</v>
      </c>
      <c r="H65" s="62" t="s">
        <v>105</v>
      </c>
      <c r="I65" s="66">
        <f>IF(AND(catpn_1_SKHB_1&gt;0,catpn_1_SKHV_51&gt;0),(cattf_1_SKHB_1*((dagenperjaar1*VLOOKUP(B65,dagsoorttabel1,2,FALSE))-catfd_1_SKHV_51)/catpn_1_SKHB_1+cattf_1_SKHV_51*catfd_1_SKHV_51/catpn_1_SKHV_51)/(((dagenperjaar1*VLOOKUP(B65,dagsoorttabel1,2,FALSE))-catfd_1_SKHV_51)/catpn_1_SKHB_1+catfd_1_SKHV_51/catpn_1_SKHV_51),0)</f>
        <v>0</v>
      </c>
      <c r="J65" s="76">
        <f>IF(OR(ISBLANK(G65),G65=0),0,F65/ROUND(G65,4))</f>
        <v>0</v>
      </c>
      <c r="K65" s="66">
        <f>ROUND(I65,2)*J65</f>
        <v>0</v>
      </c>
      <c r="L65" s="76">
        <f>J65*dagenperjaar1</f>
        <v>0</v>
      </c>
      <c r="M65" s="66">
        <f>L65*ROUND(I65,2)</f>
        <v>0</v>
      </c>
    </row>
    <row r="66" spans="1:13" x14ac:dyDescent="0.2">
      <c r="A66" s="62" t="s">
        <v>265</v>
      </c>
      <c r="B66" s="62" t="s">
        <v>9</v>
      </c>
      <c r="C66" s="62" t="s">
        <v>231</v>
      </c>
      <c r="D66" s="62" t="s">
        <v>266</v>
      </c>
      <c r="E66" s="76">
        <v>188</v>
      </c>
      <c r="F66" s="76">
        <f>E66*VLOOKUP(B66,dagsoorttabel1,2,FALSE)</f>
        <v>188</v>
      </c>
      <c r="G66" s="77">
        <f>IF(AND(catpn_1_SKHB_1&gt;0,catpn_1_SKHV_51&gt;0),(dagenperjaar1*VLOOKUP(B66,dagsoorttabel1,2,FALSE))/(((dagenperjaar1*VLOOKUP(B66,dagsoorttabel1,2,FALSE))-catfd_1_SKHV_51)/catpn_1_SKHB_1+catfd_1_SKHV_51/catpn_1_SKHV_51),0)</f>
        <v>0</v>
      </c>
      <c r="H66" s="62" t="s">
        <v>105</v>
      </c>
      <c r="I66" s="66">
        <f>IF(AND(catpn_1_SKHB_1&gt;0,catpn_1_SKHV_51&gt;0),(cattf_1_SKHB_1*((dagenperjaar1*VLOOKUP(B66,dagsoorttabel1,2,FALSE))-catfd_1_SKHV_51)/catpn_1_SKHB_1+cattf_1_SKHV_51*catfd_1_SKHV_51/catpn_1_SKHV_51)/(((dagenperjaar1*VLOOKUP(B66,dagsoorttabel1,2,FALSE))-catfd_1_SKHV_51)/catpn_1_SKHB_1+catfd_1_SKHV_51/catpn_1_SKHV_51),0)</f>
        <v>0</v>
      </c>
      <c r="J66" s="76">
        <f>IF(OR(ISBLANK(G66),G66=0),0,F66/ROUND(G66,4))</f>
        <v>0</v>
      </c>
      <c r="K66" s="66">
        <f>ROUND(I66,2)*J66</f>
        <v>0</v>
      </c>
      <c r="L66" s="76">
        <f>J66*dagenperjaar1</f>
        <v>0</v>
      </c>
      <c r="M66" s="66">
        <f>L66*ROUND(I66,2)</f>
        <v>0</v>
      </c>
    </row>
    <row r="67" spans="1:13" x14ac:dyDescent="0.2">
      <c r="A67" s="62" t="s">
        <v>267</v>
      </c>
      <c r="B67" s="62" t="s">
        <v>15</v>
      </c>
      <c r="C67" s="62" t="s">
        <v>231</v>
      </c>
      <c r="D67" s="62" t="s">
        <v>268</v>
      </c>
      <c r="E67" s="76">
        <v>5</v>
      </c>
      <c r="F67" s="76">
        <f>E67*VLOOKUP(B67,dagsoorttabel1,2,FALSE)</f>
        <v>0.23529411764705882</v>
      </c>
      <c r="G67" s="77">
        <f>catpn_1_STHV_12</f>
        <v>0</v>
      </c>
      <c r="H67" s="62" t="s">
        <v>105</v>
      </c>
      <c r="I67" s="66">
        <f>cattf_1_STHV_12</f>
        <v>0</v>
      </c>
      <c r="J67" s="76">
        <f>IF(OR(ISBLANK(G67),G67=0),0,F67/ROUND(G67,4))</f>
        <v>0</v>
      </c>
      <c r="K67" s="66">
        <f>ROUND(I67,2)*J67</f>
        <v>0</v>
      </c>
      <c r="L67" s="76">
        <f>J67*dagenperjaar1</f>
        <v>0</v>
      </c>
      <c r="M67" s="66">
        <f>L67*ROUND(I67,2)</f>
        <v>0</v>
      </c>
    </row>
    <row r="68" spans="1:13" x14ac:dyDescent="0.2">
      <c r="A68" s="62" t="s">
        <v>267</v>
      </c>
      <c r="B68" s="62" t="s">
        <v>13</v>
      </c>
      <c r="C68" s="62" t="s">
        <v>231</v>
      </c>
      <c r="D68" s="62" t="s">
        <v>268</v>
      </c>
      <c r="E68" s="76">
        <v>40</v>
      </c>
      <c r="F68" s="76">
        <f>E68*VLOOKUP(B68,dagsoorttabel1,2,FALSE)</f>
        <v>8</v>
      </c>
      <c r="G68" s="77">
        <f>IF(AND(catpn_1_STHB_1&gt;0,catpn_1_STHV_51&gt;0),(dagenperjaar1*VLOOKUP(B68,dagsoorttabel1,2,FALSE))/(((dagenperjaar1*VLOOKUP(B68,dagsoorttabel1,2,FALSE))-catfd_1_STHV_51)/catpn_1_STHB_1+catfd_1_STHV_51/catpn_1_STHV_51),0)</f>
        <v>0</v>
      </c>
      <c r="H68" s="62" t="s">
        <v>105</v>
      </c>
      <c r="I68" s="66">
        <f>IF(AND(catpn_1_STHB_1&gt;0,catpn_1_STHV_51&gt;0),(cattf_1_STHB_1*((dagenperjaar1*VLOOKUP(B68,dagsoorttabel1,2,FALSE))-catfd_1_STHV_51)/catpn_1_STHB_1+cattf_1_STHV_51*catfd_1_STHV_51/catpn_1_STHV_51)/(((dagenperjaar1*VLOOKUP(B68,dagsoorttabel1,2,FALSE))-catfd_1_STHV_51)/catpn_1_STHB_1+catfd_1_STHV_51/catpn_1_STHV_51),0)</f>
        <v>0</v>
      </c>
      <c r="J68" s="76">
        <f>IF(OR(ISBLANK(G68),G68=0),0,F68/ROUND(G68,4))</f>
        <v>0</v>
      </c>
      <c r="K68" s="66">
        <f>ROUND(I68,2)*J68</f>
        <v>0</v>
      </c>
      <c r="L68" s="76">
        <f>J68*dagenperjaar1</f>
        <v>0</v>
      </c>
      <c r="M68" s="66">
        <f>L68*ROUND(I68,2)</f>
        <v>0</v>
      </c>
    </row>
    <row r="69" spans="1:13" x14ac:dyDescent="0.2">
      <c r="A69" s="62" t="s">
        <v>267</v>
      </c>
      <c r="B69" s="62" t="s">
        <v>14</v>
      </c>
      <c r="C69" s="62" t="s">
        <v>231</v>
      </c>
      <c r="D69" s="62" t="s">
        <v>268</v>
      </c>
      <c r="E69" s="76">
        <v>7.04</v>
      </c>
      <c r="F69" s="76">
        <f>E69*VLOOKUP(B69,dagsoorttabel1,2,FALSE)</f>
        <v>0.71780392156862749</v>
      </c>
      <c r="G69" s="77">
        <f>catpn_1_STHV_26</f>
        <v>0</v>
      </c>
      <c r="H69" s="62" t="s">
        <v>105</v>
      </c>
      <c r="I69" s="66">
        <f>cattf_1_STHV_26</f>
        <v>0</v>
      </c>
      <c r="J69" s="76">
        <f>IF(OR(ISBLANK(G69),G69=0),0,F69/ROUND(G69,4))</f>
        <v>0</v>
      </c>
      <c r="K69" s="66">
        <f>ROUND(I69,2)*J69</f>
        <v>0</v>
      </c>
      <c r="L69" s="76">
        <f>J69*dagenperjaar1</f>
        <v>0</v>
      </c>
      <c r="M69" s="66">
        <f>L69*ROUND(I69,2)</f>
        <v>0</v>
      </c>
    </row>
    <row r="70" spans="1:13" x14ac:dyDescent="0.2">
      <c r="A70" s="62" t="s">
        <v>267</v>
      </c>
      <c r="B70" s="62" t="s">
        <v>22</v>
      </c>
      <c r="C70" s="62" t="s">
        <v>231</v>
      </c>
      <c r="D70" s="62" t="s">
        <v>268</v>
      </c>
      <c r="E70" s="76">
        <v>49.29999999999999</v>
      </c>
      <c r="F70" s="76">
        <f>E70*VLOOKUP(B70,dagsoorttabel1,2,FALSE)</f>
        <v>0.3866666666666666</v>
      </c>
      <c r="G70" s="77">
        <f>catpn_1_STHV_2</f>
        <v>0</v>
      </c>
      <c r="H70" s="62" t="s">
        <v>105</v>
      </c>
      <c r="I70" s="66">
        <f>cattf_1_STHV_2</f>
        <v>0</v>
      </c>
      <c r="J70" s="76">
        <f>IF(OR(ISBLANK(G70),G70=0),0,F70/ROUND(G70,4))</f>
        <v>0</v>
      </c>
      <c r="K70" s="66">
        <f>ROUND(I70,2)*J70</f>
        <v>0</v>
      </c>
      <c r="L70" s="76">
        <f>J70*dagenperjaar1</f>
        <v>0</v>
      </c>
      <c r="M70" s="66">
        <f>L70*ROUND(I70,2)</f>
        <v>0</v>
      </c>
    </row>
    <row r="71" spans="1:13" x14ac:dyDescent="0.2">
      <c r="A71" s="62" t="s">
        <v>267</v>
      </c>
      <c r="B71" s="62" t="s">
        <v>12</v>
      </c>
      <c r="C71" s="62" t="s">
        <v>231</v>
      </c>
      <c r="D71" s="62" t="s">
        <v>268</v>
      </c>
      <c r="E71" s="76">
        <v>78.22</v>
      </c>
      <c r="F71" s="76">
        <f>E71*VLOOKUP(B71,dagsoorttabel1,2,FALSE)</f>
        <v>31.288</v>
      </c>
      <c r="G71" s="77">
        <f>IF(AND(catpn_1_STHB_1&gt;0,catpn_1_STHV_51&gt;0),(dagenperjaar1*VLOOKUP(B71,dagsoorttabel1,2,FALSE))/(((dagenperjaar1*VLOOKUP(B71,dagsoorttabel1,2,FALSE))-catfd_1_STHV_51)/catpn_1_STHB_1+catfd_1_STHV_51/catpn_1_STHV_51),0)</f>
        <v>0</v>
      </c>
      <c r="H71" s="62" t="s">
        <v>105</v>
      </c>
      <c r="I71" s="66">
        <f>IF(AND(catpn_1_STHB_1&gt;0,catpn_1_STHV_51&gt;0),(cattf_1_STHB_1*((dagenperjaar1*VLOOKUP(B71,dagsoorttabel1,2,FALSE))-catfd_1_STHV_51)/catpn_1_STHB_1+cattf_1_STHV_51*catfd_1_STHV_51/catpn_1_STHV_51)/(((dagenperjaar1*VLOOKUP(B71,dagsoorttabel1,2,FALSE))-catfd_1_STHV_51)/catpn_1_STHB_1+catfd_1_STHV_51/catpn_1_STHV_51),0)</f>
        <v>0</v>
      </c>
      <c r="J71" s="76">
        <f>IF(OR(ISBLANK(G71),G71=0),0,F71/ROUND(G71,4))</f>
        <v>0</v>
      </c>
      <c r="K71" s="66">
        <f>ROUND(I71,2)*J71</f>
        <v>0</v>
      </c>
      <c r="L71" s="76">
        <f>J71*dagenperjaar1</f>
        <v>0</v>
      </c>
      <c r="M71" s="66">
        <f>L71*ROUND(I71,2)</f>
        <v>0</v>
      </c>
    </row>
    <row r="72" spans="1:13" x14ac:dyDescent="0.2">
      <c r="A72" s="62" t="s">
        <v>267</v>
      </c>
      <c r="B72" s="62" t="s">
        <v>11</v>
      </c>
      <c r="C72" s="62" t="s">
        <v>231</v>
      </c>
      <c r="D72" s="62" t="s">
        <v>268</v>
      </c>
      <c r="E72" s="76">
        <v>121.49000000000001</v>
      </c>
      <c r="F72" s="76">
        <f>E72*VLOOKUP(B72,dagsoorttabel1,2,FALSE)</f>
        <v>72.894000000000005</v>
      </c>
      <c r="G72" s="77">
        <f>IF(AND(catpn_1_STHB_1&gt;0,catpn_1_STHV_51&gt;0),(dagenperjaar1*VLOOKUP(B72,dagsoorttabel1,2,FALSE))/(((dagenperjaar1*VLOOKUP(B72,dagsoorttabel1,2,FALSE))-catfd_1_STHV_51)/catpn_1_STHB_1+catfd_1_STHV_51/catpn_1_STHV_51),0)</f>
        <v>0</v>
      </c>
      <c r="H72" s="62" t="s">
        <v>105</v>
      </c>
      <c r="I72" s="66">
        <f>IF(AND(catpn_1_STHB_1&gt;0,catpn_1_STHV_51&gt;0),(cattf_1_STHB_1*((dagenperjaar1*VLOOKUP(B72,dagsoorttabel1,2,FALSE))-catfd_1_STHV_51)/catpn_1_STHB_1+cattf_1_STHV_51*catfd_1_STHV_51/catpn_1_STHV_51)/(((dagenperjaar1*VLOOKUP(B72,dagsoorttabel1,2,FALSE))-catfd_1_STHV_51)/catpn_1_STHB_1+catfd_1_STHV_51/catpn_1_STHV_51),0)</f>
        <v>0</v>
      </c>
      <c r="J72" s="76">
        <f>IF(OR(ISBLANK(G72),G72=0),0,F72/ROUND(G72,4))</f>
        <v>0</v>
      </c>
      <c r="K72" s="66">
        <f>ROUND(I72,2)*J72</f>
        <v>0</v>
      </c>
      <c r="L72" s="76">
        <f>J72*dagenperjaar1</f>
        <v>0</v>
      </c>
      <c r="M72" s="66">
        <f>L72*ROUND(I72,2)</f>
        <v>0</v>
      </c>
    </row>
    <row r="73" spans="1:13" x14ac:dyDescent="0.2">
      <c r="A73" s="62" t="s">
        <v>267</v>
      </c>
      <c r="B73" s="62" t="s">
        <v>20</v>
      </c>
      <c r="C73" s="62" t="s">
        <v>231</v>
      </c>
      <c r="D73" s="62" t="s">
        <v>268</v>
      </c>
      <c r="E73" s="76">
        <v>5.7</v>
      </c>
      <c r="F73" s="76">
        <f>E73*VLOOKUP(B73,dagsoorttabel1,2,FALSE)</f>
        <v>8.9411764705882357E-2</v>
      </c>
      <c r="G73" s="77">
        <f>catpn_1_STHV_4</f>
        <v>0</v>
      </c>
      <c r="H73" s="62" t="s">
        <v>105</v>
      </c>
      <c r="I73" s="66">
        <f>cattf_1_STHV_4</f>
        <v>0</v>
      </c>
      <c r="J73" s="76">
        <f>IF(OR(ISBLANK(G73),G73=0),0,F73/ROUND(G73,4))</f>
        <v>0</v>
      </c>
      <c r="K73" s="66">
        <f>ROUND(I73,2)*J73</f>
        <v>0</v>
      </c>
      <c r="L73" s="76">
        <f>J73*dagenperjaar1</f>
        <v>0</v>
      </c>
      <c r="M73" s="66">
        <f>L73*ROUND(I73,2)</f>
        <v>0</v>
      </c>
    </row>
    <row r="74" spans="1:13" x14ac:dyDescent="0.2">
      <c r="A74" s="62" t="s">
        <v>267</v>
      </c>
      <c r="B74" s="62" t="s">
        <v>10</v>
      </c>
      <c r="C74" s="62" t="s">
        <v>231</v>
      </c>
      <c r="D74" s="62" t="s">
        <v>268</v>
      </c>
      <c r="E74" s="76">
        <v>68.240000000000009</v>
      </c>
      <c r="F74" s="76">
        <f>E74*VLOOKUP(B74,dagsoorttabel1,2,FALSE)</f>
        <v>54.592000000000013</v>
      </c>
      <c r="G74" s="77">
        <f>IF(AND(catpn_1_STHB_1&gt;0,catpn_1_STHV_51&gt;0),(dagenperjaar1*VLOOKUP(B74,dagsoorttabel1,2,FALSE))/(((dagenperjaar1*VLOOKUP(B74,dagsoorttabel1,2,FALSE))-catfd_1_STHV_51)/catpn_1_STHB_1+catfd_1_STHV_51/catpn_1_STHV_51),0)</f>
        <v>0</v>
      </c>
      <c r="H74" s="62" t="s">
        <v>105</v>
      </c>
      <c r="I74" s="66">
        <f>IF(AND(catpn_1_STHB_1&gt;0,catpn_1_STHV_51&gt;0),(cattf_1_STHB_1*((dagenperjaar1*VLOOKUP(B74,dagsoorttabel1,2,FALSE))-catfd_1_STHV_51)/catpn_1_STHB_1+cattf_1_STHV_51*catfd_1_STHV_51/catpn_1_STHV_51)/(((dagenperjaar1*VLOOKUP(B74,dagsoorttabel1,2,FALSE))-catfd_1_STHV_51)/catpn_1_STHB_1+catfd_1_STHV_51/catpn_1_STHV_51),0)</f>
        <v>0</v>
      </c>
      <c r="J74" s="76">
        <f>IF(OR(ISBLANK(G74),G74=0),0,F74/ROUND(G74,4))</f>
        <v>0</v>
      </c>
      <c r="K74" s="66">
        <f>ROUND(I74,2)*J74</f>
        <v>0</v>
      </c>
      <c r="L74" s="76">
        <f>J74*dagenperjaar1</f>
        <v>0</v>
      </c>
      <c r="M74" s="66">
        <f>L74*ROUND(I74,2)</f>
        <v>0</v>
      </c>
    </row>
    <row r="75" spans="1:13" x14ac:dyDescent="0.2">
      <c r="A75" s="62" t="s">
        <v>267</v>
      </c>
      <c r="B75" s="62" t="s">
        <v>9</v>
      </c>
      <c r="C75" s="62" t="s">
        <v>231</v>
      </c>
      <c r="D75" s="62" t="s">
        <v>268</v>
      </c>
      <c r="E75" s="76">
        <v>146.80000000000001</v>
      </c>
      <c r="F75" s="76">
        <f>E75*VLOOKUP(B75,dagsoorttabel1,2,FALSE)</f>
        <v>146.80000000000001</v>
      </c>
      <c r="G75" s="77">
        <f>IF(AND(catpn_1_STHB_1&gt;0,catpn_1_STHV_51&gt;0),(dagenperjaar1*VLOOKUP(B75,dagsoorttabel1,2,FALSE))/(((dagenperjaar1*VLOOKUP(B75,dagsoorttabel1,2,FALSE))-catfd_1_STHV_51)/catpn_1_STHB_1+catfd_1_STHV_51/catpn_1_STHV_51),0)</f>
        <v>0</v>
      </c>
      <c r="H75" s="62" t="s">
        <v>105</v>
      </c>
      <c r="I75" s="66">
        <f>IF(AND(catpn_1_STHB_1&gt;0,catpn_1_STHV_51&gt;0),(cattf_1_STHB_1*((dagenperjaar1*VLOOKUP(B75,dagsoorttabel1,2,FALSE))-catfd_1_STHV_51)/catpn_1_STHB_1+cattf_1_STHV_51*catfd_1_STHV_51/catpn_1_STHV_51)/(((dagenperjaar1*VLOOKUP(B75,dagsoorttabel1,2,FALSE))-catfd_1_STHV_51)/catpn_1_STHB_1+catfd_1_STHV_51/catpn_1_STHV_51),0)</f>
        <v>0</v>
      </c>
      <c r="J75" s="76">
        <f>IF(OR(ISBLANK(G75),G75=0),0,F75/ROUND(G75,4))</f>
        <v>0</v>
      </c>
      <c r="K75" s="66">
        <f>ROUND(I75,2)*J75</f>
        <v>0</v>
      </c>
      <c r="L75" s="76">
        <f>J75*dagenperjaar1</f>
        <v>0</v>
      </c>
      <c r="M75" s="66">
        <f>L75*ROUND(I75,2)</f>
        <v>0</v>
      </c>
    </row>
    <row r="76" spans="1:13" x14ac:dyDescent="0.2">
      <c r="A76" s="62" t="s">
        <v>269</v>
      </c>
      <c r="B76" s="62" t="s">
        <v>10</v>
      </c>
      <c r="C76" s="62" t="s">
        <v>231</v>
      </c>
      <c r="D76" s="62" t="s">
        <v>270</v>
      </c>
      <c r="E76" s="76">
        <v>27.4</v>
      </c>
      <c r="F76" s="76">
        <f>E76*VLOOKUP(B76,dagsoorttabel1,2,FALSE)</f>
        <v>21.92</v>
      </c>
      <c r="G76" s="77">
        <f>catpn_1_STHB_1</f>
        <v>0</v>
      </c>
      <c r="H76" s="62" t="s">
        <v>105</v>
      </c>
      <c r="I76" s="66">
        <f>cattf_1_STHB_1</f>
        <v>0</v>
      </c>
      <c r="J76" s="76">
        <f>IF(OR(ISBLANK(G76),G76=0),0,F76/ROUND(G76,4))</f>
        <v>0</v>
      </c>
      <c r="K76" s="66">
        <f>ROUND(I76,2)*J76</f>
        <v>0</v>
      </c>
      <c r="L76" s="76">
        <f>J76*dagenperjaar1</f>
        <v>0</v>
      </c>
      <c r="M76" s="66">
        <f>L76*ROUND(I76,2)</f>
        <v>0</v>
      </c>
    </row>
    <row r="77" spans="1:13" x14ac:dyDescent="0.2">
      <c r="A77" s="62" t="s">
        <v>269</v>
      </c>
      <c r="B77" s="62" t="s">
        <v>9</v>
      </c>
      <c r="C77" s="62" t="s">
        <v>231</v>
      </c>
      <c r="D77" s="62" t="s">
        <v>270</v>
      </c>
      <c r="E77" s="76">
        <v>85.8</v>
      </c>
      <c r="F77" s="76">
        <f>E77*VLOOKUP(B77,dagsoorttabel1,2,FALSE)</f>
        <v>85.8</v>
      </c>
      <c r="G77" s="77">
        <f>catpn_1_STHB_1</f>
        <v>0</v>
      </c>
      <c r="H77" s="62" t="s">
        <v>105</v>
      </c>
      <c r="I77" s="66">
        <f>cattf_1_STHB_1</f>
        <v>0</v>
      </c>
      <c r="J77" s="76">
        <f>IF(OR(ISBLANK(G77),G77=0),0,F77/ROUND(G77,4))</f>
        <v>0</v>
      </c>
      <c r="K77" s="66">
        <f>ROUND(I77,2)*J77</f>
        <v>0</v>
      </c>
      <c r="L77" s="76">
        <f>J77*dagenperjaar1</f>
        <v>0</v>
      </c>
      <c r="M77" s="66">
        <f>L77*ROUND(I77,2)</f>
        <v>0</v>
      </c>
    </row>
    <row r="78" spans="1:13" x14ac:dyDescent="0.2">
      <c r="A78" s="62" t="s">
        <v>271</v>
      </c>
      <c r="B78" s="62" t="s">
        <v>13</v>
      </c>
      <c r="C78" s="62" t="s">
        <v>231</v>
      </c>
      <c r="D78" s="62" t="s">
        <v>272</v>
      </c>
      <c r="E78" s="76">
        <v>9.5</v>
      </c>
      <c r="F78" s="76">
        <f>E78*VLOOKUP(B78,dagsoorttabel1,2,FALSE)</f>
        <v>1.9000000000000001</v>
      </c>
      <c r="G78" s="77">
        <f>IF(AND(catpn_1_SWHB_1&gt;0,catpn_1_SWHV_51&gt;0),(dagenperjaar1*VLOOKUP(B78,dagsoorttabel1,2,FALSE))/(((dagenperjaar1*VLOOKUP(B78,dagsoorttabel1,2,FALSE))-catfd_1_SWHV_51)/catpn_1_SWHB_1+catfd_1_SWHV_51/catpn_1_SWHV_51),0)</f>
        <v>0</v>
      </c>
      <c r="H78" s="62" t="s">
        <v>105</v>
      </c>
      <c r="I78" s="66">
        <f>IF(AND(catpn_1_SWHB_1&gt;0,catpn_1_SWHV_51&gt;0),(cattf_1_SWHB_1*((dagenperjaar1*VLOOKUP(B78,dagsoorttabel1,2,FALSE))-catfd_1_SWHV_51)/catpn_1_SWHB_1+cattf_1_SWHV_51*catfd_1_SWHV_51/catpn_1_SWHV_51)/(((dagenperjaar1*VLOOKUP(B78,dagsoorttabel1,2,FALSE))-catfd_1_SWHV_51)/catpn_1_SWHB_1+catfd_1_SWHV_51/catpn_1_SWHV_51),0)</f>
        <v>0</v>
      </c>
      <c r="J78" s="76">
        <f>IF(OR(ISBLANK(G78),G78=0),0,F78/ROUND(G78,4))</f>
        <v>0</v>
      </c>
      <c r="K78" s="66">
        <f>ROUND(I78,2)*J78</f>
        <v>0</v>
      </c>
      <c r="L78" s="76">
        <f>J78*dagenperjaar1</f>
        <v>0</v>
      </c>
      <c r="M78" s="66">
        <f>L78*ROUND(I78,2)</f>
        <v>0</v>
      </c>
    </row>
    <row r="79" spans="1:13" x14ac:dyDescent="0.2">
      <c r="A79" s="62" t="s">
        <v>271</v>
      </c>
      <c r="B79" s="62" t="s">
        <v>12</v>
      </c>
      <c r="C79" s="62" t="s">
        <v>231</v>
      </c>
      <c r="D79" s="62" t="s">
        <v>272</v>
      </c>
      <c r="E79" s="76">
        <v>4</v>
      </c>
      <c r="F79" s="76">
        <f>E79*VLOOKUP(B79,dagsoorttabel1,2,FALSE)</f>
        <v>1.6</v>
      </c>
      <c r="G79" s="77">
        <f>IF(AND(catpn_1_SWHB_1&gt;0,catpn_1_SWHV_51&gt;0),(dagenperjaar1*VLOOKUP(B79,dagsoorttabel1,2,FALSE))/(((dagenperjaar1*VLOOKUP(B79,dagsoorttabel1,2,FALSE))-catfd_1_SWHV_51)/catpn_1_SWHB_1+catfd_1_SWHV_51/catpn_1_SWHV_51),0)</f>
        <v>0</v>
      </c>
      <c r="H79" s="62" t="s">
        <v>105</v>
      </c>
      <c r="I79" s="66">
        <f>IF(AND(catpn_1_SWHB_1&gt;0,catpn_1_SWHV_51&gt;0),(cattf_1_SWHB_1*((dagenperjaar1*VLOOKUP(B79,dagsoorttabel1,2,FALSE))-catfd_1_SWHV_51)/catpn_1_SWHB_1+cattf_1_SWHV_51*catfd_1_SWHV_51/catpn_1_SWHV_51)/(((dagenperjaar1*VLOOKUP(B79,dagsoorttabel1,2,FALSE))-catfd_1_SWHV_51)/catpn_1_SWHB_1+catfd_1_SWHV_51/catpn_1_SWHV_51),0)</f>
        <v>0</v>
      </c>
      <c r="J79" s="76">
        <f>IF(OR(ISBLANK(G79),G79=0),0,F79/ROUND(G79,4))</f>
        <v>0</v>
      </c>
      <c r="K79" s="66">
        <f>ROUND(I79,2)*J79</f>
        <v>0</v>
      </c>
      <c r="L79" s="76">
        <f>J79*dagenperjaar1</f>
        <v>0</v>
      </c>
      <c r="M79" s="66">
        <f>L79*ROUND(I79,2)</f>
        <v>0</v>
      </c>
    </row>
    <row r="80" spans="1:13" x14ac:dyDescent="0.2">
      <c r="A80" s="62" t="s">
        <v>273</v>
      </c>
      <c r="B80" s="62" t="s">
        <v>13</v>
      </c>
      <c r="C80" s="62" t="s">
        <v>231</v>
      </c>
      <c r="D80" s="62" t="s">
        <v>274</v>
      </c>
      <c r="E80" s="76">
        <v>56.399999999999991</v>
      </c>
      <c r="F80" s="76">
        <f>E80*VLOOKUP(B80,dagsoorttabel1,2,FALSE)</f>
        <v>11.28</v>
      </c>
      <c r="G80" s="77">
        <f>IF(AND(catpn_1_VAHB_1&gt;0,catpn_1_VAHV_51&gt;0),(dagenperjaar1*VLOOKUP(B80,dagsoorttabel1,2,FALSE))/(((dagenperjaar1*VLOOKUP(B80,dagsoorttabel1,2,FALSE))-catfd_1_VAHV_51)/catpn_1_VAHB_1+catfd_1_VAHV_51/catpn_1_VAHV_51),0)</f>
        <v>0</v>
      </c>
      <c r="H80" s="62" t="s">
        <v>105</v>
      </c>
      <c r="I80" s="66">
        <f>IF(AND(catpn_1_VAHB_1&gt;0,catpn_1_VAHV_51&gt;0),(cattf_1_VAHB_1*((dagenperjaar1*VLOOKUP(B80,dagsoorttabel1,2,FALSE))-catfd_1_VAHV_51)/catpn_1_VAHB_1+cattf_1_VAHV_51*catfd_1_VAHV_51/catpn_1_VAHV_51)/(((dagenperjaar1*VLOOKUP(B80,dagsoorttabel1,2,FALSE))-catfd_1_VAHV_51)/catpn_1_VAHB_1+catfd_1_VAHV_51/catpn_1_VAHV_51),0)</f>
        <v>0</v>
      </c>
      <c r="J80" s="76">
        <f>IF(OR(ISBLANK(G80),G80=0),0,F80/ROUND(G80,4))</f>
        <v>0</v>
      </c>
      <c r="K80" s="66">
        <f>ROUND(I80,2)*J80</f>
        <v>0</v>
      </c>
      <c r="L80" s="76">
        <f>J80*dagenperjaar1</f>
        <v>0</v>
      </c>
      <c r="M80" s="66">
        <f>L80*ROUND(I80,2)</f>
        <v>0</v>
      </c>
    </row>
    <row r="81" spans="1:13" x14ac:dyDescent="0.2">
      <c r="A81" s="62" t="s">
        <v>273</v>
      </c>
      <c r="B81" s="62" t="s">
        <v>14</v>
      </c>
      <c r="C81" s="62" t="s">
        <v>231</v>
      </c>
      <c r="D81" s="62" t="s">
        <v>274</v>
      </c>
      <c r="E81" s="76">
        <v>3.25</v>
      </c>
      <c r="F81" s="76">
        <f>E81*VLOOKUP(B81,dagsoorttabel1,2,FALSE)</f>
        <v>0.33137254901960783</v>
      </c>
      <c r="G81" s="77">
        <f>catpn_1_VAHV_51</f>
        <v>0</v>
      </c>
      <c r="H81" s="62" t="s">
        <v>105</v>
      </c>
      <c r="I81" s="66">
        <f>cattf_1_VAHV_51</f>
        <v>0</v>
      </c>
      <c r="J81" s="76">
        <f>IF(OR(ISBLANK(G81),G81=0),0,F81/ROUND(G81,4))</f>
        <v>0</v>
      </c>
      <c r="K81" s="66">
        <f>ROUND(I81,2)*J81</f>
        <v>0</v>
      </c>
      <c r="L81" s="76">
        <f>J81*dagenperjaar1</f>
        <v>0</v>
      </c>
      <c r="M81" s="66">
        <f>L81*ROUND(I81,2)</f>
        <v>0</v>
      </c>
    </row>
    <row r="82" spans="1:13" x14ac:dyDescent="0.2">
      <c r="A82" s="62" t="s">
        <v>273</v>
      </c>
      <c r="B82" s="62" t="s">
        <v>22</v>
      </c>
      <c r="C82" s="62" t="s">
        <v>231</v>
      </c>
      <c r="D82" s="62" t="s">
        <v>274</v>
      </c>
      <c r="E82" s="76">
        <v>4</v>
      </c>
      <c r="F82" s="76">
        <f>E82*VLOOKUP(B82,dagsoorttabel1,2,FALSE)</f>
        <v>3.1372549019607843E-2</v>
      </c>
      <c r="G82" s="77">
        <f>catpn_1_VAHV_2</f>
        <v>0</v>
      </c>
      <c r="H82" s="62" t="s">
        <v>105</v>
      </c>
      <c r="I82" s="66">
        <f>cattf_1_VAHV_2</f>
        <v>0</v>
      </c>
      <c r="J82" s="76">
        <f>IF(OR(ISBLANK(G82),G82=0),0,F82/ROUND(G82,4))</f>
        <v>0</v>
      </c>
      <c r="K82" s="66">
        <f>ROUND(I82,2)*J82</f>
        <v>0</v>
      </c>
      <c r="L82" s="76">
        <f>J82*dagenperjaar1</f>
        <v>0</v>
      </c>
      <c r="M82" s="66">
        <f>L82*ROUND(I82,2)</f>
        <v>0</v>
      </c>
    </row>
    <row r="83" spans="1:13" x14ac:dyDescent="0.2">
      <c r="A83" s="62" t="s">
        <v>273</v>
      </c>
      <c r="B83" s="62" t="s">
        <v>12</v>
      </c>
      <c r="C83" s="62" t="s">
        <v>231</v>
      </c>
      <c r="D83" s="62" t="s">
        <v>274</v>
      </c>
      <c r="E83" s="76">
        <v>89.9</v>
      </c>
      <c r="F83" s="76">
        <f>E83*VLOOKUP(B83,dagsoorttabel1,2,FALSE)</f>
        <v>35.96</v>
      </c>
      <c r="G83" s="77">
        <f>IF(AND(catpn_1_VAHB_1&gt;0,catpn_1_VAHV_51&gt;0),(dagenperjaar1*VLOOKUP(B83,dagsoorttabel1,2,FALSE))/(((dagenperjaar1*VLOOKUP(B83,dagsoorttabel1,2,FALSE))-catfd_1_VAHV_51)/catpn_1_VAHB_1+catfd_1_VAHV_51/catpn_1_VAHV_51),0)</f>
        <v>0</v>
      </c>
      <c r="H83" s="62" t="s">
        <v>105</v>
      </c>
      <c r="I83" s="66">
        <f>IF(AND(catpn_1_VAHB_1&gt;0,catpn_1_VAHV_51&gt;0),(cattf_1_VAHB_1*((dagenperjaar1*VLOOKUP(B83,dagsoorttabel1,2,FALSE))-catfd_1_VAHV_51)/catpn_1_VAHB_1+cattf_1_VAHV_51*catfd_1_VAHV_51/catpn_1_VAHV_51)/(((dagenperjaar1*VLOOKUP(B83,dagsoorttabel1,2,FALSE))-catfd_1_VAHV_51)/catpn_1_VAHB_1+catfd_1_VAHV_51/catpn_1_VAHV_51),0)</f>
        <v>0</v>
      </c>
      <c r="J83" s="76">
        <f>IF(OR(ISBLANK(G83),G83=0),0,F83/ROUND(G83,4))</f>
        <v>0</v>
      </c>
      <c r="K83" s="66">
        <f>ROUND(I83,2)*J83</f>
        <v>0</v>
      </c>
      <c r="L83" s="76">
        <f>J83*dagenperjaar1</f>
        <v>0</v>
      </c>
      <c r="M83" s="66">
        <f>L83*ROUND(I83,2)</f>
        <v>0</v>
      </c>
    </row>
    <row r="84" spans="1:13" x14ac:dyDescent="0.2">
      <c r="A84" s="62" t="s">
        <v>273</v>
      </c>
      <c r="B84" s="62" t="s">
        <v>11</v>
      </c>
      <c r="C84" s="62" t="s">
        <v>231</v>
      </c>
      <c r="D84" s="62" t="s">
        <v>274</v>
      </c>
      <c r="E84" s="76">
        <v>341.90000000000003</v>
      </c>
      <c r="F84" s="76">
        <f>E84*VLOOKUP(B84,dagsoorttabel1,2,FALSE)</f>
        <v>205.14000000000001</v>
      </c>
      <c r="G84" s="77">
        <f>IF(AND(catpn_1_VAHB_1&gt;0,catpn_1_VAHV_51&gt;0),(dagenperjaar1*VLOOKUP(B84,dagsoorttabel1,2,FALSE))/(((dagenperjaar1*VLOOKUP(B84,dagsoorttabel1,2,FALSE))-catfd_1_VAHV_51)/catpn_1_VAHB_1+catfd_1_VAHV_51/catpn_1_VAHV_51),0)</f>
        <v>0</v>
      </c>
      <c r="H84" s="62" t="s">
        <v>105</v>
      </c>
      <c r="I84" s="66">
        <f>IF(AND(catpn_1_VAHB_1&gt;0,catpn_1_VAHV_51&gt;0),(cattf_1_VAHB_1*((dagenperjaar1*VLOOKUP(B84,dagsoorttabel1,2,FALSE))-catfd_1_VAHV_51)/catpn_1_VAHB_1+cattf_1_VAHV_51*catfd_1_VAHV_51/catpn_1_VAHV_51)/(((dagenperjaar1*VLOOKUP(B84,dagsoorttabel1,2,FALSE))-catfd_1_VAHV_51)/catpn_1_VAHB_1+catfd_1_VAHV_51/catpn_1_VAHV_51),0)</f>
        <v>0</v>
      </c>
      <c r="J84" s="76">
        <f>IF(OR(ISBLANK(G84),G84=0),0,F84/ROUND(G84,4))</f>
        <v>0</v>
      </c>
      <c r="K84" s="66">
        <f>ROUND(I84,2)*J84</f>
        <v>0</v>
      </c>
      <c r="L84" s="76">
        <f>J84*dagenperjaar1</f>
        <v>0</v>
      </c>
      <c r="M84" s="66">
        <f>L84*ROUND(I84,2)</f>
        <v>0</v>
      </c>
    </row>
    <row r="85" spans="1:13" x14ac:dyDescent="0.2">
      <c r="A85" s="62" t="s">
        <v>273</v>
      </c>
      <c r="B85" s="62" t="s">
        <v>20</v>
      </c>
      <c r="C85" s="62" t="s">
        <v>231</v>
      </c>
      <c r="D85" s="62" t="s">
        <v>274</v>
      </c>
      <c r="E85" s="76">
        <v>41.5</v>
      </c>
      <c r="F85" s="76">
        <f>E85*VLOOKUP(B85,dagsoorttabel1,2,FALSE)</f>
        <v>0.65098039215686276</v>
      </c>
      <c r="G85" s="77">
        <f>catpn_1_VAHV_2</f>
        <v>0</v>
      </c>
      <c r="H85" s="62" t="s">
        <v>105</v>
      </c>
      <c r="I85" s="66">
        <f>cattf_1_VAHV_2</f>
        <v>0</v>
      </c>
      <c r="J85" s="76">
        <f>IF(OR(ISBLANK(G85),G85=0),0,F85/ROUND(G85,4))</f>
        <v>0</v>
      </c>
      <c r="K85" s="66">
        <f>ROUND(I85,2)*J85</f>
        <v>0</v>
      </c>
      <c r="L85" s="76">
        <f>J85*dagenperjaar1</f>
        <v>0</v>
      </c>
      <c r="M85" s="66">
        <f>L85*ROUND(I85,2)</f>
        <v>0</v>
      </c>
    </row>
    <row r="86" spans="1:13" x14ac:dyDescent="0.2">
      <c r="A86" s="62" t="s">
        <v>273</v>
      </c>
      <c r="B86" s="62" t="s">
        <v>10</v>
      </c>
      <c r="C86" s="62" t="s">
        <v>231</v>
      </c>
      <c r="D86" s="62" t="s">
        <v>274</v>
      </c>
      <c r="E86" s="76">
        <v>76.86</v>
      </c>
      <c r="F86" s="76">
        <f>E86*VLOOKUP(B86,dagsoorttabel1,2,FALSE)</f>
        <v>61.488</v>
      </c>
      <c r="G86" s="77">
        <f>IF(AND(catpn_1_VAHB_1&gt;0,catpn_1_VAHV_51&gt;0),(dagenperjaar1*VLOOKUP(B86,dagsoorttabel1,2,FALSE))/(((dagenperjaar1*VLOOKUP(B86,dagsoorttabel1,2,FALSE))-catfd_1_VAHV_51)/catpn_1_VAHB_1+catfd_1_VAHV_51/catpn_1_VAHV_51),0)</f>
        <v>0</v>
      </c>
      <c r="H86" s="62" t="s">
        <v>105</v>
      </c>
      <c r="I86" s="66">
        <f>IF(AND(catpn_1_VAHB_1&gt;0,catpn_1_VAHV_51&gt;0),(cattf_1_VAHB_1*((dagenperjaar1*VLOOKUP(B86,dagsoorttabel1,2,FALSE))-catfd_1_VAHV_51)/catpn_1_VAHB_1+cattf_1_VAHV_51*catfd_1_VAHV_51/catpn_1_VAHV_51)/(((dagenperjaar1*VLOOKUP(B86,dagsoorttabel1,2,FALSE))-catfd_1_VAHV_51)/catpn_1_VAHB_1+catfd_1_VAHV_51/catpn_1_VAHV_51),0)</f>
        <v>0</v>
      </c>
      <c r="J86" s="76">
        <f>IF(OR(ISBLANK(G86),G86=0),0,F86/ROUND(G86,4))</f>
        <v>0</v>
      </c>
      <c r="K86" s="66">
        <f>ROUND(I86,2)*J86</f>
        <v>0</v>
      </c>
      <c r="L86" s="76">
        <f>J86*dagenperjaar1</f>
        <v>0</v>
      </c>
      <c r="M86" s="66">
        <f>L86*ROUND(I86,2)</f>
        <v>0</v>
      </c>
    </row>
    <row r="87" spans="1:13" x14ac:dyDescent="0.2">
      <c r="A87" s="62" t="s">
        <v>273</v>
      </c>
      <c r="B87" s="62" t="s">
        <v>9</v>
      </c>
      <c r="C87" s="62" t="s">
        <v>231</v>
      </c>
      <c r="D87" s="62" t="s">
        <v>274</v>
      </c>
      <c r="E87" s="76">
        <v>595.5</v>
      </c>
      <c r="F87" s="76">
        <f>E87*VLOOKUP(B87,dagsoorttabel1,2,FALSE)</f>
        <v>595.5</v>
      </c>
      <c r="G87" s="77">
        <f>IF(AND(catpn_1_VAHB_1&gt;0,catpn_1_VAHV_51&gt;0),(dagenperjaar1*VLOOKUP(B87,dagsoorttabel1,2,FALSE))/(((dagenperjaar1*VLOOKUP(B87,dagsoorttabel1,2,FALSE))-catfd_1_VAHV_51)/catpn_1_VAHB_1+catfd_1_VAHV_51/catpn_1_VAHV_51),0)</f>
        <v>0</v>
      </c>
      <c r="H87" s="62" t="s">
        <v>105</v>
      </c>
      <c r="I87" s="66">
        <f>IF(AND(catpn_1_VAHB_1&gt;0,catpn_1_VAHV_51&gt;0),(cattf_1_VAHB_1*((dagenperjaar1*VLOOKUP(B87,dagsoorttabel1,2,FALSE))-catfd_1_VAHV_51)/catpn_1_VAHB_1+cattf_1_VAHV_51*catfd_1_VAHV_51/catpn_1_VAHV_51)/(((dagenperjaar1*VLOOKUP(B87,dagsoorttabel1,2,FALSE))-catfd_1_VAHV_51)/catpn_1_VAHB_1+catfd_1_VAHV_51/catpn_1_VAHV_51),0)</f>
        <v>0</v>
      </c>
      <c r="J87" s="76">
        <f>IF(OR(ISBLANK(G87),G87=0),0,F87/ROUND(G87,4))</f>
        <v>0</v>
      </c>
      <c r="K87" s="66">
        <f>ROUND(I87,2)*J87</f>
        <v>0</v>
      </c>
      <c r="L87" s="76">
        <f>J87*dagenperjaar1</f>
        <v>0</v>
      </c>
      <c r="M87" s="66">
        <f>L87*ROUND(I87,2)</f>
        <v>0</v>
      </c>
    </row>
    <row r="88" spans="1:13" x14ac:dyDescent="0.2">
      <c r="A88" s="62" t="s">
        <v>275</v>
      </c>
      <c r="B88" s="62" t="s">
        <v>13</v>
      </c>
      <c r="C88" s="62" t="s">
        <v>231</v>
      </c>
      <c r="D88" s="62" t="s">
        <v>276</v>
      </c>
      <c r="E88" s="76">
        <v>10.199999999999999</v>
      </c>
      <c r="F88" s="76">
        <f>E88*VLOOKUP(B88,dagsoorttabel1,2,FALSE)</f>
        <v>2.04</v>
      </c>
      <c r="G88" s="77">
        <f>IF(AND(catpn_1_VAZB_1&gt;0,catpn_1_VAZV_51&gt;0),(dagenperjaar1*VLOOKUP(B88,dagsoorttabel1,2,FALSE))/(((dagenperjaar1*VLOOKUP(B88,dagsoorttabel1,2,FALSE))-catfd_1_VAZV_51)/catpn_1_VAZB_1+catfd_1_VAZV_51/catpn_1_VAZV_51),0)</f>
        <v>0</v>
      </c>
      <c r="H88" s="62" t="s">
        <v>105</v>
      </c>
      <c r="I88" s="66">
        <f>IF(AND(catpn_1_VAZB_1&gt;0,catpn_1_VAZV_51&gt;0),(cattf_1_VAZB_1*((dagenperjaar1*VLOOKUP(B88,dagsoorttabel1,2,FALSE))-catfd_1_VAZV_51)/catpn_1_VAZB_1+cattf_1_VAZV_51*catfd_1_VAZV_51/catpn_1_VAZV_51)/(((dagenperjaar1*VLOOKUP(B88,dagsoorttabel1,2,FALSE))-catfd_1_VAZV_51)/catpn_1_VAZB_1+catfd_1_VAZV_51/catpn_1_VAZV_51),0)</f>
        <v>0</v>
      </c>
      <c r="J88" s="76">
        <f>IF(OR(ISBLANK(G88),G88=0),0,F88/ROUND(G88,4))</f>
        <v>0</v>
      </c>
      <c r="K88" s="66">
        <f>ROUND(I88,2)*J88</f>
        <v>0</v>
      </c>
      <c r="L88" s="76">
        <f>J88*dagenperjaar1</f>
        <v>0</v>
      </c>
      <c r="M88" s="66">
        <f>L88*ROUND(I88,2)</f>
        <v>0</v>
      </c>
    </row>
    <row r="89" spans="1:13" x14ac:dyDescent="0.2">
      <c r="A89" s="62" t="s">
        <v>275</v>
      </c>
      <c r="B89" s="62" t="s">
        <v>12</v>
      </c>
      <c r="C89" s="62" t="s">
        <v>231</v>
      </c>
      <c r="D89" s="62" t="s">
        <v>276</v>
      </c>
      <c r="E89" s="76">
        <v>14</v>
      </c>
      <c r="F89" s="76">
        <f>E89*VLOOKUP(B89,dagsoorttabel1,2,FALSE)</f>
        <v>5.6000000000000005</v>
      </c>
      <c r="G89" s="77">
        <f>IF(AND(catpn_1_VAZB_1&gt;0,catpn_1_VAZV_51&gt;0),(dagenperjaar1*VLOOKUP(B89,dagsoorttabel1,2,FALSE))/(((dagenperjaar1*VLOOKUP(B89,dagsoorttabel1,2,FALSE))-catfd_1_VAZV_51)/catpn_1_VAZB_1+catfd_1_VAZV_51/catpn_1_VAZV_51),0)</f>
        <v>0</v>
      </c>
      <c r="H89" s="62" t="s">
        <v>105</v>
      </c>
      <c r="I89" s="66">
        <f>IF(AND(catpn_1_VAZB_1&gt;0,catpn_1_VAZV_51&gt;0),(cattf_1_VAZB_1*((dagenperjaar1*VLOOKUP(B89,dagsoorttabel1,2,FALSE))-catfd_1_VAZV_51)/catpn_1_VAZB_1+cattf_1_VAZV_51*catfd_1_VAZV_51/catpn_1_VAZV_51)/(((dagenperjaar1*VLOOKUP(B89,dagsoorttabel1,2,FALSE))-catfd_1_VAZV_51)/catpn_1_VAZB_1+catfd_1_VAZV_51/catpn_1_VAZV_51),0)</f>
        <v>0</v>
      </c>
      <c r="J89" s="76">
        <f>IF(OR(ISBLANK(G89),G89=0),0,F89/ROUND(G89,4))</f>
        <v>0</v>
      </c>
      <c r="K89" s="66">
        <f>ROUND(I89,2)*J89</f>
        <v>0</v>
      </c>
      <c r="L89" s="76">
        <f>J89*dagenperjaar1</f>
        <v>0</v>
      </c>
      <c r="M89" s="66">
        <f>L89*ROUND(I89,2)</f>
        <v>0</v>
      </c>
    </row>
    <row r="90" spans="1:13" x14ac:dyDescent="0.2">
      <c r="A90" s="62" t="s">
        <v>275</v>
      </c>
      <c r="B90" s="62" t="s">
        <v>11</v>
      </c>
      <c r="C90" s="62" t="s">
        <v>231</v>
      </c>
      <c r="D90" s="62" t="s">
        <v>276</v>
      </c>
      <c r="E90" s="76">
        <v>51.1</v>
      </c>
      <c r="F90" s="76">
        <f>E90*VLOOKUP(B90,dagsoorttabel1,2,FALSE)</f>
        <v>30.66</v>
      </c>
      <c r="G90" s="77">
        <f>IF(AND(catpn_1_VAZB_1&gt;0,catpn_1_VAZV_51&gt;0),(dagenperjaar1*VLOOKUP(B90,dagsoorttabel1,2,FALSE))/(((dagenperjaar1*VLOOKUP(B90,dagsoorttabel1,2,FALSE))-catfd_1_VAZV_51)/catpn_1_VAZB_1+catfd_1_VAZV_51/catpn_1_VAZV_51),0)</f>
        <v>0</v>
      </c>
      <c r="H90" s="62" t="s">
        <v>105</v>
      </c>
      <c r="I90" s="66">
        <f>IF(AND(catpn_1_VAZB_1&gt;0,catpn_1_VAZV_51&gt;0),(cattf_1_VAZB_1*((dagenperjaar1*VLOOKUP(B90,dagsoorttabel1,2,FALSE))-catfd_1_VAZV_51)/catpn_1_VAZB_1+cattf_1_VAZV_51*catfd_1_VAZV_51/catpn_1_VAZV_51)/(((dagenperjaar1*VLOOKUP(B90,dagsoorttabel1,2,FALSE))-catfd_1_VAZV_51)/catpn_1_VAZB_1+catfd_1_VAZV_51/catpn_1_VAZV_51),0)</f>
        <v>0</v>
      </c>
      <c r="J90" s="76">
        <f>IF(OR(ISBLANK(G90),G90=0),0,F90/ROUND(G90,4))</f>
        <v>0</v>
      </c>
      <c r="K90" s="66">
        <f>ROUND(I90,2)*J90</f>
        <v>0</v>
      </c>
      <c r="L90" s="76">
        <f>J90*dagenperjaar1</f>
        <v>0</v>
      </c>
      <c r="M90" s="66">
        <f>L90*ROUND(I90,2)</f>
        <v>0</v>
      </c>
    </row>
    <row r="91" spans="1:13" x14ac:dyDescent="0.2">
      <c r="A91" s="62" t="s">
        <v>275</v>
      </c>
      <c r="B91" s="62" t="s">
        <v>10</v>
      </c>
      <c r="C91" s="62" t="s">
        <v>231</v>
      </c>
      <c r="D91" s="62" t="s">
        <v>276</v>
      </c>
      <c r="E91" s="76">
        <v>335.38</v>
      </c>
      <c r="F91" s="76">
        <f>E91*VLOOKUP(B91,dagsoorttabel1,2,FALSE)</f>
        <v>268.30400000000003</v>
      </c>
      <c r="G91" s="77">
        <f>IF(AND(catpn_1_VAZB_1&gt;0,catpn_1_VAZV_51&gt;0),(dagenperjaar1*VLOOKUP(B91,dagsoorttabel1,2,FALSE))/(((dagenperjaar1*VLOOKUP(B91,dagsoorttabel1,2,FALSE))-catfd_1_VAZV_51)/catpn_1_VAZB_1+catfd_1_VAZV_51/catpn_1_VAZV_51),0)</f>
        <v>0</v>
      </c>
      <c r="H91" s="62" t="s">
        <v>105</v>
      </c>
      <c r="I91" s="66">
        <f>IF(AND(catpn_1_VAZB_1&gt;0,catpn_1_VAZV_51&gt;0),(cattf_1_VAZB_1*((dagenperjaar1*VLOOKUP(B91,dagsoorttabel1,2,FALSE))-catfd_1_VAZV_51)/catpn_1_VAZB_1+cattf_1_VAZV_51*catfd_1_VAZV_51/catpn_1_VAZV_51)/(((dagenperjaar1*VLOOKUP(B91,dagsoorttabel1,2,FALSE))-catfd_1_VAZV_51)/catpn_1_VAZB_1+catfd_1_VAZV_51/catpn_1_VAZV_51),0)</f>
        <v>0</v>
      </c>
      <c r="J91" s="76">
        <f>IF(OR(ISBLANK(G91),G91=0),0,F91/ROUND(G91,4))</f>
        <v>0</v>
      </c>
      <c r="K91" s="66">
        <f>ROUND(I91,2)*J91</f>
        <v>0</v>
      </c>
      <c r="L91" s="76">
        <f>J91*dagenperjaar1</f>
        <v>0</v>
      </c>
      <c r="M91" s="66">
        <f>L91*ROUND(I91,2)</f>
        <v>0</v>
      </c>
    </row>
    <row r="92" spans="1:13" x14ac:dyDescent="0.2">
      <c r="A92" s="62" t="s">
        <v>275</v>
      </c>
      <c r="B92" s="62" t="s">
        <v>9</v>
      </c>
      <c r="C92" s="62" t="s">
        <v>231</v>
      </c>
      <c r="D92" s="62" t="s">
        <v>276</v>
      </c>
      <c r="E92" s="76">
        <v>285.79999999999995</v>
      </c>
      <c r="F92" s="76">
        <f>E92*VLOOKUP(B92,dagsoorttabel1,2,FALSE)</f>
        <v>285.79999999999995</v>
      </c>
      <c r="G92" s="77">
        <f>IF(AND(catpn_1_VAZB_1&gt;0,catpn_1_VAZV_51&gt;0),(dagenperjaar1*VLOOKUP(B92,dagsoorttabel1,2,FALSE))/(((dagenperjaar1*VLOOKUP(B92,dagsoorttabel1,2,FALSE))-catfd_1_VAZV_51)/catpn_1_VAZB_1+catfd_1_VAZV_51/catpn_1_VAZV_51),0)</f>
        <v>0</v>
      </c>
      <c r="H92" s="62" t="s">
        <v>105</v>
      </c>
      <c r="I92" s="66">
        <f>IF(AND(catpn_1_VAZB_1&gt;0,catpn_1_VAZV_51&gt;0),(cattf_1_VAZB_1*((dagenperjaar1*VLOOKUP(B92,dagsoorttabel1,2,FALSE))-catfd_1_VAZV_51)/catpn_1_VAZB_1+cattf_1_VAZV_51*catfd_1_VAZV_51/catpn_1_VAZV_51)/(((dagenperjaar1*VLOOKUP(B92,dagsoorttabel1,2,FALSE))-catfd_1_VAZV_51)/catpn_1_VAZB_1+catfd_1_VAZV_51/catpn_1_VAZV_51),0)</f>
        <v>0</v>
      </c>
      <c r="J92" s="76">
        <f>IF(OR(ISBLANK(G92),G92=0),0,F92/ROUND(G92,4))</f>
        <v>0</v>
      </c>
      <c r="K92" s="66">
        <f>ROUND(I92,2)*J92</f>
        <v>0</v>
      </c>
      <c r="L92" s="76">
        <f>J92*dagenperjaar1</f>
        <v>0</v>
      </c>
      <c r="M92" s="66">
        <f>L92*ROUND(I92,2)</f>
        <v>0</v>
      </c>
    </row>
    <row r="93" spans="1:13" x14ac:dyDescent="0.2">
      <c r="A93" s="62" t="s">
        <v>277</v>
      </c>
      <c r="B93" s="62" t="s">
        <v>16</v>
      </c>
      <c r="C93" s="62" t="s">
        <v>231</v>
      </c>
      <c r="D93" s="62" t="s">
        <v>278</v>
      </c>
      <c r="E93" s="76">
        <v>5</v>
      </c>
      <c r="F93" s="76">
        <f>E93*VLOOKUP(B93,dagsoorttabel1,2,FALSE)</f>
        <v>0.19607843137254902</v>
      </c>
      <c r="G93" s="77">
        <f>catpn_1_VBHV_10</f>
        <v>0</v>
      </c>
      <c r="H93" s="62" t="s">
        <v>105</v>
      </c>
      <c r="I93" s="66">
        <f>cattf_1_VBHV_10</f>
        <v>0</v>
      </c>
      <c r="J93" s="76">
        <f>IF(OR(ISBLANK(G93),G93=0),0,F93/ROUND(G93,4))</f>
        <v>0</v>
      </c>
      <c r="K93" s="66">
        <f>ROUND(I93,2)*J93</f>
        <v>0</v>
      </c>
      <c r="L93" s="76">
        <f>J93*dagenperjaar1</f>
        <v>0</v>
      </c>
      <c r="M93" s="66">
        <f>L93*ROUND(I93,2)</f>
        <v>0</v>
      </c>
    </row>
    <row r="94" spans="1:13" x14ac:dyDescent="0.2">
      <c r="A94" s="62" t="s">
        <v>279</v>
      </c>
      <c r="B94" s="62" t="s">
        <v>13</v>
      </c>
      <c r="C94" s="62" t="s">
        <v>231</v>
      </c>
      <c r="D94" s="62" t="s">
        <v>280</v>
      </c>
      <c r="E94" s="76">
        <v>36.400000000000006</v>
      </c>
      <c r="F94" s="76">
        <f>E94*VLOOKUP(B94,dagsoorttabel1,2,FALSE)</f>
        <v>7.2800000000000011</v>
      </c>
      <c r="G94" s="77">
        <f>IF(AND(catpn_1_VEZB_1&gt;0,catpn_1_VEHV_51&gt;0),(dagenperjaar1*VLOOKUP(B94,dagsoorttabel1,2,FALSE))/(((dagenperjaar1*VLOOKUP(B94,dagsoorttabel1,2,FALSE))-catfd_1_VEHV_51)/catpn_1_VEZB_1+catfd_1_VEHV_51/catpn_1_VEHV_51),0)</f>
        <v>0</v>
      </c>
      <c r="H94" s="62" t="s">
        <v>105</v>
      </c>
      <c r="I94" s="66">
        <f>IF(AND(catpn_1_VEZB_1&gt;0,catpn_1_VEHV_51&gt;0),(cattf_1_VEZB_1*((dagenperjaar1*VLOOKUP(B94,dagsoorttabel1,2,FALSE))-catfd_1_VEHV_51)/catpn_1_VEZB_1+cattf_1_VEHV_51*catfd_1_VEHV_51/catpn_1_VEHV_51)/(((dagenperjaar1*VLOOKUP(B94,dagsoorttabel1,2,FALSE))-catfd_1_VEHV_51)/catpn_1_VEZB_1+catfd_1_VEHV_51/catpn_1_VEHV_51),0)</f>
        <v>0</v>
      </c>
      <c r="J94" s="76">
        <f>IF(OR(ISBLANK(G94),G94=0),0,F94/ROUND(G94,4))</f>
        <v>0</v>
      </c>
      <c r="K94" s="66">
        <f>ROUND(I94,2)*J94</f>
        <v>0</v>
      </c>
      <c r="L94" s="76">
        <f>J94*dagenperjaar1</f>
        <v>0</v>
      </c>
      <c r="M94" s="66">
        <f>L94*ROUND(I94,2)</f>
        <v>0</v>
      </c>
    </row>
    <row r="95" spans="1:13" x14ac:dyDescent="0.2">
      <c r="A95" s="62" t="s">
        <v>279</v>
      </c>
      <c r="B95" s="62" t="s">
        <v>14</v>
      </c>
      <c r="C95" s="62" t="s">
        <v>231</v>
      </c>
      <c r="D95" s="62" t="s">
        <v>280</v>
      </c>
      <c r="E95" s="76">
        <v>26</v>
      </c>
      <c r="F95" s="76">
        <f>E95*VLOOKUP(B95,dagsoorttabel1,2,FALSE)</f>
        <v>2.6509803921568627</v>
      </c>
      <c r="G95" s="77">
        <f>catpn_1_SKHV_51</f>
        <v>0</v>
      </c>
      <c r="H95" s="62" t="s">
        <v>105</v>
      </c>
      <c r="I95" s="66">
        <f>cattf_1_SKHV_51</f>
        <v>0</v>
      </c>
      <c r="J95" s="76">
        <f>IF(OR(ISBLANK(G95),G95=0),0,F95/ROUND(G95,4))</f>
        <v>0</v>
      </c>
      <c r="K95" s="66">
        <f>ROUND(I95,2)*J95</f>
        <v>0</v>
      </c>
      <c r="L95" s="76">
        <f>J95*dagenperjaar1</f>
        <v>0</v>
      </c>
      <c r="M95" s="66">
        <f>L95*ROUND(I95,2)</f>
        <v>0</v>
      </c>
    </row>
    <row r="96" spans="1:13" x14ac:dyDescent="0.2">
      <c r="A96" s="62" t="s">
        <v>279</v>
      </c>
      <c r="B96" s="62" t="s">
        <v>12</v>
      </c>
      <c r="C96" s="62" t="s">
        <v>231</v>
      </c>
      <c r="D96" s="62" t="s">
        <v>280</v>
      </c>
      <c r="E96" s="76">
        <v>48</v>
      </c>
      <c r="F96" s="76">
        <f>E96*VLOOKUP(B96,dagsoorttabel1,2,FALSE)</f>
        <v>19.200000000000003</v>
      </c>
      <c r="G96" s="77">
        <f>IF(AND(catpn_1_VEHB_1&gt;0,catpn_1_VEHV_51&gt;0),(dagenperjaar1*VLOOKUP(B96,dagsoorttabel1,2,FALSE))/(((dagenperjaar1*VLOOKUP(B96,dagsoorttabel1,2,FALSE))-catfd_1_VEHV_51)/catpn_1_VEHB_1+catfd_1_VEHV_51/catpn_1_VEHV_51),0)</f>
        <v>0</v>
      </c>
      <c r="H96" s="62" t="s">
        <v>105</v>
      </c>
      <c r="I96" s="66">
        <f>IF(AND(catpn_1_VEHB_1&gt;0,catpn_1_VEHV_51&gt;0),(cattf_1_VEHB_1*((dagenperjaar1*VLOOKUP(B96,dagsoorttabel1,2,FALSE))-catfd_1_VEHV_51)/catpn_1_VEHB_1+cattf_1_VEHV_51*catfd_1_VEHV_51/catpn_1_VEHV_51)/(((dagenperjaar1*VLOOKUP(B96,dagsoorttabel1,2,FALSE))-catfd_1_VEHV_51)/catpn_1_VEHB_1+catfd_1_VEHV_51/catpn_1_VEHV_51),0)</f>
        <v>0</v>
      </c>
      <c r="J96" s="76">
        <f>IF(OR(ISBLANK(G96),G96=0),0,F96/ROUND(G96,4))</f>
        <v>0</v>
      </c>
      <c r="K96" s="66">
        <f>ROUND(I96,2)*J96</f>
        <v>0</v>
      </c>
      <c r="L96" s="76">
        <f>J96*dagenperjaar1</f>
        <v>0</v>
      </c>
      <c r="M96" s="66">
        <f>L96*ROUND(I96,2)</f>
        <v>0</v>
      </c>
    </row>
    <row r="97" spans="1:13" x14ac:dyDescent="0.2">
      <c r="A97" s="62" t="s">
        <v>279</v>
      </c>
      <c r="B97" s="62" t="s">
        <v>11</v>
      </c>
      <c r="C97" s="62" t="s">
        <v>231</v>
      </c>
      <c r="D97" s="62" t="s">
        <v>280</v>
      </c>
      <c r="E97" s="76">
        <v>32.4</v>
      </c>
      <c r="F97" s="76">
        <f>E97*VLOOKUP(B97,dagsoorttabel1,2,FALSE)</f>
        <v>19.439999999999998</v>
      </c>
      <c r="G97" s="77">
        <f>IF(AND(catpn_1_VEHB_1&gt;0,catpn_1_VEHV_51&gt;0),(dagenperjaar1*VLOOKUP(B97,dagsoorttabel1,2,FALSE))/(((dagenperjaar1*VLOOKUP(B97,dagsoorttabel1,2,FALSE))-catfd_1_VEHV_51)/catpn_1_VEHB_1+catfd_1_VEHV_51/catpn_1_VEHV_51),0)</f>
        <v>0</v>
      </c>
      <c r="H97" s="62" t="s">
        <v>105</v>
      </c>
      <c r="I97" s="66">
        <f>IF(AND(catpn_1_VEHB_1&gt;0,catpn_1_VEHV_51&gt;0),(cattf_1_VEHB_1*((dagenperjaar1*VLOOKUP(B97,dagsoorttabel1,2,FALSE))-catfd_1_VEHV_51)/catpn_1_VEHB_1+cattf_1_VEHV_51*catfd_1_VEHV_51/catpn_1_VEHV_51)/(((dagenperjaar1*VLOOKUP(B97,dagsoorttabel1,2,FALSE))-catfd_1_VEHV_51)/catpn_1_VEHB_1+catfd_1_VEHV_51/catpn_1_VEHV_51),0)</f>
        <v>0</v>
      </c>
      <c r="J97" s="76">
        <f>IF(OR(ISBLANK(G97),G97=0),0,F97/ROUND(G97,4))</f>
        <v>0</v>
      </c>
      <c r="K97" s="66">
        <f>ROUND(I97,2)*J97</f>
        <v>0</v>
      </c>
      <c r="L97" s="76">
        <f>J97*dagenperjaar1</f>
        <v>0</v>
      </c>
      <c r="M97" s="66">
        <f>L97*ROUND(I97,2)</f>
        <v>0</v>
      </c>
    </row>
    <row r="98" spans="1:13" x14ac:dyDescent="0.2">
      <c r="A98" s="62" t="s">
        <v>279</v>
      </c>
      <c r="B98" s="62" t="s">
        <v>9</v>
      </c>
      <c r="C98" s="62" t="s">
        <v>231</v>
      </c>
      <c r="D98" s="62" t="s">
        <v>280</v>
      </c>
      <c r="E98" s="76">
        <v>36.9</v>
      </c>
      <c r="F98" s="76">
        <f>E98*VLOOKUP(B98,dagsoorttabel1,2,FALSE)</f>
        <v>36.9</v>
      </c>
      <c r="G98" s="77">
        <f>IF(AND(catpn_1_VEHB_1&gt;0,catpn_1_VEHV_51&gt;0),(dagenperjaar1*VLOOKUP(B98,dagsoorttabel1,2,FALSE))/(((dagenperjaar1*VLOOKUP(B98,dagsoorttabel1,2,FALSE))-catfd_1_VEHV_51)/catpn_1_VEHB_1+catfd_1_VEHV_51/catpn_1_VEHV_51),0)</f>
        <v>0</v>
      </c>
      <c r="H98" s="62" t="s">
        <v>105</v>
      </c>
      <c r="I98" s="66">
        <f>IF(AND(catpn_1_VEHB_1&gt;0,catpn_1_VEHV_51&gt;0),(cattf_1_VEHB_1*((dagenperjaar1*VLOOKUP(B98,dagsoorttabel1,2,FALSE))-catfd_1_VEHV_51)/catpn_1_VEHB_1+cattf_1_VEHV_51*catfd_1_VEHV_51/catpn_1_VEHV_51)/(((dagenperjaar1*VLOOKUP(B98,dagsoorttabel1,2,FALSE))-catfd_1_VEHV_51)/catpn_1_VEHB_1+catfd_1_VEHV_51/catpn_1_VEHV_51),0)</f>
        <v>0</v>
      </c>
      <c r="J98" s="76">
        <f>IF(OR(ISBLANK(G98),G98=0),0,F98/ROUND(G98,4))</f>
        <v>0</v>
      </c>
      <c r="K98" s="66">
        <f>ROUND(I98,2)*J98</f>
        <v>0</v>
      </c>
      <c r="L98" s="76">
        <f>J98*dagenperjaar1</f>
        <v>0</v>
      </c>
      <c r="M98" s="66">
        <f>L98*ROUND(I98,2)</f>
        <v>0</v>
      </c>
    </row>
    <row r="99" spans="1:13" x14ac:dyDescent="0.2">
      <c r="A99" s="62" t="s">
        <v>281</v>
      </c>
      <c r="B99" s="62" t="s">
        <v>13</v>
      </c>
      <c r="C99" s="62" t="s">
        <v>231</v>
      </c>
      <c r="D99" s="62" t="s">
        <v>282</v>
      </c>
      <c r="E99" s="76">
        <v>2</v>
      </c>
      <c r="F99" s="76">
        <f>E99*VLOOKUP(B99,dagsoorttabel1,2,FALSE)</f>
        <v>0.4</v>
      </c>
      <c r="G99" s="77">
        <f>IF(AND(catpn_1_VEZB_1&gt;0,catpn_1_VEZV_51&gt;0),(dagenperjaar1*VLOOKUP(B99,dagsoorttabel1,2,FALSE))/(((dagenperjaar1*VLOOKUP(B99,dagsoorttabel1,2,FALSE))-catfd_1_VEZV_51)/catpn_1_VEZB_1+catfd_1_VEZV_51/catpn_1_VEZV_51),0)</f>
        <v>0</v>
      </c>
      <c r="H99" s="62" t="s">
        <v>105</v>
      </c>
      <c r="I99" s="66">
        <f>IF(AND(catpn_1_VEZB_1&gt;0,catpn_1_VEZV_51&gt;0),(cattf_1_VEZB_1*((dagenperjaar1*VLOOKUP(B99,dagsoorttabel1,2,FALSE))-catfd_1_VEZV_51)/catpn_1_VEZB_1+cattf_1_VEZV_51*catfd_1_VEZV_51/catpn_1_VEZV_51)/(((dagenperjaar1*VLOOKUP(B99,dagsoorttabel1,2,FALSE))-catfd_1_VEZV_51)/catpn_1_VEZB_1+catfd_1_VEZV_51/catpn_1_VEZV_51),0)</f>
        <v>0</v>
      </c>
      <c r="J99" s="76">
        <f>IF(OR(ISBLANK(G99),G99=0),0,F99/ROUND(G99,4))</f>
        <v>0</v>
      </c>
      <c r="K99" s="66">
        <f>ROUND(I99,2)*J99</f>
        <v>0</v>
      </c>
      <c r="L99" s="76">
        <f>J99*dagenperjaar1</f>
        <v>0</v>
      </c>
      <c r="M99" s="66">
        <f>L99*ROUND(I99,2)</f>
        <v>0</v>
      </c>
    </row>
    <row r="100" spans="1:13" x14ac:dyDescent="0.2">
      <c r="A100" s="62" t="s">
        <v>281</v>
      </c>
      <c r="B100" s="62" t="s">
        <v>12</v>
      </c>
      <c r="C100" s="62" t="s">
        <v>231</v>
      </c>
      <c r="D100" s="62" t="s">
        <v>282</v>
      </c>
      <c r="E100" s="76">
        <v>7.5</v>
      </c>
      <c r="F100" s="76">
        <f>E100*VLOOKUP(B100,dagsoorttabel1,2,FALSE)</f>
        <v>3</v>
      </c>
      <c r="G100" s="77">
        <f>IF(AND(catpn_1_VEZB_1&gt;0,catpn_1_VEZV_51&gt;0),(dagenperjaar1*VLOOKUP(B100,dagsoorttabel1,2,FALSE))/(((dagenperjaar1*VLOOKUP(B100,dagsoorttabel1,2,FALSE))-catfd_1_VEZV_51)/catpn_1_VEZB_1+catfd_1_VEZV_51/catpn_1_VEZV_51),0)</f>
        <v>0</v>
      </c>
      <c r="H100" s="62" t="s">
        <v>105</v>
      </c>
      <c r="I100" s="66">
        <f>IF(AND(catpn_1_VEZB_1&gt;0,catpn_1_VEZV_51&gt;0),(cattf_1_VEZB_1*((dagenperjaar1*VLOOKUP(B100,dagsoorttabel1,2,FALSE))-catfd_1_VEZV_51)/catpn_1_VEZB_1+cattf_1_VEZV_51*catfd_1_VEZV_51/catpn_1_VEZV_51)/(((dagenperjaar1*VLOOKUP(B100,dagsoorttabel1,2,FALSE))-catfd_1_VEZV_51)/catpn_1_VEZB_1+catfd_1_VEZV_51/catpn_1_VEZV_51),0)</f>
        <v>0</v>
      </c>
      <c r="J100" s="76">
        <f>IF(OR(ISBLANK(G100),G100=0),0,F100/ROUND(G100,4))</f>
        <v>0</v>
      </c>
      <c r="K100" s="66">
        <f>ROUND(I100,2)*J100</f>
        <v>0</v>
      </c>
      <c r="L100" s="76">
        <f>J100*dagenperjaar1</f>
        <v>0</v>
      </c>
      <c r="M100" s="66">
        <f>L100*ROUND(I100,2)</f>
        <v>0</v>
      </c>
    </row>
    <row r="101" spans="1:13" x14ac:dyDescent="0.2">
      <c r="A101" s="62" t="s">
        <v>281</v>
      </c>
      <c r="B101" s="62" t="s">
        <v>11</v>
      </c>
      <c r="C101" s="62" t="s">
        <v>231</v>
      </c>
      <c r="D101" s="62" t="s">
        <v>282</v>
      </c>
      <c r="E101" s="76">
        <v>21.330000000000002</v>
      </c>
      <c r="F101" s="76">
        <f>E101*VLOOKUP(B101,dagsoorttabel1,2,FALSE)</f>
        <v>12.798</v>
      </c>
      <c r="G101" s="77">
        <f>IF(AND(catpn_1_VEZB_1&gt;0,catpn_1_VEZV_51&gt;0),(dagenperjaar1*VLOOKUP(B101,dagsoorttabel1,2,FALSE))/(((dagenperjaar1*VLOOKUP(B101,dagsoorttabel1,2,FALSE))-catfd_1_VEZV_51)/catpn_1_VEZB_1+catfd_1_VEZV_51/catpn_1_VEZV_51),0)</f>
        <v>0</v>
      </c>
      <c r="H101" s="62" t="s">
        <v>105</v>
      </c>
      <c r="I101" s="66">
        <f>IF(AND(catpn_1_VEZB_1&gt;0,catpn_1_VEZV_51&gt;0),(cattf_1_VEZB_1*((dagenperjaar1*VLOOKUP(B101,dagsoorttabel1,2,FALSE))-catfd_1_VEZV_51)/catpn_1_VEZB_1+cattf_1_VEZV_51*catfd_1_VEZV_51/catpn_1_VEZV_51)/(((dagenperjaar1*VLOOKUP(B101,dagsoorttabel1,2,FALSE))-catfd_1_VEZV_51)/catpn_1_VEZB_1+catfd_1_VEZV_51/catpn_1_VEZV_51),0)</f>
        <v>0</v>
      </c>
      <c r="J101" s="76">
        <f>IF(OR(ISBLANK(G101),G101=0),0,F101/ROUND(G101,4))</f>
        <v>0</v>
      </c>
      <c r="K101" s="66">
        <f>ROUND(I101,2)*J101</f>
        <v>0</v>
      </c>
      <c r="L101" s="76">
        <f>J101*dagenperjaar1</f>
        <v>0</v>
      </c>
      <c r="M101" s="66">
        <f>L101*ROUND(I101,2)</f>
        <v>0</v>
      </c>
    </row>
    <row r="102" spans="1:13" x14ac:dyDescent="0.2">
      <c r="A102" s="62" t="s">
        <v>281</v>
      </c>
      <c r="B102" s="62" t="s">
        <v>10</v>
      </c>
      <c r="C102" s="62" t="s">
        <v>231</v>
      </c>
      <c r="D102" s="62" t="s">
        <v>282</v>
      </c>
      <c r="E102" s="76">
        <v>13.729999999999999</v>
      </c>
      <c r="F102" s="76">
        <f>E102*VLOOKUP(B102,dagsoorttabel1,2,FALSE)</f>
        <v>10.984</v>
      </c>
      <c r="G102" s="77">
        <f>IF(AND(catpn_1_VEZB_1&gt;0,catpn_1_VEZV_51&gt;0),(dagenperjaar1*VLOOKUP(B102,dagsoorttabel1,2,FALSE))/(((dagenperjaar1*VLOOKUP(B102,dagsoorttabel1,2,FALSE))-catfd_1_VEZV_51)/catpn_1_VEZB_1+catfd_1_VEZV_51/catpn_1_VEZV_51),0)</f>
        <v>0</v>
      </c>
      <c r="H102" s="62" t="s">
        <v>105</v>
      </c>
      <c r="I102" s="66">
        <f>IF(AND(catpn_1_VEZB_1&gt;0,catpn_1_VEZV_51&gt;0),(cattf_1_VEZB_1*((dagenperjaar1*VLOOKUP(B102,dagsoorttabel1,2,FALSE))-catfd_1_VEZV_51)/catpn_1_VEZB_1+cattf_1_VEZV_51*catfd_1_VEZV_51/catpn_1_VEZV_51)/(((dagenperjaar1*VLOOKUP(B102,dagsoorttabel1,2,FALSE))-catfd_1_VEZV_51)/catpn_1_VEZB_1+catfd_1_VEZV_51/catpn_1_VEZV_51),0)</f>
        <v>0</v>
      </c>
      <c r="J102" s="76">
        <f>IF(OR(ISBLANK(G102),G102=0),0,F102/ROUND(G102,4))</f>
        <v>0</v>
      </c>
      <c r="K102" s="66">
        <f>ROUND(I102,2)*J102</f>
        <v>0</v>
      </c>
      <c r="L102" s="76">
        <f>J102*dagenperjaar1</f>
        <v>0</v>
      </c>
      <c r="M102" s="66">
        <f>L102*ROUND(I102,2)</f>
        <v>0</v>
      </c>
    </row>
    <row r="103" spans="1:13" x14ac:dyDescent="0.2">
      <c r="A103" s="62" t="s">
        <v>281</v>
      </c>
      <c r="B103" s="62" t="s">
        <v>9</v>
      </c>
      <c r="C103" s="62" t="s">
        <v>231</v>
      </c>
      <c r="D103" s="62" t="s">
        <v>282</v>
      </c>
      <c r="E103" s="76">
        <v>19.3</v>
      </c>
      <c r="F103" s="76">
        <f>E103*VLOOKUP(B103,dagsoorttabel1,2,FALSE)</f>
        <v>19.3</v>
      </c>
      <c r="G103" s="77">
        <f>IF(AND(catpn_1_VEZB_1&gt;0,catpn_1_VEZV_51&gt;0),(dagenperjaar1*VLOOKUP(B103,dagsoorttabel1,2,FALSE))/(((dagenperjaar1*VLOOKUP(B103,dagsoorttabel1,2,FALSE))-catfd_1_VEZV_51)/catpn_1_VEZB_1+catfd_1_VEZV_51/catpn_1_VEZV_51),0)</f>
        <v>0</v>
      </c>
      <c r="H103" s="62" t="s">
        <v>105</v>
      </c>
      <c r="I103" s="66">
        <f>IF(AND(catpn_1_VEZB_1&gt;0,catpn_1_VEZV_51&gt;0),(cattf_1_VEZB_1*((dagenperjaar1*VLOOKUP(B103,dagsoorttabel1,2,FALSE))-catfd_1_VEZV_51)/catpn_1_VEZB_1+cattf_1_VEZV_51*catfd_1_VEZV_51/catpn_1_VEZV_51)/(((dagenperjaar1*VLOOKUP(B103,dagsoorttabel1,2,FALSE))-catfd_1_VEZV_51)/catpn_1_VEZB_1+catfd_1_VEZV_51/catpn_1_VEZV_51),0)</f>
        <v>0</v>
      </c>
      <c r="J103" s="76">
        <f>IF(OR(ISBLANK(G103),G103=0),0,F103/ROUND(G103,4))</f>
        <v>0</v>
      </c>
      <c r="K103" s="66">
        <f>ROUND(I103,2)*J103</f>
        <v>0</v>
      </c>
      <c r="L103" s="76">
        <f>J103*dagenperjaar1</f>
        <v>0</v>
      </c>
      <c r="M103" s="66">
        <f>L103*ROUND(I103,2)</f>
        <v>0</v>
      </c>
    </row>
    <row r="104" spans="1:13" x14ac:dyDescent="0.2">
      <c r="A104" s="62" t="s">
        <v>283</v>
      </c>
      <c r="B104" s="62" t="s">
        <v>10</v>
      </c>
      <c r="C104" s="62" t="s">
        <v>231</v>
      </c>
      <c r="D104" s="62" t="s">
        <v>284</v>
      </c>
      <c r="E104" s="76">
        <v>1.53</v>
      </c>
      <c r="F104" s="76">
        <f>E104*VLOOKUP(B104,dagsoorttabel1,2,FALSE)</f>
        <v>1.2240000000000002</v>
      </c>
      <c r="G104" s="77">
        <f>IF(AND(catpn_1_VLHB_1&gt;0,catpn_1_VLHV_51&gt;0),(dagenperjaar1*VLOOKUP(B104,dagsoorttabel1,2,FALSE))/(((dagenperjaar1*VLOOKUP(B104,dagsoorttabel1,2,FALSE))-catfd_1_VLHV_51)/catpn_1_VLHB_1+catfd_1_VLHV_51/catpn_1_VLHV_51),0)</f>
        <v>0</v>
      </c>
      <c r="H104" s="62" t="s">
        <v>105</v>
      </c>
      <c r="I104" s="66">
        <f>IF(AND(catpn_1_VLHB_1&gt;0,catpn_1_VLHV_51&gt;0),(cattf_1_VLHB_1*((dagenperjaar1*VLOOKUP(B104,dagsoorttabel1,2,FALSE))-catfd_1_VLHV_51)/catpn_1_VLHB_1+cattf_1_VLHV_51*catfd_1_VLHV_51/catpn_1_VLHV_51)/(((dagenperjaar1*VLOOKUP(B104,dagsoorttabel1,2,FALSE))-catfd_1_VLHV_51)/catpn_1_VLHB_1+catfd_1_VLHV_51/catpn_1_VLHV_51),0)</f>
        <v>0</v>
      </c>
      <c r="J104" s="76">
        <f>IF(OR(ISBLANK(G104),G104=0),0,F104/ROUND(G104,4))</f>
        <v>0</v>
      </c>
      <c r="K104" s="66">
        <f>ROUND(I104,2)*J104</f>
        <v>0</v>
      </c>
      <c r="L104" s="76">
        <f>J104*dagenperjaar1</f>
        <v>0</v>
      </c>
      <c r="M104" s="66">
        <f>L104*ROUND(I104,2)</f>
        <v>0</v>
      </c>
    </row>
    <row r="105" spans="1:13" x14ac:dyDescent="0.2">
      <c r="A105" s="62" t="s">
        <v>283</v>
      </c>
      <c r="B105" s="62" t="s">
        <v>9</v>
      </c>
      <c r="C105" s="62" t="s">
        <v>231</v>
      </c>
      <c r="D105" s="62" t="s">
        <v>284</v>
      </c>
      <c r="E105" s="76">
        <v>3</v>
      </c>
      <c r="F105" s="76">
        <f>E105*VLOOKUP(B105,dagsoorttabel1,2,FALSE)</f>
        <v>3</v>
      </c>
      <c r="G105" s="77">
        <f>IF(AND(catpn_1_VLHB_1&gt;0,catpn_1_VLHV_51&gt;0),(dagenperjaar1*VLOOKUP(B105,dagsoorttabel1,2,FALSE))/(((dagenperjaar1*VLOOKUP(B105,dagsoorttabel1,2,FALSE))-catfd_1_VLHV_51)/catpn_1_VLHB_1+catfd_1_VLHV_51/catpn_1_VLHV_51),0)</f>
        <v>0</v>
      </c>
      <c r="H105" s="62" t="s">
        <v>105</v>
      </c>
      <c r="I105" s="66">
        <f>IF(AND(catpn_1_VLHB_1&gt;0,catpn_1_VLHV_51&gt;0),(cattf_1_VLHB_1*((dagenperjaar1*VLOOKUP(B105,dagsoorttabel1,2,FALSE))-catfd_1_VLHV_51)/catpn_1_VLHB_1+cattf_1_VLHV_51*catfd_1_VLHV_51/catpn_1_VLHV_51)/(((dagenperjaar1*VLOOKUP(B105,dagsoorttabel1,2,FALSE))-catfd_1_VLHV_51)/catpn_1_VLHB_1+catfd_1_VLHV_51/catpn_1_VLHV_51),0)</f>
        <v>0</v>
      </c>
      <c r="J105" s="76">
        <f>IF(OR(ISBLANK(G105),G105=0),0,F105/ROUND(G105,4))</f>
        <v>0</v>
      </c>
      <c r="K105" s="66">
        <f>ROUND(I105,2)*J105</f>
        <v>0</v>
      </c>
      <c r="L105" s="76">
        <f>J105*dagenperjaar1</f>
        <v>0</v>
      </c>
      <c r="M105" s="66">
        <f>L105*ROUND(I105,2)</f>
        <v>0</v>
      </c>
    </row>
    <row r="106" spans="1:13" x14ac:dyDescent="0.2">
      <c r="A106" s="62" t="s">
        <v>285</v>
      </c>
      <c r="B106" s="62" t="s">
        <v>15</v>
      </c>
      <c r="C106" s="62" t="s">
        <v>231</v>
      </c>
      <c r="D106" s="62" t="s">
        <v>286</v>
      </c>
      <c r="E106" s="76">
        <v>3.8</v>
      </c>
      <c r="F106" s="76">
        <f>E106*VLOOKUP(B106,dagsoorttabel1,2,FALSE)</f>
        <v>0.17882352941176469</v>
      </c>
      <c r="G106" s="77">
        <f>catpn_1_VOHV_12</f>
        <v>0</v>
      </c>
      <c r="H106" s="62" t="s">
        <v>105</v>
      </c>
      <c r="I106" s="66">
        <f>cattf_1_VOHV_12</f>
        <v>0</v>
      </c>
      <c r="J106" s="76">
        <f>IF(OR(ISBLANK(G106),G106=0),0,F106/ROUND(G106,4))</f>
        <v>0</v>
      </c>
      <c r="K106" s="66">
        <f>ROUND(I106,2)*J106</f>
        <v>0</v>
      </c>
      <c r="L106" s="76">
        <f>J106*dagenperjaar1</f>
        <v>0</v>
      </c>
      <c r="M106" s="66">
        <f>L106*ROUND(I106,2)</f>
        <v>0</v>
      </c>
    </row>
    <row r="107" spans="1:13" x14ac:dyDescent="0.2">
      <c r="A107" s="62" t="s">
        <v>285</v>
      </c>
      <c r="B107" s="62" t="s">
        <v>23</v>
      </c>
      <c r="C107" s="62" t="s">
        <v>231</v>
      </c>
      <c r="D107" s="62" t="s">
        <v>286</v>
      </c>
      <c r="E107" s="76">
        <v>2</v>
      </c>
      <c r="F107" s="76">
        <f>E107*VLOOKUP(B107,dagsoorttabel1,2,FALSE)</f>
        <v>7.8431372549019607E-3</v>
      </c>
      <c r="G107" s="77">
        <f>IF(AND(catpn_1_VOHB_1&gt;0,catpn_1_VOHV_51&gt;0),(dagenperjaar1*VLOOKUP(B107,dagsoorttabel1,2,FALSE))/(((dagenperjaar1*VLOOKUP(B107,dagsoorttabel1,2,FALSE))-catfd_1_VOHV_51)/catpn_1_VOHB_1+catfd_1_VOHV_51/catpn_1_VOHV_51),0)</f>
        <v>0</v>
      </c>
      <c r="H107" s="62" t="s">
        <v>105</v>
      </c>
      <c r="I107" s="66">
        <f>IF(AND(catpn_1_VOHB_1&gt;0,catpn_1_VOHV_51&gt;0),(cattf_1_VOHB_1*((dagenperjaar1*VLOOKUP(B107,dagsoorttabel1,2,FALSE))-catfd_1_VOHV_51)/catpn_1_VOHB_1+cattf_1_VOHV_51*catfd_1_VOHV_51/catpn_1_VOHV_51)/(((dagenperjaar1*VLOOKUP(B107,dagsoorttabel1,2,FALSE))-catfd_1_VOHV_51)/catpn_1_VOHB_1+catfd_1_VOHV_51/catpn_1_VOHV_51),0)</f>
        <v>0</v>
      </c>
      <c r="J107" s="76">
        <f>IF(OR(ISBLANK(G107),G107=0),0,F107/ROUND(G107,4))</f>
        <v>0</v>
      </c>
      <c r="K107" s="66">
        <f>ROUND(I107,2)*J107</f>
        <v>0</v>
      </c>
      <c r="L107" s="76">
        <f>J107*dagenperjaar1</f>
        <v>0</v>
      </c>
      <c r="M107" s="66">
        <f>L107*ROUND(I107,2)</f>
        <v>0</v>
      </c>
    </row>
    <row r="108" spans="1:13" x14ac:dyDescent="0.2">
      <c r="A108" s="62" t="s">
        <v>285</v>
      </c>
      <c r="B108" s="62" t="s">
        <v>12</v>
      </c>
      <c r="C108" s="62" t="s">
        <v>231</v>
      </c>
      <c r="D108" s="62" t="s">
        <v>286</v>
      </c>
      <c r="E108" s="76">
        <v>2.1</v>
      </c>
      <c r="F108" s="76">
        <f>E108*VLOOKUP(B108,dagsoorttabel1,2,FALSE)</f>
        <v>0.84000000000000008</v>
      </c>
      <c r="G108" s="77">
        <f>IF(AND(catpn_1_VOHB_1&gt;0,catpn_1_VOHV_51&gt;0),(dagenperjaar1*VLOOKUP(B108,dagsoorttabel1,2,FALSE))/(((dagenperjaar1*VLOOKUP(B108,dagsoorttabel1,2,FALSE))-catfd_1_VOHV_51)/catpn_1_VOHB_1+catfd_1_VOHV_51/catpn_1_VOHV_51),0)</f>
        <v>0</v>
      </c>
      <c r="H108" s="62" t="s">
        <v>105</v>
      </c>
      <c r="I108" s="66">
        <f>IF(AND(catpn_1_VOHB_1&gt;0,catpn_1_VOHV_51&gt;0),(cattf_1_VOHB_1*((dagenperjaar1*VLOOKUP(B108,dagsoorttabel1,2,FALSE))-catfd_1_VOHV_51)/catpn_1_VOHB_1+cattf_1_VOHV_51*catfd_1_VOHV_51/catpn_1_VOHV_51)/(((dagenperjaar1*VLOOKUP(B108,dagsoorttabel1,2,FALSE))-catfd_1_VOHV_51)/catpn_1_VOHB_1+catfd_1_VOHV_51/catpn_1_VOHV_51),0)</f>
        <v>0</v>
      </c>
      <c r="J108" s="76">
        <f>IF(OR(ISBLANK(G108),G108=0),0,F108/ROUND(G108,4))</f>
        <v>0</v>
      </c>
      <c r="K108" s="66">
        <f>ROUND(I108,2)*J108</f>
        <v>0</v>
      </c>
      <c r="L108" s="76">
        <f>J108*dagenperjaar1</f>
        <v>0</v>
      </c>
      <c r="M108" s="66">
        <f>L108*ROUND(I108,2)</f>
        <v>0</v>
      </c>
    </row>
    <row r="109" spans="1:13" x14ac:dyDescent="0.2">
      <c r="A109" s="62" t="s">
        <v>285</v>
      </c>
      <c r="B109" s="62" t="s">
        <v>11</v>
      </c>
      <c r="C109" s="62" t="s">
        <v>231</v>
      </c>
      <c r="D109" s="62" t="s">
        <v>286</v>
      </c>
      <c r="E109" s="76">
        <v>11.529999999999998</v>
      </c>
      <c r="F109" s="76">
        <f>E109*VLOOKUP(B109,dagsoorttabel1,2,FALSE)</f>
        <v>6.9179999999999984</v>
      </c>
      <c r="G109" s="77">
        <f>IF(AND(catpn_1_VOHB_1&gt;0,catpn_1_VOHV_51&gt;0),(dagenperjaar1*VLOOKUP(B109,dagsoorttabel1,2,FALSE))/(((dagenperjaar1*VLOOKUP(B109,dagsoorttabel1,2,FALSE))-catfd_1_VOHV_51)/catpn_1_VOHB_1+catfd_1_VOHV_51/catpn_1_VOHV_51),0)</f>
        <v>0</v>
      </c>
      <c r="H109" s="62" t="s">
        <v>105</v>
      </c>
      <c r="I109" s="66">
        <f>IF(AND(catpn_1_VOHB_1&gt;0,catpn_1_VOHV_51&gt;0),(cattf_1_VOHB_1*((dagenperjaar1*VLOOKUP(B109,dagsoorttabel1,2,FALSE))-catfd_1_VOHV_51)/catpn_1_VOHB_1+cattf_1_VOHV_51*catfd_1_VOHV_51/catpn_1_VOHV_51)/(((dagenperjaar1*VLOOKUP(B109,dagsoorttabel1,2,FALSE))-catfd_1_VOHV_51)/catpn_1_VOHB_1+catfd_1_VOHV_51/catpn_1_VOHV_51),0)</f>
        <v>0</v>
      </c>
      <c r="J109" s="76">
        <f>IF(OR(ISBLANK(G109),G109=0),0,F109/ROUND(G109,4))</f>
        <v>0</v>
      </c>
      <c r="K109" s="66">
        <f>ROUND(I109,2)*J109</f>
        <v>0</v>
      </c>
      <c r="L109" s="76">
        <f>J109*dagenperjaar1</f>
        <v>0</v>
      </c>
      <c r="M109" s="66">
        <f>L109*ROUND(I109,2)</f>
        <v>0</v>
      </c>
    </row>
    <row r="110" spans="1:13" x14ac:dyDescent="0.2">
      <c r="A110" s="62" t="s">
        <v>287</v>
      </c>
      <c r="B110" s="62" t="s">
        <v>9</v>
      </c>
      <c r="C110" s="62" t="s">
        <v>231</v>
      </c>
      <c r="D110" s="62" t="s">
        <v>286</v>
      </c>
      <c r="E110" s="76">
        <v>14.7</v>
      </c>
      <c r="F110" s="76">
        <f>E110*VLOOKUP(B110,dagsoorttabel1,2,FALSE)</f>
        <v>14.7</v>
      </c>
      <c r="G110" s="77">
        <f>IF(AND(catpn_1_VOZB_1&gt;0,catpn_1_VOZV_51&gt;0),(dagenperjaar1*VLOOKUP(B110,dagsoorttabel1,2,FALSE))/(((dagenperjaar1*VLOOKUP(B110,dagsoorttabel1,2,FALSE))-catfd_1_VOZV_51)/catpn_1_VOZB_1+catfd_1_VOZV_51/catpn_1_VOZV_51),0)</f>
        <v>0</v>
      </c>
      <c r="H110" s="62" t="s">
        <v>105</v>
      </c>
      <c r="I110" s="66">
        <f>IF(AND(catpn_1_VOZB_1&gt;0,catpn_1_VOZV_51&gt;0),(cattf_1_VOZB_1*((dagenperjaar1*VLOOKUP(B110,dagsoorttabel1,2,FALSE))-catfd_1_VOZV_51)/catpn_1_VOZB_1+cattf_1_VOZV_51*catfd_1_VOZV_51/catpn_1_VOZV_51)/(((dagenperjaar1*VLOOKUP(B110,dagsoorttabel1,2,FALSE))-catfd_1_VOZV_51)/catpn_1_VOZB_1+catfd_1_VOZV_51/catpn_1_VOZV_51),0)</f>
        <v>0</v>
      </c>
      <c r="J110" s="76">
        <f>IF(OR(ISBLANK(G110),G110=0),0,F110/ROUND(G110,4))</f>
        <v>0</v>
      </c>
      <c r="K110" s="66">
        <f>ROUND(I110,2)*J110</f>
        <v>0</v>
      </c>
      <c r="L110" s="76">
        <f>J110*dagenperjaar1</f>
        <v>0</v>
      </c>
      <c r="M110" s="66">
        <f>L110*ROUND(I110,2)</f>
        <v>0</v>
      </c>
    </row>
    <row r="111" spans="1:13" x14ac:dyDescent="0.2">
      <c r="A111" s="62" t="s">
        <v>288</v>
      </c>
      <c r="B111" s="62" t="s">
        <v>22</v>
      </c>
      <c r="C111" s="62" t="s">
        <v>231</v>
      </c>
      <c r="D111" s="62" t="s">
        <v>289</v>
      </c>
      <c r="E111" s="76">
        <v>292.89999999999998</v>
      </c>
      <c r="F111" s="76">
        <f>E111*VLOOKUP(B111,dagsoorttabel1,2,FALSE)</f>
        <v>2.297254901960784</v>
      </c>
      <c r="G111" s="77">
        <f>catpn_1_VRHV_4</f>
        <v>0</v>
      </c>
      <c r="H111" s="62" t="s">
        <v>105</v>
      </c>
      <c r="I111" s="66">
        <f>cattf_1_VRHV_4</f>
        <v>0</v>
      </c>
      <c r="J111" s="76">
        <f>IF(OR(ISBLANK(G111),G111=0),0,F111/ROUND(G111,4))</f>
        <v>0</v>
      </c>
      <c r="K111" s="66">
        <f>ROUND(I111,2)*J111</f>
        <v>0</v>
      </c>
      <c r="L111" s="76">
        <f>J111*dagenperjaar1</f>
        <v>0</v>
      </c>
      <c r="M111" s="66">
        <f>L111*ROUND(I111,2)</f>
        <v>0</v>
      </c>
    </row>
    <row r="112" spans="1:13" x14ac:dyDescent="0.2">
      <c r="A112" s="62" t="s">
        <v>288</v>
      </c>
      <c r="B112" s="62" t="s">
        <v>20</v>
      </c>
      <c r="C112" s="62" t="s">
        <v>231</v>
      </c>
      <c r="D112" s="62" t="s">
        <v>289</v>
      </c>
      <c r="E112" s="76">
        <v>508.29999999999995</v>
      </c>
      <c r="F112" s="76">
        <f>E112*VLOOKUP(B112,dagsoorttabel1,2,FALSE)</f>
        <v>7.9733333333333327</v>
      </c>
      <c r="G112" s="77">
        <f>catpn_1_VRHV_4</f>
        <v>0</v>
      </c>
      <c r="H112" s="62" t="s">
        <v>105</v>
      </c>
      <c r="I112" s="66">
        <f>cattf_1_VRHV_4</f>
        <v>0</v>
      </c>
      <c r="J112" s="76">
        <f>IF(OR(ISBLANK(G112),G112=0),0,F112/ROUND(G112,4))</f>
        <v>0</v>
      </c>
      <c r="K112" s="66">
        <f>ROUND(I112,2)*J112</f>
        <v>0</v>
      </c>
      <c r="L112" s="76">
        <f>J112*dagenperjaar1</f>
        <v>0</v>
      </c>
      <c r="M112" s="66">
        <f>L112*ROUND(I112,2)</f>
        <v>0</v>
      </c>
    </row>
    <row r="113" spans="1:13" x14ac:dyDescent="0.2">
      <c r="A113" s="62" t="s">
        <v>290</v>
      </c>
      <c r="B113" s="62" t="s">
        <v>15</v>
      </c>
      <c r="C113" s="62" t="s">
        <v>231</v>
      </c>
      <c r="D113" s="62" t="s">
        <v>291</v>
      </c>
      <c r="E113" s="76">
        <v>15</v>
      </c>
      <c r="F113" s="76">
        <f>E113*VLOOKUP(B113,dagsoorttabel1,2,FALSE)</f>
        <v>0.70588235294117641</v>
      </c>
      <c r="G113" s="77">
        <f>catpn_1_VTHV_12</f>
        <v>0</v>
      </c>
      <c r="H113" s="62" t="s">
        <v>105</v>
      </c>
      <c r="I113" s="66">
        <f>cattf_1_VTHV_12</f>
        <v>0</v>
      </c>
      <c r="J113" s="76">
        <f>IF(OR(ISBLANK(G113),G113=0),0,F113/ROUND(G113,4))</f>
        <v>0</v>
      </c>
      <c r="K113" s="66">
        <f>ROUND(I113,2)*J113</f>
        <v>0</v>
      </c>
      <c r="L113" s="76">
        <f>J113*dagenperjaar1</f>
        <v>0</v>
      </c>
      <c r="M113" s="66">
        <f>L113*ROUND(I113,2)</f>
        <v>0</v>
      </c>
    </row>
    <row r="114" spans="1:13" x14ac:dyDescent="0.2">
      <c r="A114" s="62" t="s">
        <v>290</v>
      </c>
      <c r="B114" s="62" t="s">
        <v>13</v>
      </c>
      <c r="C114" s="62" t="s">
        <v>231</v>
      </c>
      <c r="D114" s="62" t="s">
        <v>291</v>
      </c>
      <c r="E114" s="76">
        <v>4.3</v>
      </c>
      <c r="F114" s="76">
        <f>E114*VLOOKUP(B114,dagsoorttabel1,2,FALSE)</f>
        <v>0.86</v>
      </c>
      <c r="G114" s="77">
        <f>IF(AND(catpn_1_VTHB_1&gt;0,catpn_1_VTHV_51&gt;0),(dagenperjaar1*VLOOKUP(B114,dagsoorttabel1,2,FALSE))/(((dagenperjaar1*VLOOKUP(B114,dagsoorttabel1,2,FALSE))-catfd_1_VTHV_51)/catpn_1_VTHB_1+catfd_1_VTHV_51/catpn_1_VTHV_51),0)</f>
        <v>0</v>
      </c>
      <c r="H114" s="62" t="s">
        <v>105</v>
      </c>
      <c r="I114" s="66">
        <f>IF(AND(catpn_1_VTHB_1&gt;0,catpn_1_VTHV_51&gt;0),(cattf_1_VTHB_1*((dagenperjaar1*VLOOKUP(B114,dagsoorttabel1,2,FALSE))-catfd_1_VTHV_51)/catpn_1_VTHB_1+cattf_1_VTHV_51*catfd_1_VTHV_51/catpn_1_VTHV_51)/(((dagenperjaar1*VLOOKUP(B114,dagsoorttabel1,2,FALSE))-catfd_1_VTHV_51)/catpn_1_VTHB_1+catfd_1_VTHV_51/catpn_1_VTHV_51),0)</f>
        <v>0</v>
      </c>
      <c r="J114" s="76">
        <f>IF(OR(ISBLANK(G114),G114=0),0,F114/ROUND(G114,4))</f>
        <v>0</v>
      </c>
      <c r="K114" s="66">
        <f>ROUND(I114,2)*J114</f>
        <v>0</v>
      </c>
      <c r="L114" s="76">
        <f>J114*dagenperjaar1</f>
        <v>0</v>
      </c>
      <c r="M114" s="66">
        <f>L114*ROUND(I114,2)</f>
        <v>0</v>
      </c>
    </row>
    <row r="115" spans="1:13" x14ac:dyDescent="0.2">
      <c r="A115" s="62" t="s">
        <v>290</v>
      </c>
      <c r="B115" s="62" t="s">
        <v>14</v>
      </c>
      <c r="C115" s="62" t="s">
        <v>231</v>
      </c>
      <c r="D115" s="62" t="s">
        <v>291</v>
      </c>
      <c r="E115" s="76">
        <v>8</v>
      </c>
      <c r="F115" s="76">
        <f>E115*VLOOKUP(B115,dagsoorttabel1,2,FALSE)</f>
        <v>0.81568627450980391</v>
      </c>
      <c r="G115" s="77">
        <f>catpn_1_VTHV_51</f>
        <v>0</v>
      </c>
      <c r="H115" s="62" t="s">
        <v>105</v>
      </c>
      <c r="I115" s="66">
        <f>cattf_1_VTHV_51</f>
        <v>0</v>
      </c>
      <c r="J115" s="76">
        <f>IF(OR(ISBLANK(G115),G115=0),0,F115/ROUND(G115,4))</f>
        <v>0</v>
      </c>
      <c r="K115" s="66">
        <f>ROUND(I115,2)*J115</f>
        <v>0</v>
      </c>
      <c r="L115" s="76">
        <f>J115*dagenperjaar1</f>
        <v>0</v>
      </c>
      <c r="M115" s="66">
        <f>L115*ROUND(I115,2)</f>
        <v>0</v>
      </c>
    </row>
    <row r="116" spans="1:13" x14ac:dyDescent="0.2">
      <c r="A116" s="62" t="s">
        <v>290</v>
      </c>
      <c r="B116" s="62" t="s">
        <v>22</v>
      </c>
      <c r="C116" s="62" t="s">
        <v>231</v>
      </c>
      <c r="D116" s="62" t="s">
        <v>291</v>
      </c>
      <c r="E116" s="76">
        <v>98.1</v>
      </c>
      <c r="F116" s="76">
        <f>E116*VLOOKUP(B116,dagsoorttabel1,2,FALSE)</f>
        <v>0.76941176470588235</v>
      </c>
      <c r="G116" s="77">
        <f>catpn_1_VTHV_2</f>
        <v>0</v>
      </c>
      <c r="H116" s="62" t="s">
        <v>105</v>
      </c>
      <c r="I116" s="66">
        <f>cattf_1_VTHV_2</f>
        <v>0</v>
      </c>
      <c r="J116" s="76">
        <f>IF(OR(ISBLANK(G116),G116=0),0,F116/ROUND(G116,4))</f>
        <v>0</v>
      </c>
      <c r="K116" s="66">
        <f>ROUND(I116,2)*J116</f>
        <v>0</v>
      </c>
      <c r="L116" s="76">
        <f>J116*dagenperjaar1</f>
        <v>0</v>
      </c>
      <c r="M116" s="66">
        <f>L116*ROUND(I116,2)</f>
        <v>0</v>
      </c>
    </row>
    <row r="117" spans="1:13" x14ac:dyDescent="0.2">
      <c r="A117" s="62" t="s">
        <v>290</v>
      </c>
      <c r="B117" s="62" t="s">
        <v>12</v>
      </c>
      <c r="C117" s="62" t="s">
        <v>231</v>
      </c>
      <c r="D117" s="62" t="s">
        <v>291</v>
      </c>
      <c r="E117" s="76">
        <v>63.480000000000004</v>
      </c>
      <c r="F117" s="76">
        <f>E117*VLOOKUP(B117,dagsoorttabel1,2,FALSE)</f>
        <v>25.392000000000003</v>
      </c>
      <c r="G117" s="77">
        <f>IF(AND(catpn_1_VTHB_1&gt;0,catpn_1_VTHV_51&gt;0),(dagenperjaar1*VLOOKUP(B117,dagsoorttabel1,2,FALSE))/(((dagenperjaar1*VLOOKUP(B117,dagsoorttabel1,2,FALSE))-catfd_1_VTHV_51)/catpn_1_VTHB_1+catfd_1_VTHV_51/catpn_1_VTHV_51),0)</f>
        <v>0</v>
      </c>
      <c r="H117" s="62" t="s">
        <v>105</v>
      </c>
      <c r="I117" s="66">
        <f>IF(AND(catpn_1_VTHB_1&gt;0,catpn_1_VTHV_51&gt;0),(cattf_1_VTHB_1*((dagenperjaar1*VLOOKUP(B117,dagsoorttabel1,2,FALSE))-catfd_1_VTHV_51)/catpn_1_VTHB_1+cattf_1_VTHV_51*catfd_1_VTHV_51/catpn_1_VTHV_51)/(((dagenperjaar1*VLOOKUP(B117,dagsoorttabel1,2,FALSE))-catfd_1_VTHV_51)/catpn_1_VTHB_1+catfd_1_VTHV_51/catpn_1_VTHV_51),0)</f>
        <v>0</v>
      </c>
      <c r="J117" s="76">
        <f>IF(OR(ISBLANK(G117),G117=0),0,F117/ROUND(G117,4))</f>
        <v>0</v>
      </c>
      <c r="K117" s="66">
        <f>ROUND(I117,2)*J117</f>
        <v>0</v>
      </c>
      <c r="L117" s="76">
        <f>J117*dagenperjaar1</f>
        <v>0</v>
      </c>
      <c r="M117" s="66">
        <f>L117*ROUND(I117,2)</f>
        <v>0</v>
      </c>
    </row>
    <row r="118" spans="1:13" x14ac:dyDescent="0.2">
      <c r="A118" s="62" t="s">
        <v>290</v>
      </c>
      <c r="B118" s="62" t="s">
        <v>11</v>
      </c>
      <c r="C118" s="62" t="s">
        <v>231</v>
      </c>
      <c r="D118" s="62" t="s">
        <v>291</v>
      </c>
      <c r="E118" s="76">
        <v>54.9</v>
      </c>
      <c r="F118" s="76">
        <f>E118*VLOOKUP(B118,dagsoorttabel1,2,FALSE)</f>
        <v>32.94</v>
      </c>
      <c r="G118" s="77">
        <f>IF(AND(catpn_1_VTHB_1&gt;0,catpn_1_VTHV_51&gt;0),(dagenperjaar1*VLOOKUP(B118,dagsoorttabel1,2,FALSE))/(((dagenperjaar1*VLOOKUP(B118,dagsoorttabel1,2,FALSE))-catfd_1_VTHV_51)/catpn_1_VTHB_1+catfd_1_VTHV_51/catpn_1_VTHV_51),0)</f>
        <v>0</v>
      </c>
      <c r="H118" s="62" t="s">
        <v>105</v>
      </c>
      <c r="I118" s="66">
        <f>IF(AND(catpn_1_VTHB_1&gt;0,catpn_1_VTHV_51&gt;0),(cattf_1_VTHB_1*((dagenperjaar1*VLOOKUP(B118,dagsoorttabel1,2,FALSE))-catfd_1_VTHV_51)/catpn_1_VTHB_1+cattf_1_VTHV_51*catfd_1_VTHV_51/catpn_1_VTHV_51)/(((dagenperjaar1*VLOOKUP(B118,dagsoorttabel1,2,FALSE))-catfd_1_VTHV_51)/catpn_1_VTHB_1+catfd_1_VTHV_51/catpn_1_VTHV_51),0)</f>
        <v>0</v>
      </c>
      <c r="J118" s="76">
        <f>IF(OR(ISBLANK(G118),G118=0),0,F118/ROUND(G118,4))</f>
        <v>0</v>
      </c>
      <c r="K118" s="66">
        <f>ROUND(I118,2)*J118</f>
        <v>0</v>
      </c>
      <c r="L118" s="76">
        <f>J118*dagenperjaar1</f>
        <v>0</v>
      </c>
      <c r="M118" s="66">
        <f>L118*ROUND(I118,2)</f>
        <v>0</v>
      </c>
    </row>
    <row r="119" spans="1:13" x14ac:dyDescent="0.2">
      <c r="A119" s="62" t="s">
        <v>290</v>
      </c>
      <c r="B119" s="62" t="s">
        <v>20</v>
      </c>
      <c r="C119" s="62" t="s">
        <v>231</v>
      </c>
      <c r="D119" s="62" t="s">
        <v>291</v>
      </c>
      <c r="E119" s="76">
        <v>14.7</v>
      </c>
      <c r="F119" s="76">
        <f>E119*VLOOKUP(B119,dagsoorttabel1,2,FALSE)</f>
        <v>0.23058823529411762</v>
      </c>
      <c r="G119" s="77">
        <f>catpn_1_VTHV_4</f>
        <v>0</v>
      </c>
      <c r="H119" s="62" t="s">
        <v>105</v>
      </c>
      <c r="I119" s="66">
        <f>cattf_1_VTHV_4</f>
        <v>0</v>
      </c>
      <c r="J119" s="76">
        <f>IF(OR(ISBLANK(G119),G119=0),0,F119/ROUND(G119,4))</f>
        <v>0</v>
      </c>
      <c r="K119" s="66">
        <f>ROUND(I119,2)*J119</f>
        <v>0</v>
      </c>
      <c r="L119" s="76">
        <f>J119*dagenperjaar1</f>
        <v>0</v>
      </c>
      <c r="M119" s="66">
        <f>L119*ROUND(I119,2)</f>
        <v>0</v>
      </c>
    </row>
    <row r="120" spans="1:13" x14ac:dyDescent="0.2">
      <c r="A120" s="62" t="s">
        <v>290</v>
      </c>
      <c r="B120" s="62" t="s">
        <v>9</v>
      </c>
      <c r="C120" s="62" t="s">
        <v>231</v>
      </c>
      <c r="D120" s="62" t="s">
        <v>291</v>
      </c>
      <c r="E120" s="76">
        <v>102.80000000000001</v>
      </c>
      <c r="F120" s="76">
        <f>E120*VLOOKUP(B120,dagsoorttabel1,2,FALSE)</f>
        <v>102.80000000000001</v>
      </c>
      <c r="G120" s="77">
        <f>IF(AND(catpn_1_VTHB_1&gt;0,catpn_1_VTHV_51&gt;0),(dagenperjaar1*VLOOKUP(B120,dagsoorttabel1,2,FALSE))/(((dagenperjaar1*VLOOKUP(B120,dagsoorttabel1,2,FALSE))-catfd_1_VTHV_51)/catpn_1_VTHB_1+catfd_1_VTHV_51/catpn_1_VTHV_51),0)</f>
        <v>0</v>
      </c>
      <c r="H120" s="62" t="s">
        <v>105</v>
      </c>
      <c r="I120" s="66">
        <f>IF(AND(catpn_1_VTHB_1&gt;0,catpn_1_VTHV_51&gt;0),(cattf_1_VTHB_1*((dagenperjaar1*VLOOKUP(B120,dagsoorttabel1,2,FALSE))-catfd_1_VTHV_51)/catpn_1_VTHB_1+cattf_1_VTHV_51*catfd_1_VTHV_51/catpn_1_VTHV_51)/(((dagenperjaar1*VLOOKUP(B120,dagsoorttabel1,2,FALSE))-catfd_1_VTHV_51)/catpn_1_VTHB_1+catfd_1_VTHV_51/catpn_1_VTHV_51),0)</f>
        <v>0</v>
      </c>
      <c r="J120" s="76">
        <f>IF(OR(ISBLANK(G120),G120=0),0,F120/ROUND(G120,4))</f>
        <v>0</v>
      </c>
      <c r="K120" s="66">
        <f>ROUND(I120,2)*J120</f>
        <v>0</v>
      </c>
      <c r="L120" s="76">
        <f>J120*dagenperjaar1</f>
        <v>0</v>
      </c>
      <c r="M120" s="66">
        <f>L120*ROUND(I120,2)</f>
        <v>0</v>
      </c>
    </row>
    <row r="121" spans="1:13" x14ac:dyDescent="0.2">
      <c r="A121" s="62" t="s">
        <v>292</v>
      </c>
      <c r="B121" s="62" t="s">
        <v>13</v>
      </c>
      <c r="C121" s="62" t="s">
        <v>231</v>
      </c>
      <c r="D121" s="62" t="s">
        <v>293</v>
      </c>
      <c r="E121" s="76">
        <v>7.2</v>
      </c>
      <c r="F121" s="76">
        <f>E121*VLOOKUP(B121,dagsoorttabel1,2,FALSE)</f>
        <v>1.4400000000000002</v>
      </c>
      <c r="G121" s="77">
        <f>IF(AND(catpn_1_VTZB_1&gt;0,catpn_1_VTZV_51&gt;0),(dagenperjaar1*VLOOKUP(B121,dagsoorttabel1,2,FALSE))/(((dagenperjaar1*VLOOKUP(B121,dagsoorttabel1,2,FALSE))-catfd_1_VTZV_51)/catpn_1_VTZB_1+catfd_1_VTZV_51/catpn_1_VTZV_51),0)</f>
        <v>0</v>
      </c>
      <c r="H121" s="62" t="s">
        <v>105</v>
      </c>
      <c r="I121" s="66">
        <f>IF(AND(catpn_1_VTZB_1&gt;0,catpn_1_VTZV_51&gt;0),(cattf_1_VTZB_1*((dagenperjaar1*VLOOKUP(B121,dagsoorttabel1,2,FALSE))-catfd_1_VTZV_51)/catpn_1_VTZB_1+cattf_1_VTZV_51*catfd_1_VTZV_51/catpn_1_VTZV_51)/(((dagenperjaar1*VLOOKUP(B121,dagsoorttabel1,2,FALSE))-catfd_1_VTZV_51)/catpn_1_VTZB_1+catfd_1_VTZV_51/catpn_1_VTZV_51),0)</f>
        <v>0</v>
      </c>
      <c r="J121" s="76">
        <f>IF(OR(ISBLANK(G121),G121=0),0,F121/ROUND(G121,4))</f>
        <v>0</v>
      </c>
      <c r="K121" s="66">
        <f>ROUND(I121,2)*J121</f>
        <v>0</v>
      </c>
      <c r="L121" s="76">
        <f>J121*dagenperjaar1</f>
        <v>0</v>
      </c>
      <c r="M121" s="66">
        <f>L121*ROUND(I121,2)</f>
        <v>0</v>
      </c>
    </row>
    <row r="122" spans="1:13" x14ac:dyDescent="0.2">
      <c r="A122" s="62" t="s">
        <v>292</v>
      </c>
      <c r="B122" s="62" t="s">
        <v>12</v>
      </c>
      <c r="C122" s="62" t="s">
        <v>231</v>
      </c>
      <c r="D122" s="62" t="s">
        <v>293</v>
      </c>
      <c r="E122" s="76">
        <v>11.8</v>
      </c>
      <c r="F122" s="76">
        <f>E122*VLOOKUP(B122,dagsoorttabel1,2,FALSE)</f>
        <v>4.7200000000000006</v>
      </c>
      <c r="G122" s="77">
        <f>IF(AND(catpn_1_VTZB_1&gt;0,catpn_1_VTZV_51&gt;0),(dagenperjaar1*VLOOKUP(B122,dagsoorttabel1,2,FALSE))/(((dagenperjaar1*VLOOKUP(B122,dagsoorttabel1,2,FALSE))-catfd_1_VTZV_51)/catpn_1_VTZB_1+catfd_1_VTZV_51/catpn_1_VTZV_51),0)</f>
        <v>0</v>
      </c>
      <c r="H122" s="62" t="s">
        <v>105</v>
      </c>
      <c r="I122" s="66">
        <f>IF(AND(catpn_1_VTZB_1&gt;0,catpn_1_VTZV_51&gt;0),(cattf_1_VTZB_1*((dagenperjaar1*VLOOKUP(B122,dagsoorttabel1,2,FALSE))-catfd_1_VTZV_51)/catpn_1_VTZB_1+cattf_1_VTZV_51*catfd_1_VTZV_51/catpn_1_VTZV_51)/(((dagenperjaar1*VLOOKUP(B122,dagsoorttabel1,2,FALSE))-catfd_1_VTZV_51)/catpn_1_VTZB_1+catfd_1_VTZV_51/catpn_1_VTZV_51),0)</f>
        <v>0</v>
      </c>
      <c r="J122" s="76">
        <f>IF(OR(ISBLANK(G122),G122=0),0,F122/ROUND(G122,4))</f>
        <v>0</v>
      </c>
      <c r="K122" s="66">
        <f>ROUND(I122,2)*J122</f>
        <v>0</v>
      </c>
      <c r="L122" s="76">
        <f>J122*dagenperjaar1</f>
        <v>0</v>
      </c>
      <c r="M122" s="66">
        <f>L122*ROUND(I122,2)</f>
        <v>0</v>
      </c>
    </row>
    <row r="123" spans="1:13" x14ac:dyDescent="0.2">
      <c r="A123" s="62" t="s">
        <v>292</v>
      </c>
      <c r="B123" s="62" t="s">
        <v>10</v>
      </c>
      <c r="C123" s="62" t="s">
        <v>231</v>
      </c>
      <c r="D123" s="62" t="s">
        <v>293</v>
      </c>
      <c r="E123" s="76">
        <v>57.239999999999995</v>
      </c>
      <c r="F123" s="76">
        <f>E123*VLOOKUP(B123,dagsoorttabel1,2,FALSE)</f>
        <v>45.792000000000002</v>
      </c>
      <c r="G123" s="77">
        <f>IF(AND(catpn_1_VTZB_1&gt;0,catpn_1_VTZV_51&gt;0),(dagenperjaar1*VLOOKUP(B123,dagsoorttabel1,2,FALSE))/(((dagenperjaar1*VLOOKUP(B123,dagsoorttabel1,2,FALSE))-catfd_1_VTZV_51)/catpn_1_VTZB_1+catfd_1_VTZV_51/catpn_1_VTZV_51),0)</f>
        <v>0</v>
      </c>
      <c r="H123" s="62" t="s">
        <v>105</v>
      </c>
      <c r="I123" s="66">
        <f>IF(AND(catpn_1_VTZB_1&gt;0,catpn_1_VTZV_51&gt;0),(cattf_1_VTZB_1*((dagenperjaar1*VLOOKUP(B123,dagsoorttabel1,2,FALSE))-catfd_1_VTZV_51)/catpn_1_VTZB_1+cattf_1_VTZV_51*catfd_1_VTZV_51/catpn_1_VTZV_51)/(((dagenperjaar1*VLOOKUP(B123,dagsoorttabel1,2,FALSE))-catfd_1_VTZV_51)/catpn_1_VTZB_1+catfd_1_VTZV_51/catpn_1_VTZV_51),0)</f>
        <v>0</v>
      </c>
      <c r="J123" s="76">
        <f>IF(OR(ISBLANK(G123),G123=0),0,F123/ROUND(G123,4))</f>
        <v>0</v>
      </c>
      <c r="K123" s="66">
        <f>ROUND(I123,2)*J123</f>
        <v>0</v>
      </c>
      <c r="L123" s="76">
        <f>J123*dagenperjaar1</f>
        <v>0</v>
      </c>
      <c r="M123" s="66">
        <f>L123*ROUND(I123,2)</f>
        <v>0</v>
      </c>
    </row>
    <row r="124" spans="1:13" x14ac:dyDescent="0.2">
      <c r="A124" s="62" t="s">
        <v>292</v>
      </c>
      <c r="B124" s="62" t="s">
        <v>9</v>
      </c>
      <c r="C124" s="62" t="s">
        <v>231</v>
      </c>
      <c r="D124" s="62" t="s">
        <v>293</v>
      </c>
      <c r="E124" s="76">
        <v>29.999999999999996</v>
      </c>
      <c r="F124" s="76">
        <f>E124*VLOOKUP(B124,dagsoorttabel1,2,FALSE)</f>
        <v>29.999999999999996</v>
      </c>
      <c r="G124" s="77">
        <f>IF(AND(catpn_1_VTZB_1&gt;0,catpn_1_VTZV_51&gt;0),(dagenperjaar1*VLOOKUP(B124,dagsoorttabel1,2,FALSE))/(((dagenperjaar1*VLOOKUP(B124,dagsoorttabel1,2,FALSE))-catfd_1_VTZV_51)/catpn_1_VTZB_1+catfd_1_VTZV_51/catpn_1_VTZV_51),0)</f>
        <v>0</v>
      </c>
      <c r="H124" s="62" t="s">
        <v>105</v>
      </c>
      <c r="I124" s="66">
        <f>IF(AND(catpn_1_VTZB_1&gt;0,catpn_1_VTZV_51&gt;0),(cattf_1_VTZB_1*((dagenperjaar1*VLOOKUP(B124,dagsoorttabel1,2,FALSE))-catfd_1_VTZV_51)/catpn_1_VTZB_1+cattf_1_VTZV_51*catfd_1_VTZV_51/catpn_1_VTZV_51)/(((dagenperjaar1*VLOOKUP(B124,dagsoorttabel1,2,FALSE))-catfd_1_VTZV_51)/catpn_1_VTZB_1+catfd_1_VTZV_51/catpn_1_VTZV_51),0)</f>
        <v>0</v>
      </c>
      <c r="J124" s="76">
        <f>IF(OR(ISBLANK(G124),G124=0),0,F124/ROUND(G124,4))</f>
        <v>0</v>
      </c>
      <c r="K124" s="66">
        <f>ROUND(I124,2)*J124</f>
        <v>0</v>
      </c>
      <c r="L124" s="76">
        <f>J124*dagenperjaar1</f>
        <v>0</v>
      </c>
      <c r="M124" s="66">
        <f>L124*ROUND(I124,2)</f>
        <v>0</v>
      </c>
    </row>
    <row r="125" spans="1:13" x14ac:dyDescent="0.2">
      <c r="A125" s="62" t="s">
        <v>294</v>
      </c>
      <c r="B125" s="62" t="s">
        <v>23</v>
      </c>
      <c r="C125" s="62" t="s">
        <v>231</v>
      </c>
      <c r="D125" s="62" t="s">
        <v>295</v>
      </c>
      <c r="E125" s="76">
        <v>60</v>
      </c>
      <c r="F125" s="76">
        <f>E125*VLOOKUP(B125,dagsoorttabel1,2,FALSE)</f>
        <v>0.23529411764705882</v>
      </c>
      <c r="G125" s="78"/>
      <c r="H125" s="62" t="s">
        <v>105</v>
      </c>
      <c r="I125" s="66">
        <f>Tariefopbouw1</f>
        <v>0</v>
      </c>
      <c r="J125" s="76">
        <f>IF(OR(ISBLANK(G125),G125=0),0,F125/ROUND(G125,4))</f>
        <v>0</v>
      </c>
      <c r="K125" s="66">
        <f>ROUND(I125,2)*J125</f>
        <v>0</v>
      </c>
      <c r="L125" s="76">
        <f>J125*dagenperjaar1</f>
        <v>0</v>
      </c>
      <c r="M125" s="66">
        <f>L125*ROUND(I125,2)</f>
        <v>0</v>
      </c>
    </row>
    <row r="126" spans="1:13" x14ac:dyDescent="0.2">
      <c r="A126" s="62" t="s">
        <v>296</v>
      </c>
      <c r="B126" s="62" t="s">
        <v>23</v>
      </c>
      <c r="C126" s="62" t="s">
        <v>231</v>
      </c>
      <c r="D126" s="62" t="s">
        <v>297</v>
      </c>
      <c r="E126" s="76">
        <v>26.099999999999998</v>
      </c>
      <c r="F126" s="76">
        <f>E126*VLOOKUP(B126,dagsoorttabel1,2,FALSE)</f>
        <v>0.10235294117647058</v>
      </c>
      <c r="G126" s="78"/>
      <c r="H126" s="62" t="s">
        <v>105</v>
      </c>
      <c r="I126" s="66">
        <f>Tariefopbouw1</f>
        <v>0</v>
      </c>
      <c r="J126" s="76">
        <f>IF(OR(ISBLANK(G126),G126=0),0,F126/ROUND(G126,4))</f>
        <v>0</v>
      </c>
      <c r="K126" s="66">
        <f>ROUND(I126,2)*J126</f>
        <v>0</v>
      </c>
      <c r="L126" s="76">
        <f>J126*dagenperjaar1</f>
        <v>0</v>
      </c>
      <c r="M126" s="66">
        <f>L126*ROUND(I126,2)</f>
        <v>0</v>
      </c>
    </row>
    <row r="127" spans="1:13" x14ac:dyDescent="0.2">
      <c r="A127" s="62" t="s">
        <v>298</v>
      </c>
      <c r="B127" s="62" t="s">
        <v>13</v>
      </c>
      <c r="C127" s="62" t="s">
        <v>299</v>
      </c>
      <c r="D127" s="62" t="s">
        <v>300</v>
      </c>
      <c r="E127" s="76">
        <v>14</v>
      </c>
      <c r="F127" s="76">
        <f>E127*VLOOKUP(B127,dagsoorttabel1,2,FALSE)</f>
        <v>2.8000000000000003</v>
      </c>
      <c r="G127" s="78"/>
      <c r="H127" s="62" t="s">
        <v>301</v>
      </c>
      <c r="I127" s="66">
        <f>Tariefopbouw1</f>
        <v>0</v>
      </c>
      <c r="J127" s="76">
        <f>F127*ROUND(G127,4)/60</f>
        <v>0</v>
      </c>
      <c r="K127" s="66">
        <f>ROUND(I127,2)*J127</f>
        <v>0</v>
      </c>
      <c r="L127" s="76">
        <f>J127*dagenperjaar1</f>
        <v>0</v>
      </c>
      <c r="M127" s="66">
        <f>L127*ROUND(I127,2)</f>
        <v>0</v>
      </c>
    </row>
    <row r="128" spans="1:13" x14ac:dyDescent="0.2">
      <c r="A128" s="62" t="s">
        <v>298</v>
      </c>
      <c r="B128" s="62" t="s">
        <v>12</v>
      </c>
      <c r="C128" s="62" t="s">
        <v>299</v>
      </c>
      <c r="D128" s="62" t="s">
        <v>300</v>
      </c>
      <c r="E128" s="76">
        <v>4</v>
      </c>
      <c r="F128" s="76">
        <f>E128*VLOOKUP(B128,dagsoorttabel1,2,FALSE)</f>
        <v>1.6</v>
      </c>
      <c r="G128" s="78"/>
      <c r="H128" s="62" t="s">
        <v>301</v>
      </c>
      <c r="I128" s="66">
        <f>Tariefopbouw1</f>
        <v>0</v>
      </c>
      <c r="J128" s="76">
        <f>F128*ROUND(G128,4)/60</f>
        <v>0</v>
      </c>
      <c r="K128" s="66">
        <f>ROUND(I128,2)*J128</f>
        <v>0</v>
      </c>
      <c r="L128" s="76">
        <f>J128*dagenperjaar1</f>
        <v>0</v>
      </c>
      <c r="M128" s="66">
        <f>L128*ROUND(I128,2)</f>
        <v>0</v>
      </c>
    </row>
    <row r="129" spans="1:13" x14ac:dyDescent="0.2">
      <c r="A129" s="62" t="s">
        <v>302</v>
      </c>
      <c r="B129" s="62" t="s">
        <v>15</v>
      </c>
      <c r="C129" s="62" t="s">
        <v>299</v>
      </c>
      <c r="D129" s="62" t="s">
        <v>303</v>
      </c>
      <c r="E129" s="76">
        <v>25</v>
      </c>
      <c r="F129" s="76">
        <f>E129*VLOOKUP(B129,dagsoorttabel1,2,FALSE)</f>
        <v>1.1764705882352942</v>
      </c>
      <c r="G129" s="78"/>
      <c r="H129" s="62" t="s">
        <v>301</v>
      </c>
      <c r="I129" s="66">
        <f>Tariefopbouw1</f>
        <v>0</v>
      </c>
      <c r="J129" s="76">
        <f>F129*ROUND(G129,4)/60</f>
        <v>0</v>
      </c>
      <c r="K129" s="66">
        <f>ROUND(I129,2)*J129</f>
        <v>0</v>
      </c>
      <c r="L129" s="76">
        <f>J129*dagenperjaar1</f>
        <v>0</v>
      </c>
      <c r="M129" s="66">
        <f>L129*ROUND(I129,2)</f>
        <v>0</v>
      </c>
    </row>
    <row r="130" spans="1:13" x14ac:dyDescent="0.2">
      <c r="A130" s="62" t="s">
        <v>304</v>
      </c>
      <c r="B130" s="62" t="s">
        <v>13</v>
      </c>
      <c r="C130" s="62" t="s">
        <v>299</v>
      </c>
      <c r="D130" s="62" t="s">
        <v>305</v>
      </c>
      <c r="E130" s="76">
        <v>4</v>
      </c>
      <c r="F130" s="76">
        <f>E130*VLOOKUP(B130,dagsoorttabel1,2,FALSE)</f>
        <v>0.8</v>
      </c>
      <c r="G130" s="78"/>
      <c r="H130" s="62" t="s">
        <v>301</v>
      </c>
      <c r="I130" s="66">
        <f>Tariefopbouw1</f>
        <v>0</v>
      </c>
      <c r="J130" s="76">
        <f>F130*ROUND(G130,4)/60</f>
        <v>0</v>
      </c>
      <c r="K130" s="66">
        <f>ROUND(I130,2)*J130</f>
        <v>0</v>
      </c>
      <c r="L130" s="76">
        <f>J130*dagenperjaar1</f>
        <v>0</v>
      </c>
      <c r="M130" s="66">
        <f>L130*ROUND(I130,2)</f>
        <v>0</v>
      </c>
    </row>
    <row r="131" spans="1:13" x14ac:dyDescent="0.2">
      <c r="A131" s="62" t="s">
        <v>306</v>
      </c>
      <c r="B131" s="62" t="s">
        <v>13</v>
      </c>
      <c r="C131" s="62" t="s">
        <v>299</v>
      </c>
      <c r="D131" s="62" t="s">
        <v>307</v>
      </c>
      <c r="E131" s="76">
        <v>33.200000000000003</v>
      </c>
      <c r="F131" s="76">
        <f>E131*VLOOKUP(B131,dagsoorttabel1,2,FALSE)</f>
        <v>6.6400000000000006</v>
      </c>
      <c r="G131" s="78"/>
      <c r="H131" s="62" t="s">
        <v>105</v>
      </c>
      <c r="I131" s="66">
        <f>Tariefopbouw1</f>
        <v>0</v>
      </c>
      <c r="J131" s="76">
        <f>IF(OR(ISBLANK(G131),G131=0),0,F131/ROUND(G131,4))</f>
        <v>0</v>
      </c>
      <c r="K131" s="66">
        <f>ROUND(I131,2)*J131</f>
        <v>0</v>
      </c>
      <c r="L131" s="76">
        <f>J131*dagenperjaar1</f>
        <v>0</v>
      </c>
      <c r="M131" s="66">
        <f>L131*ROUND(I131,2)</f>
        <v>0</v>
      </c>
    </row>
    <row r="132" spans="1:13" x14ac:dyDescent="0.2">
      <c r="A132" s="62" t="s">
        <v>306</v>
      </c>
      <c r="B132" s="62" t="s">
        <v>14</v>
      </c>
      <c r="C132" s="62" t="s">
        <v>299</v>
      </c>
      <c r="D132" s="62" t="s">
        <v>307</v>
      </c>
      <c r="E132" s="76">
        <v>26</v>
      </c>
      <c r="F132" s="76">
        <f>E132*VLOOKUP(B132,dagsoorttabel1,2,FALSE)</f>
        <v>2.6509803921568627</v>
      </c>
      <c r="G132" s="78"/>
      <c r="H132" s="62" t="s">
        <v>105</v>
      </c>
      <c r="I132" s="66">
        <f>Tariefopbouw1</f>
        <v>0</v>
      </c>
      <c r="J132" s="76">
        <f>IF(OR(ISBLANK(G132),G132=0),0,F132/ROUND(G132,4))</f>
        <v>0</v>
      </c>
      <c r="K132" s="66">
        <f>ROUND(I132,2)*J132</f>
        <v>0</v>
      </c>
      <c r="L132" s="76">
        <f>J132*dagenperjaar1</f>
        <v>0</v>
      </c>
      <c r="M132" s="66">
        <f>L132*ROUND(I132,2)</f>
        <v>0</v>
      </c>
    </row>
    <row r="133" spans="1:13" x14ac:dyDescent="0.2">
      <c r="A133" s="62" t="s">
        <v>306</v>
      </c>
      <c r="B133" s="62" t="s">
        <v>22</v>
      </c>
      <c r="C133" s="62" t="s">
        <v>299</v>
      </c>
      <c r="D133" s="62" t="s">
        <v>307</v>
      </c>
      <c r="E133" s="76">
        <v>463.40000000000003</v>
      </c>
      <c r="F133" s="76">
        <f>E133*VLOOKUP(B133,dagsoorttabel1,2,FALSE)</f>
        <v>3.6345098039215689</v>
      </c>
      <c r="G133" s="78"/>
      <c r="H133" s="62" t="s">
        <v>105</v>
      </c>
      <c r="I133" s="66">
        <f>Tariefopbouw1</f>
        <v>0</v>
      </c>
      <c r="J133" s="76">
        <f>IF(OR(ISBLANK(G133),G133=0),0,F133/ROUND(G133,4))</f>
        <v>0</v>
      </c>
      <c r="K133" s="66">
        <f>ROUND(I133,2)*J133</f>
        <v>0</v>
      </c>
      <c r="L133" s="76">
        <f>J133*dagenperjaar1</f>
        <v>0</v>
      </c>
      <c r="M133" s="66">
        <f>L133*ROUND(I133,2)</f>
        <v>0</v>
      </c>
    </row>
    <row r="134" spans="1:13" x14ac:dyDescent="0.2">
      <c r="A134" s="62" t="s">
        <v>306</v>
      </c>
      <c r="B134" s="62" t="s">
        <v>11</v>
      </c>
      <c r="C134" s="62" t="s">
        <v>299</v>
      </c>
      <c r="D134" s="62" t="s">
        <v>307</v>
      </c>
      <c r="E134" s="76">
        <v>232.8</v>
      </c>
      <c r="F134" s="76">
        <f>E134*VLOOKUP(B134,dagsoorttabel1,2,FALSE)</f>
        <v>139.68</v>
      </c>
      <c r="G134" s="78"/>
      <c r="H134" s="62" t="s">
        <v>105</v>
      </c>
      <c r="I134" s="66">
        <f>Tariefopbouw1</f>
        <v>0</v>
      </c>
      <c r="J134" s="76">
        <f>IF(OR(ISBLANK(G134),G134=0),0,F134/ROUND(G134,4))</f>
        <v>0</v>
      </c>
      <c r="K134" s="66">
        <f>ROUND(I134,2)*J134</f>
        <v>0</v>
      </c>
      <c r="L134" s="76">
        <f>J134*dagenperjaar1</f>
        <v>0</v>
      </c>
      <c r="M134" s="66">
        <f>L134*ROUND(I134,2)</f>
        <v>0</v>
      </c>
    </row>
    <row r="135" spans="1:13" x14ac:dyDescent="0.2">
      <c r="A135" s="62" t="s">
        <v>306</v>
      </c>
      <c r="B135" s="62" t="s">
        <v>20</v>
      </c>
      <c r="C135" s="62" t="s">
        <v>299</v>
      </c>
      <c r="D135" s="62" t="s">
        <v>307</v>
      </c>
      <c r="E135" s="76">
        <v>499.7</v>
      </c>
      <c r="F135" s="76">
        <f>E135*VLOOKUP(B135,dagsoorttabel1,2,FALSE)</f>
        <v>7.8384313725490191</v>
      </c>
      <c r="G135" s="78"/>
      <c r="H135" s="62" t="s">
        <v>105</v>
      </c>
      <c r="I135" s="66">
        <f>Tariefopbouw1</f>
        <v>0</v>
      </c>
      <c r="J135" s="76">
        <f>IF(OR(ISBLANK(G135),G135=0),0,F135/ROUND(G135,4))</f>
        <v>0</v>
      </c>
      <c r="K135" s="66">
        <f>ROUND(I135,2)*J135</f>
        <v>0</v>
      </c>
      <c r="L135" s="76">
        <f>J135*dagenperjaar1</f>
        <v>0</v>
      </c>
      <c r="M135" s="66">
        <f>L135*ROUND(I135,2)</f>
        <v>0</v>
      </c>
    </row>
    <row r="136" spans="1:13" x14ac:dyDescent="0.2">
      <c r="A136" s="67" t="s">
        <v>306</v>
      </c>
      <c r="B136" s="67" t="s">
        <v>9</v>
      </c>
      <c r="C136" s="67" t="s">
        <v>299</v>
      </c>
      <c r="D136" s="67" t="s">
        <v>307</v>
      </c>
      <c r="E136" s="79">
        <v>33</v>
      </c>
      <c r="F136" s="79">
        <f>E136*VLOOKUP(B136,dagsoorttabel1,2,FALSE)</f>
        <v>33</v>
      </c>
      <c r="G136" s="80"/>
      <c r="H136" s="67" t="s">
        <v>105</v>
      </c>
      <c r="I136" s="71">
        <f>Tariefopbouw1</f>
        <v>0</v>
      </c>
      <c r="J136" s="79">
        <f>IF(OR(ISBLANK(G136),G136=0),0,F136/ROUND(G136,4))</f>
        <v>0</v>
      </c>
      <c r="K136" s="71">
        <f>ROUND(I136,2)*J136</f>
        <v>0</v>
      </c>
      <c r="L136" s="79">
        <f>J136*dagenperjaar1</f>
        <v>0</v>
      </c>
      <c r="M136" s="71">
        <f>L136*ROUND(I136,2)</f>
        <v>0</v>
      </c>
    </row>
    <row r="137" spans="1:13" x14ac:dyDescent="0.2">
      <c r="A137" s="82" t="s">
        <v>308</v>
      </c>
      <c r="B137" s="83"/>
      <c r="C137" s="83"/>
      <c r="D137" s="83"/>
      <c r="E137" s="83"/>
      <c r="F137" s="83"/>
      <c r="G137" s="83"/>
      <c r="H137" s="83"/>
      <c r="I137" s="83"/>
      <c r="J137" s="84">
        <f>SUM(J6:J136)</f>
        <v>0</v>
      </c>
      <c r="K137" s="85">
        <f>SUM(K6:K136)</f>
        <v>0</v>
      </c>
      <c r="L137" s="84">
        <f>SUM(L6:L136)</f>
        <v>0</v>
      </c>
      <c r="M137" s="86">
        <f>SUM(M6:M136)</f>
        <v>0</v>
      </c>
    </row>
    <row r="138" spans="1:13" x14ac:dyDescent="0.2">
      <c r="A138" s="87"/>
      <c r="B138" s="83"/>
      <c r="C138" s="83"/>
      <c r="D138" s="83"/>
      <c r="E138" s="83"/>
      <c r="F138" s="83"/>
      <c r="G138" s="83"/>
      <c r="H138" s="83"/>
      <c r="I138" s="83"/>
      <c r="J138" s="83"/>
      <c r="K138" s="83"/>
      <c r="L138" s="83"/>
      <c r="M138" s="88"/>
    </row>
    <row r="139" spans="1:13" x14ac:dyDescent="0.2">
      <c r="A139" s="82" t="s">
        <v>309</v>
      </c>
      <c r="B139" s="83"/>
      <c r="C139" s="83"/>
      <c r="D139" s="83"/>
      <c r="E139" s="83"/>
      <c r="F139" s="83"/>
      <c r="G139" s="83"/>
      <c r="H139" s="83"/>
      <c r="I139" s="85">
        <f>IF(urenjaar1&gt;0,SUMIF(L6:L136,"&gt;0",M6:M136)/urenjaar1,0)</f>
        <v>0</v>
      </c>
      <c r="J139" s="83"/>
      <c r="K139" s="83"/>
      <c r="L139" s="83"/>
      <c r="M139" s="88"/>
    </row>
    <row r="140" spans="1:13" x14ac:dyDescent="0.2">
      <c r="A140" s="87"/>
      <c r="B140" s="83"/>
      <c r="C140" s="83"/>
      <c r="D140" s="83"/>
      <c r="E140" s="83"/>
      <c r="F140" s="83"/>
      <c r="G140" s="83"/>
      <c r="H140" s="83"/>
      <c r="I140" s="83"/>
      <c r="J140" s="83"/>
      <c r="K140" s="83"/>
      <c r="L140" s="83"/>
      <c r="M140" s="88"/>
    </row>
    <row r="142" spans="1:13" x14ac:dyDescent="0.2">
      <c r="A142" s="82" t="s">
        <v>310</v>
      </c>
      <c r="B142" s="83"/>
      <c r="C142" s="83"/>
      <c r="D142" s="83"/>
      <c r="E142" s="83"/>
      <c r="F142" s="83"/>
      <c r="G142" s="83"/>
      <c r="H142" s="83"/>
      <c r="I142" s="83"/>
      <c r="J142" s="83"/>
      <c r="K142" s="83"/>
      <c r="L142" s="84">
        <f>urenjaar1</f>
        <v>0</v>
      </c>
      <c r="M142" s="85">
        <f>prijsjaar1</f>
        <v>0</v>
      </c>
    </row>
  </sheetData>
  <sheetProtection algorithmName="SHA-512" hashValue="q1HSXxCmZ+qz3u8wT2lH8iPjCsyqZDN5ZSPUOS1ILfHsg3VcTJofGX6/SdzURDrNSS3r7oPB12FWoCKm5ZA2GQ==" saltValue="75tCY/WaW4s5pSgtIjUjhg==" spinCount="100000" sheet="1" objects="1" scenarios="1" autoFilter="0"/>
  <pageMargins left="0.7" right="0.7" top="0.75" bottom="0.75" header="0.3" footer="0.3"/>
  <pageSetup paperSize="9" scale="70" orientation="landscape" r:id="rId1"/>
  <headerFooter>
    <oddFooter>&amp;LWaterschap Vallei &amp; Veluwe EA 2027                          &amp;ROpmaakdatum: 30-10-2026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C4B5F-60BB-44AE-98DB-3E838AF0FA59}">
  <dimension ref="A1:T894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5" width="10.625" customWidth="1"/>
    <col min="6" max="6" width="25.625" customWidth="1"/>
    <col min="7" max="7" width="11.625" customWidth="1"/>
    <col min="8" max="8" width="7.625" customWidth="1"/>
    <col min="9" max="9" width="6.625" customWidth="1"/>
    <col min="10" max="11" width="8.625" customWidth="1"/>
    <col min="12" max="13" width="10.625" customWidth="1"/>
    <col min="14" max="14" width="11.625" customWidth="1"/>
    <col min="15" max="15" width="9.625" customWidth="1"/>
    <col min="16" max="18" width="11.625" customWidth="1"/>
    <col min="19" max="19" width="12.625" customWidth="1"/>
    <col min="20" max="20" width="14.625" customWidth="1"/>
  </cols>
  <sheetData>
    <row r="1" spans="1:20" x14ac:dyDescent="0.2">
      <c r="A1" s="1" t="str">
        <f>CONCATENATE("Bijlage G.3: ",tabeltype," ruimten werkdag")</f>
        <v>Bijlage G.3: Invultabel ruimten werkdag</v>
      </c>
    </row>
    <row r="3" spans="1:20" ht="38.25" x14ac:dyDescent="0.2">
      <c r="A3" s="89" t="s">
        <v>311</v>
      </c>
      <c r="B3" s="46" t="s">
        <v>312</v>
      </c>
      <c r="C3" s="46" t="s">
        <v>313</v>
      </c>
      <c r="D3" s="46" t="s">
        <v>314</v>
      </c>
      <c r="E3" s="46" t="s">
        <v>315</v>
      </c>
      <c r="F3" s="46" t="s">
        <v>316</v>
      </c>
      <c r="G3" s="46" t="s">
        <v>317</v>
      </c>
      <c r="H3" s="46" t="s">
        <v>222</v>
      </c>
      <c r="I3" s="46" t="s">
        <v>7</v>
      </c>
      <c r="J3" s="46" t="s">
        <v>318</v>
      </c>
      <c r="K3" s="46" t="s">
        <v>319</v>
      </c>
      <c r="L3" s="46" t="s">
        <v>224</v>
      </c>
      <c r="M3" s="46" t="s">
        <v>225</v>
      </c>
      <c r="N3" s="46" t="s">
        <v>97</v>
      </c>
      <c r="O3" s="46" t="s">
        <v>99</v>
      </c>
      <c r="P3" s="46" t="s">
        <v>100</v>
      </c>
      <c r="Q3" s="46" t="s">
        <v>226</v>
      </c>
      <c r="R3" s="46" t="s">
        <v>227</v>
      </c>
      <c r="S3" s="46" t="s">
        <v>228</v>
      </c>
      <c r="T3" s="90" t="s">
        <v>229</v>
      </c>
    </row>
    <row r="4" spans="1:20" x14ac:dyDescent="0.2">
      <c r="A4" s="91" t="s">
        <v>320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81"/>
    </row>
    <row r="5" spans="1:20" x14ac:dyDescent="0.2">
      <c r="A5" s="98" t="s">
        <v>321</v>
      </c>
      <c r="B5" s="99" t="s">
        <v>37</v>
      </c>
      <c r="C5" s="99" t="s">
        <v>322</v>
      </c>
      <c r="D5" s="99" t="s">
        <v>323</v>
      </c>
      <c r="E5" s="99" t="s">
        <v>37</v>
      </c>
      <c r="F5" s="100" t="s">
        <v>324</v>
      </c>
      <c r="G5" s="99" t="s">
        <v>325</v>
      </c>
      <c r="H5" s="99" t="s">
        <v>230</v>
      </c>
      <c r="I5" s="99" t="s">
        <v>15</v>
      </c>
      <c r="J5" s="99" t="s">
        <v>231</v>
      </c>
      <c r="K5" s="99"/>
      <c r="L5" s="101">
        <v>6</v>
      </c>
      <c r="M5" s="101">
        <f>L5*VLOOKUP(I5,dagsoorttabel1,2,FALSE)</f>
        <v>0.28235294117647058</v>
      </c>
      <c r="N5" s="102">
        <f>prodnorm32</f>
        <v>0</v>
      </c>
      <c r="O5" s="99" t="s">
        <v>105</v>
      </c>
      <c r="P5" s="103">
        <f>uurtarief32</f>
        <v>0</v>
      </c>
      <c r="Q5" s="101" t="e">
        <f>IF(ISBLANK(N5),0,M5/ROUND(N5,4))</f>
        <v>#DIV/0!</v>
      </c>
      <c r="R5" s="103" t="e">
        <f>ROUND(P5,2)*Q5</f>
        <v>#DIV/0!</v>
      </c>
      <c r="S5" s="101" t="e">
        <f>Q5*dagenperjaar1</f>
        <v>#DIV/0!</v>
      </c>
      <c r="T5" s="104" t="e">
        <f>S5*ROUND(P5,2)</f>
        <v>#DIV/0!</v>
      </c>
    </row>
    <row r="6" spans="1:20" x14ac:dyDescent="0.2">
      <c r="A6" s="105" t="s">
        <v>321</v>
      </c>
      <c r="B6" s="106" t="s">
        <v>37</v>
      </c>
      <c r="C6" s="106" t="s">
        <v>322</v>
      </c>
      <c r="D6" s="106" t="s">
        <v>323</v>
      </c>
      <c r="E6" s="106" t="s">
        <v>37</v>
      </c>
      <c r="F6" s="107" t="s">
        <v>324</v>
      </c>
      <c r="G6" s="106" t="s">
        <v>325</v>
      </c>
      <c r="H6" s="106" t="s">
        <v>281</v>
      </c>
      <c r="I6" s="106" t="s">
        <v>9</v>
      </c>
      <c r="J6" s="106" t="s">
        <v>231</v>
      </c>
      <c r="K6" s="106"/>
      <c r="L6" s="108">
        <v>6</v>
      </c>
      <c r="M6" s="108">
        <f>L6*VLOOKUP(I6,dagsoorttabel1,2,FALSE)</f>
        <v>6</v>
      </c>
      <c r="N6" s="109">
        <f>prodnorm129</f>
        <v>0</v>
      </c>
      <c r="O6" s="106" t="s">
        <v>105</v>
      </c>
      <c r="P6" s="28">
        <f>uurtarief129</f>
        <v>0</v>
      </c>
      <c r="Q6" s="108" t="e">
        <f>IF(ISBLANK(N6),0,M6/ROUND(N6,4))</f>
        <v>#DIV/0!</v>
      </c>
      <c r="R6" s="28" t="e">
        <f>ROUND(P6,2)*Q6</f>
        <v>#DIV/0!</v>
      </c>
      <c r="S6" s="108" t="e">
        <f>Q6*dagenperjaar1</f>
        <v>#DIV/0!</v>
      </c>
      <c r="T6" s="29" t="e">
        <f>S6*ROUND(P6,2)</f>
        <v>#DIV/0!</v>
      </c>
    </row>
    <row r="7" spans="1:20" x14ac:dyDescent="0.2">
      <c r="A7" s="105" t="s">
        <v>321</v>
      </c>
      <c r="B7" s="106" t="s">
        <v>37</v>
      </c>
      <c r="C7" s="106" t="s">
        <v>322</v>
      </c>
      <c r="D7" s="106" t="s">
        <v>326</v>
      </c>
      <c r="E7" s="106" t="s">
        <v>37</v>
      </c>
      <c r="F7" s="107" t="s">
        <v>327</v>
      </c>
      <c r="G7" s="106" t="s">
        <v>328</v>
      </c>
      <c r="H7" s="106" t="s">
        <v>273</v>
      </c>
      <c r="I7" s="106" t="s">
        <v>9</v>
      </c>
      <c r="J7" s="106" t="s">
        <v>231</v>
      </c>
      <c r="K7" s="106"/>
      <c r="L7" s="108">
        <v>124.6</v>
      </c>
      <c r="M7" s="108">
        <f>L7*VLOOKUP(I7,dagsoorttabel1,2,FALSE)</f>
        <v>124.6</v>
      </c>
      <c r="N7" s="109">
        <f>prodnorm113</f>
        <v>0</v>
      </c>
      <c r="O7" s="106" t="s">
        <v>105</v>
      </c>
      <c r="P7" s="28">
        <f>uurtarief113</f>
        <v>0</v>
      </c>
      <c r="Q7" s="108" t="e">
        <f>IF(ISBLANK(N7),0,M7/ROUND(N7,4))</f>
        <v>#DIV/0!</v>
      </c>
      <c r="R7" s="28" t="e">
        <f>ROUND(P7,2)*Q7</f>
        <v>#DIV/0!</v>
      </c>
      <c r="S7" s="108" t="e">
        <f>Q7*dagenperjaar1</f>
        <v>#DIV/0!</v>
      </c>
      <c r="T7" s="29" t="e">
        <f>S7*ROUND(P7,2)</f>
        <v>#DIV/0!</v>
      </c>
    </row>
    <row r="8" spans="1:20" x14ac:dyDescent="0.2">
      <c r="A8" s="105" t="s">
        <v>321</v>
      </c>
      <c r="B8" s="106" t="s">
        <v>37</v>
      </c>
      <c r="C8" s="106" t="s">
        <v>322</v>
      </c>
      <c r="D8" s="106" t="s">
        <v>329</v>
      </c>
      <c r="E8" s="106" t="s">
        <v>37</v>
      </c>
      <c r="F8" s="107" t="s">
        <v>330</v>
      </c>
      <c r="G8" s="106" t="s">
        <v>331</v>
      </c>
      <c r="H8" s="106" t="s">
        <v>239</v>
      </c>
      <c r="I8" s="106" t="s">
        <v>9</v>
      </c>
      <c r="J8" s="106" t="s">
        <v>231</v>
      </c>
      <c r="K8" s="106"/>
      <c r="L8" s="108">
        <v>14.8</v>
      </c>
      <c r="M8" s="108">
        <f>L8*VLOOKUP(I8,dagsoorttabel1,2,FALSE)</f>
        <v>14.8</v>
      </c>
      <c r="N8" s="109">
        <f>prodnorm44</f>
        <v>0</v>
      </c>
      <c r="O8" s="106" t="s">
        <v>105</v>
      </c>
      <c r="P8" s="28">
        <f>uurtarief44</f>
        <v>0</v>
      </c>
      <c r="Q8" s="108" t="e">
        <f>IF(ISBLANK(N8),0,M8/ROUND(N8,4))</f>
        <v>#DIV/0!</v>
      </c>
      <c r="R8" s="28" t="e">
        <f>ROUND(P8,2)*Q8</f>
        <v>#DIV/0!</v>
      </c>
      <c r="S8" s="108" t="e">
        <f>Q8*dagenperjaar1</f>
        <v>#DIV/0!</v>
      </c>
      <c r="T8" s="29" t="e">
        <f>S8*ROUND(P8,2)</f>
        <v>#DIV/0!</v>
      </c>
    </row>
    <row r="9" spans="1:20" x14ac:dyDescent="0.2">
      <c r="A9" s="105" t="s">
        <v>321</v>
      </c>
      <c r="B9" s="106" t="s">
        <v>37</v>
      </c>
      <c r="C9" s="106" t="s">
        <v>322</v>
      </c>
      <c r="D9" s="106" t="s">
        <v>332</v>
      </c>
      <c r="E9" s="106" t="s">
        <v>37</v>
      </c>
      <c r="F9" s="107" t="s">
        <v>333</v>
      </c>
      <c r="G9" s="106" t="s">
        <v>328</v>
      </c>
      <c r="H9" s="106" t="s">
        <v>273</v>
      </c>
      <c r="I9" s="106" t="s">
        <v>9</v>
      </c>
      <c r="J9" s="106" t="s">
        <v>231</v>
      </c>
      <c r="K9" s="106"/>
      <c r="L9" s="108">
        <v>5.9</v>
      </c>
      <c r="M9" s="108">
        <f>L9*VLOOKUP(I9,dagsoorttabel1,2,FALSE)</f>
        <v>5.9</v>
      </c>
      <c r="N9" s="109">
        <f>prodnorm113</f>
        <v>0</v>
      </c>
      <c r="O9" s="106" t="s">
        <v>105</v>
      </c>
      <c r="P9" s="28">
        <f>uurtarief113</f>
        <v>0</v>
      </c>
      <c r="Q9" s="108" t="e">
        <f>IF(ISBLANK(N9),0,M9/ROUND(N9,4))</f>
        <v>#DIV/0!</v>
      </c>
      <c r="R9" s="28" t="e">
        <f>ROUND(P9,2)*Q9</f>
        <v>#DIV/0!</v>
      </c>
      <c r="S9" s="108" t="e">
        <f>Q9*dagenperjaar1</f>
        <v>#DIV/0!</v>
      </c>
      <c r="T9" s="29" t="e">
        <f>S9*ROUND(P9,2)</f>
        <v>#DIV/0!</v>
      </c>
    </row>
    <row r="10" spans="1:20" x14ac:dyDescent="0.2">
      <c r="A10" s="105" t="s">
        <v>321</v>
      </c>
      <c r="B10" s="106" t="s">
        <v>37</v>
      </c>
      <c r="C10" s="106" t="s">
        <v>322</v>
      </c>
      <c r="D10" s="106" t="s">
        <v>334</v>
      </c>
      <c r="E10" s="106" t="s">
        <v>37</v>
      </c>
      <c r="F10" s="107" t="s">
        <v>335</v>
      </c>
      <c r="G10" s="106" t="s">
        <v>328</v>
      </c>
      <c r="H10" s="106" t="s">
        <v>273</v>
      </c>
      <c r="I10" s="106" t="s">
        <v>9</v>
      </c>
      <c r="J10" s="106" t="s">
        <v>231</v>
      </c>
      <c r="K10" s="106"/>
      <c r="L10" s="108">
        <v>58.7</v>
      </c>
      <c r="M10" s="108">
        <f>L10*VLOOKUP(I10,dagsoorttabel1,2,FALSE)</f>
        <v>58.7</v>
      </c>
      <c r="N10" s="109">
        <f>prodnorm113</f>
        <v>0</v>
      </c>
      <c r="O10" s="106" t="s">
        <v>105</v>
      </c>
      <c r="P10" s="28">
        <f>uurtarief113</f>
        <v>0</v>
      </c>
      <c r="Q10" s="108" t="e">
        <f>IF(ISBLANK(N10),0,M10/ROUND(N10,4))</f>
        <v>#DIV/0!</v>
      </c>
      <c r="R10" s="28" t="e">
        <f>ROUND(P10,2)*Q10</f>
        <v>#DIV/0!</v>
      </c>
      <c r="S10" s="108" t="e">
        <f>Q10*dagenperjaar1</f>
        <v>#DIV/0!</v>
      </c>
      <c r="T10" s="29" t="e">
        <f>S10*ROUND(P10,2)</f>
        <v>#DIV/0!</v>
      </c>
    </row>
    <row r="11" spans="1:20" x14ac:dyDescent="0.2">
      <c r="A11" s="105" t="s">
        <v>321</v>
      </c>
      <c r="B11" s="106" t="s">
        <v>37</v>
      </c>
      <c r="C11" s="106" t="s">
        <v>322</v>
      </c>
      <c r="D11" s="106" t="s">
        <v>336</v>
      </c>
      <c r="E11" s="106" t="s">
        <v>37</v>
      </c>
      <c r="F11" s="107" t="s">
        <v>337</v>
      </c>
      <c r="G11" s="106" t="s">
        <v>325</v>
      </c>
      <c r="H11" s="106" t="s">
        <v>243</v>
      </c>
      <c r="I11" s="106" t="s">
        <v>9</v>
      </c>
      <c r="J11" s="106" t="s">
        <v>231</v>
      </c>
      <c r="K11" s="106"/>
      <c r="L11" s="108">
        <v>52.8</v>
      </c>
      <c r="M11" s="108">
        <f>L11*VLOOKUP(I11,dagsoorttabel1,2,FALSE)</f>
        <v>52.8</v>
      </c>
      <c r="N11" s="109">
        <f>prodnorm51</f>
        <v>0</v>
      </c>
      <c r="O11" s="106" t="s">
        <v>105</v>
      </c>
      <c r="P11" s="28">
        <f>uurtarief51</f>
        <v>0</v>
      </c>
      <c r="Q11" s="108" t="e">
        <f>IF(ISBLANK(N11),0,M11/ROUND(N11,4))</f>
        <v>#DIV/0!</v>
      </c>
      <c r="R11" s="28" t="e">
        <f>ROUND(P11,2)*Q11</f>
        <v>#DIV/0!</v>
      </c>
      <c r="S11" s="108" t="e">
        <f>Q11*dagenperjaar1</f>
        <v>#DIV/0!</v>
      </c>
      <c r="T11" s="29" t="e">
        <f>S11*ROUND(P11,2)</f>
        <v>#DIV/0!</v>
      </c>
    </row>
    <row r="12" spans="1:20" x14ac:dyDescent="0.2">
      <c r="A12" s="105" t="s">
        <v>321</v>
      </c>
      <c r="B12" s="106" t="s">
        <v>37</v>
      </c>
      <c r="C12" s="106" t="s">
        <v>322</v>
      </c>
      <c r="D12" s="106" t="s">
        <v>338</v>
      </c>
      <c r="E12" s="106" t="s">
        <v>37</v>
      </c>
      <c r="F12" s="107" t="s">
        <v>335</v>
      </c>
      <c r="G12" s="106" t="s">
        <v>328</v>
      </c>
      <c r="H12" s="106" t="s">
        <v>273</v>
      </c>
      <c r="I12" s="106" t="s">
        <v>9</v>
      </c>
      <c r="J12" s="106" t="s">
        <v>231</v>
      </c>
      <c r="K12" s="106"/>
      <c r="L12" s="108">
        <v>23.7</v>
      </c>
      <c r="M12" s="108">
        <f>L12*VLOOKUP(I12,dagsoorttabel1,2,FALSE)</f>
        <v>23.7</v>
      </c>
      <c r="N12" s="109">
        <f>prodnorm113</f>
        <v>0</v>
      </c>
      <c r="O12" s="106" t="s">
        <v>105</v>
      </c>
      <c r="P12" s="28">
        <f>uurtarief113</f>
        <v>0</v>
      </c>
      <c r="Q12" s="108" t="e">
        <f>IF(ISBLANK(N12),0,M12/ROUND(N12,4))</f>
        <v>#DIV/0!</v>
      </c>
      <c r="R12" s="28" t="e">
        <f>ROUND(P12,2)*Q12</f>
        <v>#DIV/0!</v>
      </c>
      <c r="S12" s="108" t="e">
        <f>Q12*dagenperjaar1</f>
        <v>#DIV/0!</v>
      </c>
      <c r="T12" s="29" t="e">
        <f>S12*ROUND(P12,2)</f>
        <v>#DIV/0!</v>
      </c>
    </row>
    <row r="13" spans="1:20" x14ac:dyDescent="0.2">
      <c r="A13" s="105" t="s">
        <v>321</v>
      </c>
      <c r="B13" s="106" t="s">
        <v>37</v>
      </c>
      <c r="C13" s="106" t="s">
        <v>322</v>
      </c>
      <c r="D13" s="106" t="s">
        <v>339</v>
      </c>
      <c r="E13" s="106" t="s">
        <v>37</v>
      </c>
      <c r="F13" s="107" t="s">
        <v>340</v>
      </c>
      <c r="G13" s="106" t="s">
        <v>341</v>
      </c>
      <c r="H13" s="106" t="s">
        <v>273</v>
      </c>
      <c r="I13" s="106" t="s">
        <v>9</v>
      </c>
      <c r="J13" s="106" t="s">
        <v>231</v>
      </c>
      <c r="K13" s="106"/>
      <c r="L13" s="108">
        <v>3.3</v>
      </c>
      <c r="M13" s="108">
        <f>L13*VLOOKUP(I13,dagsoorttabel1,2,FALSE)</f>
        <v>3.3</v>
      </c>
      <c r="N13" s="109">
        <f>prodnorm113</f>
        <v>0</v>
      </c>
      <c r="O13" s="106" t="s">
        <v>105</v>
      </c>
      <c r="P13" s="28">
        <f>uurtarief113</f>
        <v>0</v>
      </c>
      <c r="Q13" s="108" t="e">
        <f>IF(ISBLANK(N13),0,M13/ROUND(N13,4))</f>
        <v>#DIV/0!</v>
      </c>
      <c r="R13" s="28" t="e">
        <f>ROUND(P13,2)*Q13</f>
        <v>#DIV/0!</v>
      </c>
      <c r="S13" s="108" t="e">
        <f>Q13*dagenperjaar1</f>
        <v>#DIV/0!</v>
      </c>
      <c r="T13" s="29" t="e">
        <f>S13*ROUND(P13,2)</f>
        <v>#DIV/0!</v>
      </c>
    </row>
    <row r="14" spans="1:20" x14ac:dyDescent="0.2">
      <c r="A14" s="105" t="s">
        <v>321</v>
      </c>
      <c r="B14" s="106" t="s">
        <v>37</v>
      </c>
      <c r="C14" s="106" t="s">
        <v>322</v>
      </c>
      <c r="D14" s="106" t="s">
        <v>342</v>
      </c>
      <c r="E14" s="106" t="s">
        <v>37</v>
      </c>
      <c r="F14" s="107" t="s">
        <v>343</v>
      </c>
      <c r="G14" s="106" t="s">
        <v>325</v>
      </c>
      <c r="H14" s="106" t="s">
        <v>275</v>
      </c>
      <c r="I14" s="106" t="s">
        <v>9</v>
      </c>
      <c r="J14" s="106" t="s">
        <v>231</v>
      </c>
      <c r="K14" s="106"/>
      <c r="L14" s="108">
        <v>4.4000000000000004</v>
      </c>
      <c r="M14" s="108">
        <f>L14*VLOOKUP(I14,dagsoorttabel1,2,FALSE)</f>
        <v>4.4000000000000004</v>
      </c>
      <c r="N14" s="109">
        <f>prodnorm118</f>
        <v>0</v>
      </c>
      <c r="O14" s="106" t="s">
        <v>105</v>
      </c>
      <c r="P14" s="28">
        <f>uurtarief118</f>
        <v>0</v>
      </c>
      <c r="Q14" s="108" t="e">
        <f>IF(ISBLANK(N14),0,M14/ROUND(N14,4))</f>
        <v>#DIV/0!</v>
      </c>
      <c r="R14" s="28" t="e">
        <f>ROUND(P14,2)*Q14</f>
        <v>#DIV/0!</v>
      </c>
      <c r="S14" s="108" t="e">
        <f>Q14*dagenperjaar1</f>
        <v>#DIV/0!</v>
      </c>
      <c r="T14" s="29" t="e">
        <f>S14*ROUND(P14,2)</f>
        <v>#DIV/0!</v>
      </c>
    </row>
    <row r="15" spans="1:20" x14ac:dyDescent="0.2">
      <c r="A15" s="105" t="s">
        <v>321</v>
      </c>
      <c r="B15" s="106" t="s">
        <v>37</v>
      </c>
      <c r="C15" s="106" t="s">
        <v>322</v>
      </c>
      <c r="D15" s="106" t="s">
        <v>344</v>
      </c>
      <c r="E15" s="106" t="s">
        <v>37</v>
      </c>
      <c r="F15" s="107" t="s">
        <v>345</v>
      </c>
      <c r="G15" s="106" t="s">
        <v>346</v>
      </c>
      <c r="H15" s="106" t="s">
        <v>273</v>
      </c>
      <c r="I15" s="106" t="s">
        <v>9</v>
      </c>
      <c r="J15" s="106" t="s">
        <v>231</v>
      </c>
      <c r="K15" s="106"/>
      <c r="L15" s="108">
        <v>12.7</v>
      </c>
      <c r="M15" s="108">
        <f>L15*VLOOKUP(I15,dagsoorttabel1,2,FALSE)</f>
        <v>12.7</v>
      </c>
      <c r="N15" s="109">
        <f>prodnorm113</f>
        <v>0</v>
      </c>
      <c r="O15" s="106" t="s">
        <v>105</v>
      </c>
      <c r="P15" s="28">
        <f>uurtarief113</f>
        <v>0</v>
      </c>
      <c r="Q15" s="108" t="e">
        <f>IF(ISBLANK(N15),0,M15/ROUND(N15,4))</f>
        <v>#DIV/0!</v>
      </c>
      <c r="R15" s="28" t="e">
        <f>ROUND(P15,2)*Q15</f>
        <v>#DIV/0!</v>
      </c>
      <c r="S15" s="108" t="e">
        <f>Q15*dagenperjaar1</f>
        <v>#DIV/0!</v>
      </c>
      <c r="T15" s="29" t="e">
        <f>S15*ROUND(P15,2)</f>
        <v>#DIV/0!</v>
      </c>
    </row>
    <row r="16" spans="1:20" x14ac:dyDescent="0.2">
      <c r="A16" s="105" t="s">
        <v>321</v>
      </c>
      <c r="B16" s="106" t="s">
        <v>37</v>
      </c>
      <c r="C16" s="106" t="s">
        <v>322</v>
      </c>
      <c r="D16" s="106" t="s">
        <v>347</v>
      </c>
      <c r="E16" s="106" t="s">
        <v>37</v>
      </c>
      <c r="F16" s="107" t="s">
        <v>348</v>
      </c>
      <c r="G16" s="106" t="s">
        <v>325</v>
      </c>
      <c r="H16" s="106" t="s">
        <v>292</v>
      </c>
      <c r="I16" s="106" t="s">
        <v>9</v>
      </c>
      <c r="J16" s="106" t="s">
        <v>231</v>
      </c>
      <c r="K16" s="106"/>
      <c r="L16" s="108">
        <v>8.1999999999999993</v>
      </c>
      <c r="M16" s="108">
        <f>L16*VLOOKUP(I16,dagsoorttabel1,2,FALSE)</f>
        <v>8.1999999999999993</v>
      </c>
      <c r="N16" s="109">
        <f>prodnorm150</f>
        <v>0</v>
      </c>
      <c r="O16" s="106" t="s">
        <v>105</v>
      </c>
      <c r="P16" s="28">
        <f>uurtarief150</f>
        <v>0</v>
      </c>
      <c r="Q16" s="108" t="e">
        <f>IF(ISBLANK(N16),0,M16/ROUND(N16,4))</f>
        <v>#DIV/0!</v>
      </c>
      <c r="R16" s="28" t="e">
        <f>ROUND(P16,2)*Q16</f>
        <v>#DIV/0!</v>
      </c>
      <c r="S16" s="108" t="e">
        <f>Q16*dagenperjaar1</f>
        <v>#DIV/0!</v>
      </c>
      <c r="T16" s="29" t="e">
        <f>S16*ROUND(P16,2)</f>
        <v>#DIV/0!</v>
      </c>
    </row>
    <row r="17" spans="1:20" x14ac:dyDescent="0.2">
      <c r="A17" s="105" t="s">
        <v>321</v>
      </c>
      <c r="B17" s="106" t="s">
        <v>37</v>
      </c>
      <c r="C17" s="106" t="s">
        <v>322</v>
      </c>
      <c r="D17" s="106" t="s">
        <v>349</v>
      </c>
      <c r="E17" s="106" t="s">
        <v>37</v>
      </c>
      <c r="F17" s="107" t="s">
        <v>337</v>
      </c>
      <c r="G17" s="106" t="s">
        <v>325</v>
      </c>
      <c r="H17" s="106" t="s">
        <v>243</v>
      </c>
      <c r="I17" s="106" t="s">
        <v>9</v>
      </c>
      <c r="J17" s="106" t="s">
        <v>231</v>
      </c>
      <c r="K17" s="106"/>
      <c r="L17" s="108">
        <v>29</v>
      </c>
      <c r="M17" s="108">
        <f>L17*VLOOKUP(I17,dagsoorttabel1,2,FALSE)</f>
        <v>29</v>
      </c>
      <c r="N17" s="109">
        <f>prodnorm51</f>
        <v>0</v>
      </c>
      <c r="O17" s="106" t="s">
        <v>105</v>
      </c>
      <c r="P17" s="28">
        <f>uurtarief51</f>
        <v>0</v>
      </c>
      <c r="Q17" s="108" t="e">
        <f>IF(ISBLANK(N17),0,M17/ROUND(N17,4))</f>
        <v>#DIV/0!</v>
      </c>
      <c r="R17" s="28" t="e">
        <f>ROUND(P17,2)*Q17</f>
        <v>#DIV/0!</v>
      </c>
      <c r="S17" s="108" t="e">
        <f>Q17*dagenperjaar1</f>
        <v>#DIV/0!</v>
      </c>
      <c r="T17" s="29" t="e">
        <f>S17*ROUND(P17,2)</f>
        <v>#DIV/0!</v>
      </c>
    </row>
    <row r="18" spans="1:20" x14ac:dyDescent="0.2">
      <c r="A18" s="105" t="s">
        <v>321</v>
      </c>
      <c r="B18" s="106" t="s">
        <v>37</v>
      </c>
      <c r="C18" s="106" t="s">
        <v>322</v>
      </c>
      <c r="D18" s="106" t="s">
        <v>350</v>
      </c>
      <c r="E18" s="106" t="s">
        <v>37</v>
      </c>
      <c r="F18" s="107" t="s">
        <v>337</v>
      </c>
      <c r="G18" s="106" t="s">
        <v>325</v>
      </c>
      <c r="H18" s="106" t="s">
        <v>243</v>
      </c>
      <c r="I18" s="106" t="s">
        <v>9</v>
      </c>
      <c r="J18" s="106" t="s">
        <v>231</v>
      </c>
      <c r="K18" s="106"/>
      <c r="L18" s="108">
        <v>41.5</v>
      </c>
      <c r="M18" s="108">
        <f>L18*VLOOKUP(I18,dagsoorttabel1,2,FALSE)</f>
        <v>41.5</v>
      </c>
      <c r="N18" s="109">
        <f>prodnorm51</f>
        <v>0</v>
      </c>
      <c r="O18" s="106" t="s">
        <v>105</v>
      </c>
      <c r="P18" s="28">
        <f>uurtarief51</f>
        <v>0</v>
      </c>
      <c r="Q18" s="108" t="e">
        <f>IF(ISBLANK(N18),0,M18/ROUND(N18,4))</f>
        <v>#DIV/0!</v>
      </c>
      <c r="R18" s="28" t="e">
        <f>ROUND(P18,2)*Q18</f>
        <v>#DIV/0!</v>
      </c>
      <c r="S18" s="108" t="e">
        <f>Q18*dagenperjaar1</f>
        <v>#DIV/0!</v>
      </c>
      <c r="T18" s="29" t="e">
        <f>S18*ROUND(P18,2)</f>
        <v>#DIV/0!</v>
      </c>
    </row>
    <row r="19" spans="1:20" x14ac:dyDescent="0.2">
      <c r="A19" s="105" t="s">
        <v>321</v>
      </c>
      <c r="B19" s="106" t="s">
        <v>37</v>
      </c>
      <c r="C19" s="106" t="s">
        <v>322</v>
      </c>
      <c r="D19" s="106" t="s">
        <v>351</v>
      </c>
      <c r="E19" s="106" t="s">
        <v>37</v>
      </c>
      <c r="F19" s="107" t="s">
        <v>352</v>
      </c>
      <c r="G19" s="106" t="s">
        <v>325</v>
      </c>
      <c r="H19" s="106" t="s">
        <v>243</v>
      </c>
      <c r="I19" s="106" t="s">
        <v>9</v>
      </c>
      <c r="J19" s="106" t="s">
        <v>231</v>
      </c>
      <c r="K19" s="106"/>
      <c r="L19" s="108">
        <v>136</v>
      </c>
      <c r="M19" s="108">
        <f>L19*VLOOKUP(I19,dagsoorttabel1,2,FALSE)</f>
        <v>136</v>
      </c>
      <c r="N19" s="109">
        <f>prodnorm51</f>
        <v>0</v>
      </c>
      <c r="O19" s="106" t="s">
        <v>105</v>
      </c>
      <c r="P19" s="28">
        <f>uurtarief51</f>
        <v>0</v>
      </c>
      <c r="Q19" s="108" t="e">
        <f>IF(ISBLANK(N19),0,M19/ROUND(N19,4))</f>
        <v>#DIV/0!</v>
      </c>
      <c r="R19" s="28" t="e">
        <f>ROUND(P19,2)*Q19</f>
        <v>#DIV/0!</v>
      </c>
      <c r="S19" s="108" t="e">
        <f>Q19*dagenperjaar1</f>
        <v>#DIV/0!</v>
      </c>
      <c r="T19" s="29" t="e">
        <f>S19*ROUND(P19,2)</f>
        <v>#DIV/0!</v>
      </c>
    </row>
    <row r="20" spans="1:20" x14ac:dyDescent="0.2">
      <c r="A20" s="105" t="s">
        <v>321</v>
      </c>
      <c r="B20" s="106" t="s">
        <v>37</v>
      </c>
      <c r="C20" s="106" t="s">
        <v>322</v>
      </c>
      <c r="D20" s="106" t="s">
        <v>353</v>
      </c>
      <c r="E20" s="106" t="s">
        <v>37</v>
      </c>
      <c r="F20" s="107" t="s">
        <v>335</v>
      </c>
      <c r="G20" s="106" t="s">
        <v>328</v>
      </c>
      <c r="H20" s="106" t="s">
        <v>273</v>
      </c>
      <c r="I20" s="106" t="s">
        <v>9</v>
      </c>
      <c r="J20" s="106" t="s">
        <v>231</v>
      </c>
      <c r="K20" s="106"/>
      <c r="L20" s="108">
        <v>23.9</v>
      </c>
      <c r="M20" s="108">
        <f>L20*VLOOKUP(I20,dagsoorttabel1,2,FALSE)</f>
        <v>23.9</v>
      </c>
      <c r="N20" s="109">
        <f>prodnorm113</f>
        <v>0</v>
      </c>
      <c r="O20" s="106" t="s">
        <v>105</v>
      </c>
      <c r="P20" s="28">
        <f>uurtarief113</f>
        <v>0</v>
      </c>
      <c r="Q20" s="108" t="e">
        <f>IF(ISBLANK(N20),0,M20/ROUND(N20,4))</f>
        <v>#DIV/0!</v>
      </c>
      <c r="R20" s="28" t="e">
        <f>ROUND(P20,2)*Q20</f>
        <v>#DIV/0!</v>
      </c>
      <c r="S20" s="108" t="e">
        <f>Q20*dagenperjaar1</f>
        <v>#DIV/0!</v>
      </c>
      <c r="T20" s="29" t="e">
        <f>S20*ROUND(P20,2)</f>
        <v>#DIV/0!</v>
      </c>
    </row>
    <row r="21" spans="1:20" x14ac:dyDescent="0.2">
      <c r="A21" s="105" t="s">
        <v>321</v>
      </c>
      <c r="B21" s="106" t="s">
        <v>37</v>
      </c>
      <c r="C21" s="106" t="s">
        <v>322</v>
      </c>
      <c r="D21" s="106" t="s">
        <v>354</v>
      </c>
      <c r="E21" s="106" t="s">
        <v>37</v>
      </c>
      <c r="F21" s="107" t="s">
        <v>355</v>
      </c>
      <c r="G21" s="106" t="s">
        <v>331</v>
      </c>
      <c r="H21" s="106" t="s">
        <v>255</v>
      </c>
      <c r="I21" s="106" t="s">
        <v>9</v>
      </c>
      <c r="J21" s="106" t="s">
        <v>231</v>
      </c>
      <c r="K21" s="106"/>
      <c r="L21" s="108">
        <v>2</v>
      </c>
      <c r="M21" s="108">
        <f>L21*VLOOKUP(I21,dagsoorttabel1,2,FALSE)</f>
        <v>2</v>
      </c>
      <c r="N21" s="109">
        <f>prodnorm73</f>
        <v>0</v>
      </c>
      <c r="O21" s="106" t="s">
        <v>105</v>
      </c>
      <c r="P21" s="28">
        <f>uurtarief73</f>
        <v>0</v>
      </c>
      <c r="Q21" s="108" t="e">
        <f>IF(ISBLANK(N21),0,M21/ROUND(N21,4))</f>
        <v>#DIV/0!</v>
      </c>
      <c r="R21" s="28" t="e">
        <f>ROUND(P21,2)*Q21</f>
        <v>#DIV/0!</v>
      </c>
      <c r="S21" s="108" t="e">
        <f>Q21*dagenperjaar1</f>
        <v>#DIV/0!</v>
      </c>
      <c r="T21" s="29" t="e">
        <f>S21*ROUND(P21,2)</f>
        <v>#DIV/0!</v>
      </c>
    </row>
    <row r="22" spans="1:20" x14ac:dyDescent="0.2">
      <c r="A22" s="105" t="s">
        <v>321</v>
      </c>
      <c r="B22" s="106" t="s">
        <v>37</v>
      </c>
      <c r="C22" s="106" t="s">
        <v>322</v>
      </c>
      <c r="D22" s="106" t="s">
        <v>356</v>
      </c>
      <c r="E22" s="106" t="s">
        <v>37</v>
      </c>
      <c r="F22" s="107" t="s">
        <v>345</v>
      </c>
      <c r="G22" s="106" t="s">
        <v>328</v>
      </c>
      <c r="H22" s="106" t="s">
        <v>273</v>
      </c>
      <c r="I22" s="106" t="s">
        <v>9</v>
      </c>
      <c r="J22" s="106" t="s">
        <v>231</v>
      </c>
      <c r="K22" s="106"/>
      <c r="L22" s="108">
        <v>21</v>
      </c>
      <c r="M22" s="108">
        <f>L22*VLOOKUP(I22,dagsoorttabel1,2,FALSE)</f>
        <v>21</v>
      </c>
      <c r="N22" s="109">
        <f>prodnorm113</f>
        <v>0</v>
      </c>
      <c r="O22" s="106" t="s">
        <v>105</v>
      </c>
      <c r="P22" s="28">
        <f>uurtarief113</f>
        <v>0</v>
      </c>
      <c r="Q22" s="108" t="e">
        <f>IF(ISBLANK(N22),0,M22/ROUND(N22,4))</f>
        <v>#DIV/0!</v>
      </c>
      <c r="R22" s="28" t="e">
        <f>ROUND(P22,2)*Q22</f>
        <v>#DIV/0!</v>
      </c>
      <c r="S22" s="108" t="e">
        <f>Q22*dagenperjaar1</f>
        <v>#DIV/0!</v>
      </c>
      <c r="T22" s="29" t="e">
        <f>S22*ROUND(P22,2)</f>
        <v>#DIV/0!</v>
      </c>
    </row>
    <row r="23" spans="1:20" x14ac:dyDescent="0.2">
      <c r="A23" s="105" t="s">
        <v>321</v>
      </c>
      <c r="B23" s="106" t="s">
        <v>37</v>
      </c>
      <c r="C23" s="106" t="s">
        <v>322</v>
      </c>
      <c r="D23" s="106" t="s">
        <v>357</v>
      </c>
      <c r="E23" s="106" t="s">
        <v>37</v>
      </c>
      <c r="F23" s="107" t="s">
        <v>348</v>
      </c>
      <c r="G23" s="106" t="s">
        <v>358</v>
      </c>
      <c r="H23" s="106" t="s">
        <v>290</v>
      </c>
      <c r="I23" s="106" t="s">
        <v>9</v>
      </c>
      <c r="J23" s="106" t="s">
        <v>231</v>
      </c>
      <c r="K23" s="106"/>
      <c r="L23" s="108">
        <v>12.3</v>
      </c>
      <c r="M23" s="108">
        <f>L23*VLOOKUP(I23,dagsoorttabel1,2,FALSE)</f>
        <v>12.3</v>
      </c>
      <c r="N23" s="109">
        <f>prodnorm146</f>
        <v>0</v>
      </c>
      <c r="O23" s="106" t="s">
        <v>105</v>
      </c>
      <c r="P23" s="28">
        <f>uurtarief146</f>
        <v>0</v>
      </c>
      <c r="Q23" s="108" t="e">
        <f>IF(ISBLANK(N23),0,M23/ROUND(N23,4))</f>
        <v>#DIV/0!</v>
      </c>
      <c r="R23" s="28" t="e">
        <f>ROUND(P23,2)*Q23</f>
        <v>#DIV/0!</v>
      </c>
      <c r="S23" s="108" t="e">
        <f>Q23*dagenperjaar1</f>
        <v>#DIV/0!</v>
      </c>
      <c r="T23" s="29" t="e">
        <f>S23*ROUND(P23,2)</f>
        <v>#DIV/0!</v>
      </c>
    </row>
    <row r="24" spans="1:20" x14ac:dyDescent="0.2">
      <c r="A24" s="105" t="s">
        <v>321</v>
      </c>
      <c r="B24" s="106" t="s">
        <v>37</v>
      </c>
      <c r="C24" s="106" t="s">
        <v>322</v>
      </c>
      <c r="D24" s="106" t="s">
        <v>359</v>
      </c>
      <c r="E24" s="106" t="s">
        <v>37</v>
      </c>
      <c r="F24" s="107" t="s">
        <v>360</v>
      </c>
      <c r="G24" s="106" t="s">
        <v>346</v>
      </c>
      <c r="H24" s="106" t="s">
        <v>267</v>
      </c>
      <c r="I24" s="106" t="s">
        <v>9</v>
      </c>
      <c r="J24" s="106" t="s">
        <v>231</v>
      </c>
      <c r="K24" s="106"/>
      <c r="L24" s="108">
        <v>7.6</v>
      </c>
      <c r="M24" s="108">
        <f>L24*VLOOKUP(I24,dagsoorttabel1,2,FALSE)</f>
        <v>7.6</v>
      </c>
      <c r="N24" s="109">
        <f>prodnorm101</f>
        <v>0</v>
      </c>
      <c r="O24" s="106" t="s">
        <v>105</v>
      </c>
      <c r="P24" s="28">
        <f>uurtarief101</f>
        <v>0</v>
      </c>
      <c r="Q24" s="108" t="e">
        <f>IF(ISBLANK(N24),0,M24/ROUND(N24,4))</f>
        <v>#DIV/0!</v>
      </c>
      <c r="R24" s="28" t="e">
        <f>ROUND(P24,2)*Q24</f>
        <v>#DIV/0!</v>
      </c>
      <c r="S24" s="108" t="e">
        <f>Q24*dagenperjaar1</f>
        <v>#DIV/0!</v>
      </c>
      <c r="T24" s="29" t="e">
        <f>S24*ROUND(P24,2)</f>
        <v>#DIV/0!</v>
      </c>
    </row>
    <row r="25" spans="1:20" x14ac:dyDescent="0.2">
      <c r="A25" s="105" t="s">
        <v>321</v>
      </c>
      <c r="B25" s="106" t="s">
        <v>37</v>
      </c>
      <c r="C25" s="106" t="s">
        <v>322</v>
      </c>
      <c r="D25" s="106" t="s">
        <v>359</v>
      </c>
      <c r="E25" s="106" t="s">
        <v>37</v>
      </c>
      <c r="F25" s="107" t="s">
        <v>360</v>
      </c>
      <c r="G25" s="106" t="s">
        <v>346</v>
      </c>
      <c r="H25" s="106" t="s">
        <v>269</v>
      </c>
      <c r="I25" s="106" t="s">
        <v>9</v>
      </c>
      <c r="J25" s="106" t="s">
        <v>231</v>
      </c>
      <c r="K25" s="106"/>
      <c r="L25" s="108">
        <v>7.6</v>
      </c>
      <c r="M25" s="108">
        <f>L25*VLOOKUP(I25,dagsoorttabel1,2,FALSE)</f>
        <v>7.6</v>
      </c>
      <c r="N25" s="109">
        <f>prodnorm103</f>
        <v>0</v>
      </c>
      <c r="O25" s="106" t="s">
        <v>105</v>
      </c>
      <c r="P25" s="28">
        <f>uurtarief103</f>
        <v>0</v>
      </c>
      <c r="Q25" s="108" t="e">
        <f>IF(ISBLANK(N25),0,M25/ROUND(N25,4))</f>
        <v>#DIV/0!</v>
      </c>
      <c r="R25" s="28" t="e">
        <f>ROUND(P25,2)*Q25</f>
        <v>#DIV/0!</v>
      </c>
      <c r="S25" s="108" t="e">
        <f>Q25*dagenperjaar1</f>
        <v>#DIV/0!</v>
      </c>
      <c r="T25" s="29" t="e">
        <f>S25*ROUND(P25,2)</f>
        <v>#DIV/0!</v>
      </c>
    </row>
    <row r="26" spans="1:20" x14ac:dyDescent="0.2">
      <c r="A26" s="105" t="s">
        <v>321</v>
      </c>
      <c r="B26" s="106" t="s">
        <v>37</v>
      </c>
      <c r="C26" s="106" t="s">
        <v>322</v>
      </c>
      <c r="D26" s="106" t="s">
        <v>361</v>
      </c>
      <c r="E26" s="106" t="s">
        <v>37</v>
      </c>
      <c r="F26" s="107" t="s">
        <v>362</v>
      </c>
      <c r="G26" s="106" t="s">
        <v>358</v>
      </c>
      <c r="H26" s="106" t="s">
        <v>283</v>
      </c>
      <c r="I26" s="106" t="s">
        <v>9</v>
      </c>
      <c r="J26" s="106" t="s">
        <v>231</v>
      </c>
      <c r="K26" s="106"/>
      <c r="L26" s="108">
        <v>1.5</v>
      </c>
      <c r="M26" s="108">
        <f>L26*VLOOKUP(I26,dagsoorttabel1,2,FALSE)</f>
        <v>1.5</v>
      </c>
      <c r="N26" s="109">
        <f>prodnorm131</f>
        <v>0</v>
      </c>
      <c r="O26" s="106" t="s">
        <v>105</v>
      </c>
      <c r="P26" s="28">
        <f>uurtarief131</f>
        <v>0</v>
      </c>
      <c r="Q26" s="108" t="e">
        <f>IF(ISBLANK(N26),0,M26/ROUND(N26,4))</f>
        <v>#DIV/0!</v>
      </c>
      <c r="R26" s="28" t="e">
        <f>ROUND(P26,2)*Q26</f>
        <v>#DIV/0!</v>
      </c>
      <c r="S26" s="108" t="e">
        <f>Q26*dagenperjaar1</f>
        <v>#DIV/0!</v>
      </c>
      <c r="T26" s="29" t="e">
        <f>S26*ROUND(P26,2)</f>
        <v>#DIV/0!</v>
      </c>
    </row>
    <row r="27" spans="1:20" x14ac:dyDescent="0.2">
      <c r="A27" s="105" t="s">
        <v>321</v>
      </c>
      <c r="B27" s="106" t="s">
        <v>37</v>
      </c>
      <c r="C27" s="106" t="s">
        <v>322</v>
      </c>
      <c r="D27" s="106" t="s">
        <v>363</v>
      </c>
      <c r="E27" s="106" t="s">
        <v>37</v>
      </c>
      <c r="F27" s="107" t="s">
        <v>364</v>
      </c>
      <c r="G27" s="106" t="s">
        <v>346</v>
      </c>
      <c r="H27" s="106" t="s">
        <v>267</v>
      </c>
      <c r="I27" s="106" t="s">
        <v>9</v>
      </c>
      <c r="J27" s="106" t="s">
        <v>231</v>
      </c>
      <c r="K27" s="106"/>
      <c r="L27" s="108">
        <v>7.6</v>
      </c>
      <c r="M27" s="108">
        <f>L27*VLOOKUP(I27,dagsoorttabel1,2,FALSE)</f>
        <v>7.6</v>
      </c>
      <c r="N27" s="109">
        <f>prodnorm101</f>
        <v>0</v>
      </c>
      <c r="O27" s="106" t="s">
        <v>105</v>
      </c>
      <c r="P27" s="28">
        <f>uurtarief101</f>
        <v>0</v>
      </c>
      <c r="Q27" s="108" t="e">
        <f>IF(ISBLANK(N27),0,M27/ROUND(N27,4))</f>
        <v>#DIV/0!</v>
      </c>
      <c r="R27" s="28" t="e">
        <f>ROUND(P27,2)*Q27</f>
        <v>#DIV/0!</v>
      </c>
      <c r="S27" s="108" t="e">
        <f>Q27*dagenperjaar1</f>
        <v>#DIV/0!</v>
      </c>
      <c r="T27" s="29" t="e">
        <f>S27*ROUND(P27,2)</f>
        <v>#DIV/0!</v>
      </c>
    </row>
    <row r="28" spans="1:20" x14ac:dyDescent="0.2">
      <c r="A28" s="105" t="s">
        <v>321</v>
      </c>
      <c r="B28" s="106" t="s">
        <v>37</v>
      </c>
      <c r="C28" s="106" t="s">
        <v>322</v>
      </c>
      <c r="D28" s="106" t="s">
        <v>363</v>
      </c>
      <c r="E28" s="106" t="s">
        <v>37</v>
      </c>
      <c r="F28" s="107" t="s">
        <v>364</v>
      </c>
      <c r="G28" s="106" t="s">
        <v>346</v>
      </c>
      <c r="H28" s="106" t="s">
        <v>269</v>
      </c>
      <c r="I28" s="106" t="s">
        <v>9</v>
      </c>
      <c r="J28" s="106" t="s">
        <v>231</v>
      </c>
      <c r="K28" s="106"/>
      <c r="L28" s="108">
        <v>7.6</v>
      </c>
      <c r="M28" s="108">
        <f>L28*VLOOKUP(I28,dagsoorttabel1,2,FALSE)</f>
        <v>7.6</v>
      </c>
      <c r="N28" s="109">
        <f>prodnorm103</f>
        <v>0</v>
      </c>
      <c r="O28" s="106" t="s">
        <v>105</v>
      </c>
      <c r="P28" s="28">
        <f>uurtarief103</f>
        <v>0</v>
      </c>
      <c r="Q28" s="108" t="e">
        <f>IF(ISBLANK(N28),0,M28/ROUND(N28,4))</f>
        <v>#DIV/0!</v>
      </c>
      <c r="R28" s="28" t="e">
        <f>ROUND(P28,2)*Q28</f>
        <v>#DIV/0!</v>
      </c>
      <c r="S28" s="108" t="e">
        <f>Q28*dagenperjaar1</f>
        <v>#DIV/0!</v>
      </c>
      <c r="T28" s="29" t="e">
        <f>S28*ROUND(P28,2)</f>
        <v>#DIV/0!</v>
      </c>
    </row>
    <row r="29" spans="1:20" x14ac:dyDescent="0.2">
      <c r="A29" s="105" t="s">
        <v>321</v>
      </c>
      <c r="B29" s="106" t="s">
        <v>37</v>
      </c>
      <c r="C29" s="106" t="s">
        <v>322</v>
      </c>
      <c r="D29" s="106" t="s">
        <v>365</v>
      </c>
      <c r="E29" s="106" t="s">
        <v>37</v>
      </c>
      <c r="F29" s="107" t="s">
        <v>366</v>
      </c>
      <c r="G29" s="106" t="s">
        <v>346</v>
      </c>
      <c r="H29" s="106" t="s">
        <v>267</v>
      </c>
      <c r="I29" s="106" t="s">
        <v>9</v>
      </c>
      <c r="J29" s="106" t="s">
        <v>231</v>
      </c>
      <c r="K29" s="106"/>
      <c r="L29" s="108">
        <v>3.8</v>
      </c>
      <c r="M29" s="108">
        <f>L29*VLOOKUP(I29,dagsoorttabel1,2,FALSE)</f>
        <v>3.8</v>
      </c>
      <c r="N29" s="109">
        <f>prodnorm101</f>
        <v>0</v>
      </c>
      <c r="O29" s="106" t="s">
        <v>105</v>
      </c>
      <c r="P29" s="28">
        <f>uurtarief101</f>
        <v>0</v>
      </c>
      <c r="Q29" s="108" t="e">
        <f>IF(ISBLANK(N29),0,M29/ROUND(N29,4))</f>
        <v>#DIV/0!</v>
      </c>
      <c r="R29" s="28" t="e">
        <f>ROUND(P29,2)*Q29</f>
        <v>#DIV/0!</v>
      </c>
      <c r="S29" s="108" t="e">
        <f>Q29*dagenperjaar1</f>
        <v>#DIV/0!</v>
      </c>
      <c r="T29" s="29" t="e">
        <f>S29*ROUND(P29,2)</f>
        <v>#DIV/0!</v>
      </c>
    </row>
    <row r="30" spans="1:20" x14ac:dyDescent="0.2">
      <c r="A30" s="105" t="s">
        <v>321</v>
      </c>
      <c r="B30" s="106" t="s">
        <v>37</v>
      </c>
      <c r="C30" s="106" t="s">
        <v>322</v>
      </c>
      <c r="D30" s="106" t="s">
        <v>365</v>
      </c>
      <c r="E30" s="106" t="s">
        <v>37</v>
      </c>
      <c r="F30" s="107" t="s">
        <v>366</v>
      </c>
      <c r="G30" s="106" t="s">
        <v>346</v>
      </c>
      <c r="H30" s="106" t="s">
        <v>269</v>
      </c>
      <c r="I30" s="106" t="s">
        <v>9</v>
      </c>
      <c r="J30" s="106" t="s">
        <v>231</v>
      </c>
      <c r="K30" s="106"/>
      <c r="L30" s="108">
        <v>3.8</v>
      </c>
      <c r="M30" s="108">
        <f>L30*VLOOKUP(I30,dagsoorttabel1,2,FALSE)</f>
        <v>3.8</v>
      </c>
      <c r="N30" s="109">
        <f>prodnorm103</f>
        <v>0</v>
      </c>
      <c r="O30" s="106" t="s">
        <v>105</v>
      </c>
      <c r="P30" s="28">
        <f>uurtarief103</f>
        <v>0</v>
      </c>
      <c r="Q30" s="108" t="e">
        <f>IF(ISBLANK(N30),0,M30/ROUND(N30,4))</f>
        <v>#DIV/0!</v>
      </c>
      <c r="R30" s="28" t="e">
        <f>ROUND(P30,2)*Q30</f>
        <v>#DIV/0!</v>
      </c>
      <c r="S30" s="108" t="e">
        <f>Q30*dagenperjaar1</f>
        <v>#DIV/0!</v>
      </c>
      <c r="T30" s="29" t="e">
        <f>S30*ROUND(P30,2)</f>
        <v>#DIV/0!</v>
      </c>
    </row>
    <row r="31" spans="1:20" x14ac:dyDescent="0.2">
      <c r="A31" s="105" t="s">
        <v>321</v>
      </c>
      <c r="B31" s="106" t="s">
        <v>37</v>
      </c>
      <c r="C31" s="106" t="s">
        <v>322</v>
      </c>
      <c r="D31" s="106" t="s">
        <v>367</v>
      </c>
      <c r="E31" s="106" t="s">
        <v>37</v>
      </c>
      <c r="F31" s="107" t="s">
        <v>368</v>
      </c>
      <c r="G31" s="106" t="s">
        <v>369</v>
      </c>
      <c r="H31" s="106" t="s">
        <v>296</v>
      </c>
      <c r="I31" s="106" t="s">
        <v>23</v>
      </c>
      <c r="J31" s="106" t="s">
        <v>231</v>
      </c>
      <c r="K31" s="106"/>
      <c r="L31" s="108">
        <v>7.2</v>
      </c>
      <c r="M31" s="108">
        <f>L31*VLOOKUP(I31,dagsoorttabel1,2,FALSE)</f>
        <v>2.823529411764706E-2</v>
      </c>
      <c r="N31" s="109">
        <f>prodnorm152</f>
        <v>0</v>
      </c>
      <c r="O31" s="106" t="s">
        <v>105</v>
      </c>
      <c r="P31" s="28">
        <f>uurtarief152</f>
        <v>0</v>
      </c>
      <c r="Q31" s="108" t="e">
        <f>IF(ISBLANK(N31),0,M31/ROUND(N31,4))</f>
        <v>#DIV/0!</v>
      </c>
      <c r="R31" s="28" t="e">
        <f>ROUND(P31,2)*Q31</f>
        <v>#DIV/0!</v>
      </c>
      <c r="S31" s="108" t="e">
        <f>Q31*dagenperjaar1</f>
        <v>#DIV/0!</v>
      </c>
      <c r="T31" s="29" t="e">
        <f>S31*ROUND(P31,2)</f>
        <v>#DIV/0!</v>
      </c>
    </row>
    <row r="32" spans="1:20" x14ac:dyDescent="0.2">
      <c r="A32" s="105" t="s">
        <v>321</v>
      </c>
      <c r="B32" s="106" t="s">
        <v>37</v>
      </c>
      <c r="C32" s="106" t="s">
        <v>322</v>
      </c>
      <c r="D32" s="106" t="s">
        <v>370</v>
      </c>
      <c r="E32" s="106" t="s">
        <v>37</v>
      </c>
      <c r="F32" s="107" t="s">
        <v>371</v>
      </c>
      <c r="G32" s="106" t="s">
        <v>369</v>
      </c>
      <c r="H32" s="106" t="s">
        <v>296</v>
      </c>
      <c r="I32" s="106" t="s">
        <v>23</v>
      </c>
      <c r="J32" s="106" t="s">
        <v>231</v>
      </c>
      <c r="K32" s="106"/>
      <c r="L32" s="108">
        <v>18.899999999999999</v>
      </c>
      <c r="M32" s="108">
        <f>L32*VLOOKUP(I32,dagsoorttabel1,2,FALSE)</f>
        <v>7.4117647058823524E-2</v>
      </c>
      <c r="N32" s="109">
        <f>prodnorm152</f>
        <v>0</v>
      </c>
      <c r="O32" s="106" t="s">
        <v>105</v>
      </c>
      <c r="P32" s="28">
        <f>uurtarief152</f>
        <v>0</v>
      </c>
      <c r="Q32" s="108" t="e">
        <f>IF(ISBLANK(N32),0,M32/ROUND(N32,4))</f>
        <v>#DIV/0!</v>
      </c>
      <c r="R32" s="28" t="e">
        <f>ROUND(P32,2)*Q32</f>
        <v>#DIV/0!</v>
      </c>
      <c r="S32" s="108" t="e">
        <f>Q32*dagenperjaar1</f>
        <v>#DIV/0!</v>
      </c>
      <c r="T32" s="29" t="e">
        <f>S32*ROUND(P32,2)</f>
        <v>#DIV/0!</v>
      </c>
    </row>
    <row r="33" spans="1:20" x14ac:dyDescent="0.2">
      <c r="A33" s="105" t="s">
        <v>321</v>
      </c>
      <c r="B33" s="106" t="s">
        <v>37</v>
      </c>
      <c r="C33" s="106" t="s">
        <v>322</v>
      </c>
      <c r="D33" s="106" t="s">
        <v>372</v>
      </c>
      <c r="E33" s="106" t="s">
        <v>37</v>
      </c>
      <c r="F33" s="107" t="s">
        <v>373</v>
      </c>
      <c r="G33" s="106" t="s">
        <v>328</v>
      </c>
      <c r="H33" s="106" t="s">
        <v>257</v>
      </c>
      <c r="I33" s="106" t="s">
        <v>9</v>
      </c>
      <c r="J33" s="106" t="s">
        <v>231</v>
      </c>
      <c r="K33" s="106"/>
      <c r="L33" s="108">
        <v>72.2</v>
      </c>
      <c r="M33" s="108">
        <f>L33*VLOOKUP(I33,dagsoorttabel1,2,FALSE)</f>
        <v>72.2</v>
      </c>
      <c r="N33" s="109">
        <f>prodnorm80</f>
        <v>0</v>
      </c>
      <c r="O33" s="106" t="s">
        <v>105</v>
      </c>
      <c r="P33" s="28">
        <f>uurtarief80</f>
        <v>0</v>
      </c>
      <c r="Q33" s="108" t="e">
        <f>IF(ISBLANK(N33),0,M33/ROUND(N33,4))</f>
        <v>#DIV/0!</v>
      </c>
      <c r="R33" s="28" t="e">
        <f>ROUND(P33,2)*Q33</f>
        <v>#DIV/0!</v>
      </c>
      <c r="S33" s="108" t="e">
        <f>Q33*dagenperjaar1</f>
        <v>#DIV/0!</v>
      </c>
      <c r="T33" s="29" t="e">
        <f>S33*ROUND(P33,2)</f>
        <v>#DIV/0!</v>
      </c>
    </row>
    <row r="34" spans="1:20" ht="25.5" x14ac:dyDescent="0.2">
      <c r="A34" s="105" t="s">
        <v>321</v>
      </c>
      <c r="B34" s="106" t="s">
        <v>37</v>
      </c>
      <c r="C34" s="106" t="s">
        <v>322</v>
      </c>
      <c r="D34" s="106" t="s">
        <v>374</v>
      </c>
      <c r="E34" s="106" t="s">
        <v>37</v>
      </c>
      <c r="F34" s="107" t="s">
        <v>375</v>
      </c>
      <c r="G34" s="106" t="s">
        <v>376</v>
      </c>
      <c r="H34" s="106" t="s">
        <v>294</v>
      </c>
      <c r="I34" s="106" t="s">
        <v>23</v>
      </c>
      <c r="J34" s="106" t="s">
        <v>231</v>
      </c>
      <c r="K34" s="106"/>
      <c r="L34" s="108">
        <v>60</v>
      </c>
      <c r="M34" s="108">
        <f>L34*VLOOKUP(I34,dagsoorttabel1,2,FALSE)</f>
        <v>0.23529411764705882</v>
      </c>
      <c r="N34" s="109">
        <f>prodnorm151</f>
        <v>0</v>
      </c>
      <c r="O34" s="106" t="s">
        <v>105</v>
      </c>
      <c r="P34" s="28">
        <f>uurtarief151</f>
        <v>0</v>
      </c>
      <c r="Q34" s="108" t="e">
        <f>IF(ISBLANK(N34),0,M34/ROUND(N34,4))</f>
        <v>#DIV/0!</v>
      </c>
      <c r="R34" s="28" t="e">
        <f>ROUND(P34,2)*Q34</f>
        <v>#DIV/0!</v>
      </c>
      <c r="S34" s="108" t="e">
        <f>Q34*dagenperjaar1</f>
        <v>#DIV/0!</v>
      </c>
      <c r="T34" s="29" t="e">
        <f>S34*ROUND(P34,2)</f>
        <v>#DIV/0!</v>
      </c>
    </row>
    <row r="35" spans="1:20" x14ac:dyDescent="0.2">
      <c r="A35" s="105" t="s">
        <v>321</v>
      </c>
      <c r="B35" s="106" t="s">
        <v>37</v>
      </c>
      <c r="C35" s="106" t="s">
        <v>322</v>
      </c>
      <c r="D35" s="106" t="s">
        <v>377</v>
      </c>
      <c r="E35" s="106" t="s">
        <v>37</v>
      </c>
      <c r="F35" s="107" t="s">
        <v>378</v>
      </c>
      <c r="G35" s="106" t="s">
        <v>379</v>
      </c>
      <c r="H35" s="106" t="s">
        <v>259</v>
      </c>
      <c r="I35" s="106" t="s">
        <v>9</v>
      </c>
      <c r="J35" s="106" t="s">
        <v>231</v>
      </c>
      <c r="K35" s="106"/>
      <c r="L35" s="108">
        <v>64.5</v>
      </c>
      <c r="M35" s="108">
        <f>L35*VLOOKUP(I35,dagsoorttabel1,2,FALSE)</f>
        <v>64.5</v>
      </c>
      <c r="N35" s="109">
        <f>prodnorm82</f>
        <v>0</v>
      </c>
      <c r="O35" s="106" t="s">
        <v>105</v>
      </c>
      <c r="P35" s="28">
        <f>uurtarief82</f>
        <v>0</v>
      </c>
      <c r="Q35" s="108" t="e">
        <f>IF(ISBLANK(N35),0,M35/ROUND(N35,4))</f>
        <v>#DIV/0!</v>
      </c>
      <c r="R35" s="28" t="e">
        <f>ROUND(P35,2)*Q35</f>
        <v>#DIV/0!</v>
      </c>
      <c r="S35" s="108" t="e">
        <f>Q35*dagenperjaar1</f>
        <v>#DIV/0!</v>
      </c>
      <c r="T35" s="29" t="e">
        <f>S35*ROUND(P35,2)</f>
        <v>#DIV/0!</v>
      </c>
    </row>
    <row r="36" spans="1:20" x14ac:dyDescent="0.2">
      <c r="A36" s="105" t="s">
        <v>321</v>
      </c>
      <c r="B36" s="106" t="s">
        <v>37</v>
      </c>
      <c r="C36" s="106" t="s">
        <v>322</v>
      </c>
      <c r="D36" s="106" t="s">
        <v>380</v>
      </c>
      <c r="E36" s="106" t="s">
        <v>37</v>
      </c>
      <c r="F36" s="107" t="s">
        <v>381</v>
      </c>
      <c r="G36" s="106" t="s">
        <v>325</v>
      </c>
      <c r="H36" s="106" t="s">
        <v>237</v>
      </c>
      <c r="I36" s="106" t="s">
        <v>9</v>
      </c>
      <c r="J36" s="106" t="s">
        <v>231</v>
      </c>
      <c r="K36" s="106"/>
      <c r="L36" s="108">
        <v>70.099999999999994</v>
      </c>
      <c r="M36" s="108">
        <f>L36*VLOOKUP(I36,dagsoorttabel1,2,FALSE)</f>
        <v>70.099999999999994</v>
      </c>
      <c r="N36" s="109">
        <f>prodnorm43</f>
        <v>0</v>
      </c>
      <c r="O36" s="106" t="s">
        <v>105</v>
      </c>
      <c r="P36" s="28">
        <f>uurtarief43</f>
        <v>0</v>
      </c>
      <c r="Q36" s="108" t="e">
        <f>IF(ISBLANK(N36),0,M36/ROUND(N36,4))</f>
        <v>#DIV/0!</v>
      </c>
      <c r="R36" s="28" t="e">
        <f>ROUND(P36,2)*Q36</f>
        <v>#DIV/0!</v>
      </c>
      <c r="S36" s="108" t="e">
        <f>Q36*dagenperjaar1</f>
        <v>#DIV/0!</v>
      </c>
      <c r="T36" s="29" t="e">
        <f>S36*ROUND(P36,2)</f>
        <v>#DIV/0!</v>
      </c>
    </row>
    <row r="37" spans="1:20" x14ac:dyDescent="0.2">
      <c r="A37" s="105" t="s">
        <v>321</v>
      </c>
      <c r="B37" s="106" t="s">
        <v>37</v>
      </c>
      <c r="C37" s="106" t="s">
        <v>322</v>
      </c>
      <c r="D37" s="106" t="s">
        <v>382</v>
      </c>
      <c r="E37" s="106" t="s">
        <v>37</v>
      </c>
      <c r="F37" s="107" t="s">
        <v>381</v>
      </c>
      <c r="G37" s="106" t="s">
        <v>325</v>
      </c>
      <c r="H37" s="106" t="s">
        <v>237</v>
      </c>
      <c r="I37" s="106" t="s">
        <v>9</v>
      </c>
      <c r="J37" s="106" t="s">
        <v>231</v>
      </c>
      <c r="K37" s="106"/>
      <c r="L37" s="108">
        <v>94.86</v>
      </c>
      <c r="M37" s="108">
        <f>L37*VLOOKUP(I37,dagsoorttabel1,2,FALSE)</f>
        <v>94.86</v>
      </c>
      <c r="N37" s="109">
        <f>prodnorm43</f>
        <v>0</v>
      </c>
      <c r="O37" s="106" t="s">
        <v>105</v>
      </c>
      <c r="P37" s="28">
        <f>uurtarief43</f>
        <v>0</v>
      </c>
      <c r="Q37" s="108" t="e">
        <f>IF(ISBLANK(N37),0,M37/ROUND(N37,4))</f>
        <v>#DIV/0!</v>
      </c>
      <c r="R37" s="28" t="e">
        <f>ROUND(P37,2)*Q37</f>
        <v>#DIV/0!</v>
      </c>
      <c r="S37" s="108" t="e">
        <f>Q37*dagenperjaar1</f>
        <v>#DIV/0!</v>
      </c>
      <c r="T37" s="29" t="e">
        <f>S37*ROUND(P37,2)</f>
        <v>#DIV/0!</v>
      </c>
    </row>
    <row r="38" spans="1:20" x14ac:dyDescent="0.2">
      <c r="A38" s="105" t="s">
        <v>321</v>
      </c>
      <c r="B38" s="106" t="s">
        <v>37</v>
      </c>
      <c r="C38" s="106" t="s">
        <v>322</v>
      </c>
      <c r="D38" s="106" t="s">
        <v>383</v>
      </c>
      <c r="E38" s="106" t="s">
        <v>37</v>
      </c>
      <c r="F38" s="107" t="s">
        <v>384</v>
      </c>
      <c r="G38" s="106" t="s">
        <v>325</v>
      </c>
      <c r="H38" s="106" t="s">
        <v>237</v>
      </c>
      <c r="I38" s="106" t="s">
        <v>9</v>
      </c>
      <c r="J38" s="106" t="s">
        <v>231</v>
      </c>
      <c r="K38" s="106"/>
      <c r="L38" s="108">
        <v>3.07</v>
      </c>
      <c r="M38" s="108">
        <f>L38*VLOOKUP(I38,dagsoorttabel1,2,FALSE)</f>
        <v>3.07</v>
      </c>
      <c r="N38" s="109">
        <f>prodnorm43</f>
        <v>0</v>
      </c>
      <c r="O38" s="106" t="s">
        <v>105</v>
      </c>
      <c r="P38" s="28">
        <f>uurtarief43</f>
        <v>0</v>
      </c>
      <c r="Q38" s="108" t="e">
        <f>IF(ISBLANK(N38),0,M38/ROUND(N38,4))</f>
        <v>#DIV/0!</v>
      </c>
      <c r="R38" s="28" t="e">
        <f>ROUND(P38,2)*Q38</f>
        <v>#DIV/0!</v>
      </c>
      <c r="S38" s="108" t="e">
        <f>Q38*dagenperjaar1</f>
        <v>#DIV/0!</v>
      </c>
      <c r="T38" s="29" t="e">
        <f>S38*ROUND(P38,2)</f>
        <v>#DIV/0!</v>
      </c>
    </row>
    <row r="39" spans="1:20" x14ac:dyDescent="0.2">
      <c r="A39" s="105" t="s">
        <v>321</v>
      </c>
      <c r="B39" s="106" t="s">
        <v>37</v>
      </c>
      <c r="C39" s="106" t="s">
        <v>322</v>
      </c>
      <c r="D39" s="106" t="s">
        <v>385</v>
      </c>
      <c r="E39" s="106" t="s">
        <v>37</v>
      </c>
      <c r="F39" s="107" t="s">
        <v>384</v>
      </c>
      <c r="G39" s="106" t="s">
        <v>325</v>
      </c>
      <c r="H39" s="106" t="s">
        <v>237</v>
      </c>
      <c r="I39" s="106" t="s">
        <v>9</v>
      </c>
      <c r="J39" s="106" t="s">
        <v>231</v>
      </c>
      <c r="K39" s="106"/>
      <c r="L39" s="108">
        <v>3.07</v>
      </c>
      <c r="M39" s="108">
        <f>L39*VLOOKUP(I39,dagsoorttabel1,2,FALSE)</f>
        <v>3.07</v>
      </c>
      <c r="N39" s="109">
        <f>prodnorm43</f>
        <v>0</v>
      </c>
      <c r="O39" s="106" t="s">
        <v>105</v>
      </c>
      <c r="P39" s="28">
        <f>uurtarief43</f>
        <v>0</v>
      </c>
      <c r="Q39" s="108" t="e">
        <f>IF(ISBLANK(N39),0,M39/ROUND(N39,4))</f>
        <v>#DIV/0!</v>
      </c>
      <c r="R39" s="28" t="e">
        <f>ROUND(P39,2)*Q39</f>
        <v>#DIV/0!</v>
      </c>
      <c r="S39" s="108" t="e">
        <f>Q39*dagenperjaar1</f>
        <v>#DIV/0!</v>
      </c>
      <c r="T39" s="29" t="e">
        <f>S39*ROUND(P39,2)</f>
        <v>#DIV/0!</v>
      </c>
    </row>
    <row r="40" spans="1:20" x14ac:dyDescent="0.2">
      <c r="A40" s="105" t="s">
        <v>321</v>
      </c>
      <c r="B40" s="106" t="s">
        <v>37</v>
      </c>
      <c r="C40" s="106" t="s">
        <v>322</v>
      </c>
      <c r="D40" s="106" t="s">
        <v>386</v>
      </c>
      <c r="E40" s="106" t="s">
        <v>37</v>
      </c>
      <c r="F40" s="107" t="s">
        <v>387</v>
      </c>
      <c r="G40" s="106" t="s">
        <v>325</v>
      </c>
      <c r="H40" s="106" t="s">
        <v>275</v>
      </c>
      <c r="I40" s="106" t="s">
        <v>9</v>
      </c>
      <c r="J40" s="106" t="s">
        <v>231</v>
      </c>
      <c r="K40" s="106"/>
      <c r="L40" s="108">
        <v>12.2</v>
      </c>
      <c r="M40" s="108">
        <f>L40*VLOOKUP(I40,dagsoorttabel1,2,FALSE)</f>
        <v>12.2</v>
      </c>
      <c r="N40" s="109">
        <f>prodnorm118</f>
        <v>0</v>
      </c>
      <c r="O40" s="106" t="s">
        <v>105</v>
      </c>
      <c r="P40" s="28">
        <f>uurtarief118</f>
        <v>0</v>
      </c>
      <c r="Q40" s="108" t="e">
        <f>IF(ISBLANK(N40),0,M40/ROUND(N40,4))</f>
        <v>#DIV/0!</v>
      </c>
      <c r="R40" s="28" t="e">
        <f>ROUND(P40,2)*Q40</f>
        <v>#DIV/0!</v>
      </c>
      <c r="S40" s="108" t="e">
        <f>Q40*dagenperjaar1</f>
        <v>#DIV/0!</v>
      </c>
      <c r="T40" s="29" t="e">
        <f>S40*ROUND(P40,2)</f>
        <v>#DIV/0!</v>
      </c>
    </row>
    <row r="41" spans="1:20" x14ac:dyDescent="0.2">
      <c r="A41" s="105" t="s">
        <v>321</v>
      </c>
      <c r="B41" s="106" t="s">
        <v>37</v>
      </c>
      <c r="C41" s="106" t="s">
        <v>322</v>
      </c>
      <c r="D41" s="106" t="s">
        <v>388</v>
      </c>
      <c r="E41" s="106" t="s">
        <v>37</v>
      </c>
      <c r="F41" s="107" t="s">
        <v>389</v>
      </c>
      <c r="G41" s="106" t="s">
        <v>325</v>
      </c>
      <c r="H41" s="106" t="s">
        <v>259</v>
      </c>
      <c r="I41" s="106" t="s">
        <v>9</v>
      </c>
      <c r="J41" s="106" t="s">
        <v>231</v>
      </c>
      <c r="K41" s="106"/>
      <c r="L41" s="108">
        <v>50</v>
      </c>
      <c r="M41" s="108">
        <f>L41*VLOOKUP(I41,dagsoorttabel1,2,FALSE)</f>
        <v>50</v>
      </c>
      <c r="N41" s="109">
        <f>prodnorm82</f>
        <v>0</v>
      </c>
      <c r="O41" s="106" t="s">
        <v>105</v>
      </c>
      <c r="P41" s="28">
        <f>uurtarief82</f>
        <v>0</v>
      </c>
      <c r="Q41" s="108" t="e">
        <f>IF(ISBLANK(N41),0,M41/ROUND(N41,4))</f>
        <v>#DIV/0!</v>
      </c>
      <c r="R41" s="28" t="e">
        <f>ROUND(P41,2)*Q41</f>
        <v>#DIV/0!</v>
      </c>
      <c r="S41" s="108" t="e">
        <f>Q41*dagenperjaar1</f>
        <v>#DIV/0!</v>
      </c>
      <c r="T41" s="29" t="e">
        <f>S41*ROUND(P41,2)</f>
        <v>#DIV/0!</v>
      </c>
    </row>
    <row r="42" spans="1:20" x14ac:dyDescent="0.2">
      <c r="A42" s="105" t="s">
        <v>321</v>
      </c>
      <c r="B42" s="106" t="s">
        <v>37</v>
      </c>
      <c r="C42" s="106" t="s">
        <v>322</v>
      </c>
      <c r="D42" s="106" t="s">
        <v>390</v>
      </c>
      <c r="E42" s="106" t="s">
        <v>37</v>
      </c>
      <c r="F42" s="107" t="s">
        <v>381</v>
      </c>
      <c r="G42" s="106" t="s">
        <v>325</v>
      </c>
      <c r="H42" s="106" t="s">
        <v>237</v>
      </c>
      <c r="I42" s="106" t="s">
        <v>9</v>
      </c>
      <c r="J42" s="106" t="s">
        <v>231</v>
      </c>
      <c r="K42" s="106"/>
      <c r="L42" s="108">
        <v>58.9</v>
      </c>
      <c r="M42" s="108">
        <f>L42*VLOOKUP(I42,dagsoorttabel1,2,FALSE)</f>
        <v>58.9</v>
      </c>
      <c r="N42" s="109">
        <f>prodnorm43</f>
        <v>0</v>
      </c>
      <c r="O42" s="106" t="s">
        <v>105</v>
      </c>
      <c r="P42" s="28">
        <f>uurtarief43</f>
        <v>0</v>
      </c>
      <c r="Q42" s="108" t="e">
        <f>IF(ISBLANK(N42),0,M42/ROUND(N42,4))</f>
        <v>#DIV/0!</v>
      </c>
      <c r="R42" s="28" t="e">
        <f>ROUND(P42,2)*Q42</f>
        <v>#DIV/0!</v>
      </c>
      <c r="S42" s="108" t="e">
        <f>Q42*dagenperjaar1</f>
        <v>#DIV/0!</v>
      </c>
      <c r="T42" s="29" t="e">
        <f>S42*ROUND(P42,2)</f>
        <v>#DIV/0!</v>
      </c>
    </row>
    <row r="43" spans="1:20" x14ac:dyDescent="0.2">
      <c r="A43" s="105" t="s">
        <v>321</v>
      </c>
      <c r="B43" s="106" t="s">
        <v>37</v>
      </c>
      <c r="C43" s="106" t="s">
        <v>322</v>
      </c>
      <c r="D43" s="106" t="s">
        <v>391</v>
      </c>
      <c r="E43" s="106" t="s">
        <v>37</v>
      </c>
      <c r="F43" s="107" t="s">
        <v>381</v>
      </c>
      <c r="G43" s="106" t="s">
        <v>325</v>
      </c>
      <c r="H43" s="106" t="s">
        <v>237</v>
      </c>
      <c r="I43" s="106" t="s">
        <v>9</v>
      </c>
      <c r="J43" s="106" t="s">
        <v>231</v>
      </c>
      <c r="K43" s="106"/>
      <c r="L43" s="108">
        <v>53.3</v>
      </c>
      <c r="M43" s="108">
        <f>L43*VLOOKUP(I43,dagsoorttabel1,2,FALSE)</f>
        <v>53.3</v>
      </c>
      <c r="N43" s="109">
        <f>prodnorm43</f>
        <v>0</v>
      </c>
      <c r="O43" s="106" t="s">
        <v>105</v>
      </c>
      <c r="P43" s="28">
        <f>uurtarief43</f>
        <v>0</v>
      </c>
      <c r="Q43" s="108" t="e">
        <f>IF(ISBLANK(N43),0,M43/ROUND(N43,4))</f>
        <v>#DIV/0!</v>
      </c>
      <c r="R43" s="28" t="e">
        <f>ROUND(P43,2)*Q43</f>
        <v>#DIV/0!</v>
      </c>
      <c r="S43" s="108" t="e">
        <f>Q43*dagenperjaar1</f>
        <v>#DIV/0!</v>
      </c>
      <c r="T43" s="29" t="e">
        <f>S43*ROUND(P43,2)</f>
        <v>#DIV/0!</v>
      </c>
    </row>
    <row r="44" spans="1:20" x14ac:dyDescent="0.2">
      <c r="A44" s="105" t="s">
        <v>321</v>
      </c>
      <c r="B44" s="106" t="s">
        <v>37</v>
      </c>
      <c r="C44" s="106" t="s">
        <v>322</v>
      </c>
      <c r="D44" s="106" t="s">
        <v>392</v>
      </c>
      <c r="E44" s="106" t="s">
        <v>37</v>
      </c>
      <c r="F44" s="107" t="s">
        <v>393</v>
      </c>
      <c r="G44" s="106" t="s">
        <v>325</v>
      </c>
      <c r="H44" s="106" t="s">
        <v>237</v>
      </c>
      <c r="I44" s="106" t="s">
        <v>9</v>
      </c>
      <c r="J44" s="106" t="s">
        <v>231</v>
      </c>
      <c r="K44" s="106"/>
      <c r="L44" s="108">
        <v>14.9</v>
      </c>
      <c r="M44" s="108">
        <f>L44*VLOOKUP(I44,dagsoorttabel1,2,FALSE)</f>
        <v>14.9</v>
      </c>
      <c r="N44" s="109">
        <f>prodnorm43</f>
        <v>0</v>
      </c>
      <c r="O44" s="106" t="s">
        <v>105</v>
      </c>
      <c r="P44" s="28">
        <f>uurtarief43</f>
        <v>0</v>
      </c>
      <c r="Q44" s="108" t="e">
        <f>IF(ISBLANK(N44),0,M44/ROUND(N44,4))</f>
        <v>#DIV/0!</v>
      </c>
      <c r="R44" s="28" t="e">
        <f>ROUND(P44,2)*Q44</f>
        <v>#DIV/0!</v>
      </c>
      <c r="S44" s="108" t="e">
        <f>Q44*dagenperjaar1</f>
        <v>#DIV/0!</v>
      </c>
      <c r="T44" s="29" t="e">
        <f>S44*ROUND(P44,2)</f>
        <v>#DIV/0!</v>
      </c>
    </row>
    <row r="45" spans="1:20" x14ac:dyDescent="0.2">
      <c r="A45" s="105" t="s">
        <v>321</v>
      </c>
      <c r="B45" s="106" t="s">
        <v>37</v>
      </c>
      <c r="C45" s="106" t="s">
        <v>322</v>
      </c>
      <c r="D45" s="106" t="s">
        <v>394</v>
      </c>
      <c r="E45" s="106" t="s">
        <v>37</v>
      </c>
      <c r="F45" s="107" t="s">
        <v>395</v>
      </c>
      <c r="G45" s="106" t="s">
        <v>325</v>
      </c>
      <c r="H45" s="106" t="s">
        <v>243</v>
      </c>
      <c r="I45" s="106" t="s">
        <v>9</v>
      </c>
      <c r="J45" s="106" t="s">
        <v>231</v>
      </c>
      <c r="K45" s="106"/>
      <c r="L45" s="108">
        <v>17</v>
      </c>
      <c r="M45" s="108">
        <f>L45*VLOOKUP(I45,dagsoorttabel1,2,FALSE)</f>
        <v>17</v>
      </c>
      <c r="N45" s="109">
        <f>prodnorm51</f>
        <v>0</v>
      </c>
      <c r="O45" s="106" t="s">
        <v>105</v>
      </c>
      <c r="P45" s="28">
        <f>uurtarief51</f>
        <v>0</v>
      </c>
      <c r="Q45" s="108" t="e">
        <f>IF(ISBLANK(N45),0,M45/ROUND(N45,4))</f>
        <v>#DIV/0!</v>
      </c>
      <c r="R45" s="28" t="e">
        <f>ROUND(P45,2)*Q45</f>
        <v>#DIV/0!</v>
      </c>
      <c r="S45" s="108" t="e">
        <f>Q45*dagenperjaar1</f>
        <v>#DIV/0!</v>
      </c>
      <c r="T45" s="29" t="e">
        <f>S45*ROUND(P45,2)</f>
        <v>#DIV/0!</v>
      </c>
    </row>
    <row r="46" spans="1:20" x14ac:dyDescent="0.2">
      <c r="A46" s="105" t="s">
        <v>321</v>
      </c>
      <c r="B46" s="106" t="s">
        <v>37</v>
      </c>
      <c r="C46" s="106" t="s">
        <v>322</v>
      </c>
      <c r="D46" s="106" t="s">
        <v>396</v>
      </c>
      <c r="E46" s="106" t="s">
        <v>37</v>
      </c>
      <c r="F46" s="107" t="s">
        <v>335</v>
      </c>
      <c r="G46" s="106" t="s">
        <v>325</v>
      </c>
      <c r="H46" s="106" t="s">
        <v>275</v>
      </c>
      <c r="I46" s="106" t="s">
        <v>9</v>
      </c>
      <c r="J46" s="106" t="s">
        <v>231</v>
      </c>
      <c r="K46" s="106"/>
      <c r="L46" s="108">
        <v>20</v>
      </c>
      <c r="M46" s="108">
        <f>L46*VLOOKUP(I46,dagsoorttabel1,2,FALSE)</f>
        <v>20</v>
      </c>
      <c r="N46" s="109">
        <f>prodnorm118</f>
        <v>0</v>
      </c>
      <c r="O46" s="106" t="s">
        <v>105</v>
      </c>
      <c r="P46" s="28">
        <f>uurtarief118</f>
        <v>0</v>
      </c>
      <c r="Q46" s="108" t="e">
        <f>IF(ISBLANK(N46),0,M46/ROUND(N46,4))</f>
        <v>#DIV/0!</v>
      </c>
      <c r="R46" s="28" t="e">
        <f>ROUND(P46,2)*Q46</f>
        <v>#DIV/0!</v>
      </c>
      <c r="S46" s="108" t="e">
        <f>Q46*dagenperjaar1</f>
        <v>#DIV/0!</v>
      </c>
      <c r="T46" s="29" t="e">
        <f>S46*ROUND(P46,2)</f>
        <v>#DIV/0!</v>
      </c>
    </row>
    <row r="47" spans="1:20" x14ac:dyDescent="0.2">
      <c r="A47" s="105" t="s">
        <v>321</v>
      </c>
      <c r="B47" s="106" t="s">
        <v>37</v>
      </c>
      <c r="C47" s="106" t="s">
        <v>322</v>
      </c>
      <c r="D47" s="106" t="s">
        <v>397</v>
      </c>
      <c r="E47" s="106" t="s">
        <v>37</v>
      </c>
      <c r="F47" s="107" t="s">
        <v>345</v>
      </c>
      <c r="G47" s="106" t="s">
        <v>346</v>
      </c>
      <c r="H47" s="106" t="s">
        <v>273</v>
      </c>
      <c r="I47" s="106" t="s">
        <v>9</v>
      </c>
      <c r="J47" s="106" t="s">
        <v>231</v>
      </c>
      <c r="K47" s="106"/>
      <c r="L47" s="108">
        <v>15</v>
      </c>
      <c r="M47" s="108">
        <f>L47*VLOOKUP(I47,dagsoorttabel1,2,FALSE)</f>
        <v>15</v>
      </c>
      <c r="N47" s="109">
        <f>prodnorm113</f>
        <v>0</v>
      </c>
      <c r="O47" s="106" t="s">
        <v>105</v>
      </c>
      <c r="P47" s="28">
        <f>uurtarief113</f>
        <v>0</v>
      </c>
      <c r="Q47" s="108" t="e">
        <f>IF(ISBLANK(N47),0,M47/ROUND(N47,4))</f>
        <v>#DIV/0!</v>
      </c>
      <c r="R47" s="28" t="e">
        <f>ROUND(P47,2)*Q47</f>
        <v>#DIV/0!</v>
      </c>
      <c r="S47" s="108" t="e">
        <f>Q47*dagenperjaar1</f>
        <v>#DIV/0!</v>
      </c>
      <c r="T47" s="29" t="e">
        <f>S47*ROUND(P47,2)</f>
        <v>#DIV/0!</v>
      </c>
    </row>
    <row r="48" spans="1:20" x14ac:dyDescent="0.2">
      <c r="A48" s="105" t="s">
        <v>321</v>
      </c>
      <c r="B48" s="106" t="s">
        <v>37</v>
      </c>
      <c r="C48" s="106" t="s">
        <v>322</v>
      </c>
      <c r="D48" s="106" t="s">
        <v>398</v>
      </c>
      <c r="E48" s="106" t="s">
        <v>37</v>
      </c>
      <c r="F48" s="107" t="s">
        <v>348</v>
      </c>
      <c r="G48" s="106" t="s">
        <v>346</v>
      </c>
      <c r="H48" s="106" t="s">
        <v>290</v>
      </c>
      <c r="I48" s="106" t="s">
        <v>9</v>
      </c>
      <c r="J48" s="106" t="s">
        <v>231</v>
      </c>
      <c r="K48" s="106"/>
      <c r="L48" s="108">
        <v>13.5</v>
      </c>
      <c r="M48" s="108">
        <f>L48*VLOOKUP(I48,dagsoorttabel1,2,FALSE)</f>
        <v>13.5</v>
      </c>
      <c r="N48" s="109">
        <f>prodnorm146</f>
        <v>0</v>
      </c>
      <c r="O48" s="106" t="s">
        <v>105</v>
      </c>
      <c r="P48" s="28">
        <f>uurtarief146</f>
        <v>0</v>
      </c>
      <c r="Q48" s="108" t="e">
        <f>IF(ISBLANK(N48),0,M48/ROUND(N48,4))</f>
        <v>#DIV/0!</v>
      </c>
      <c r="R48" s="28" t="e">
        <f>ROUND(P48,2)*Q48</f>
        <v>#DIV/0!</v>
      </c>
      <c r="S48" s="108" t="e">
        <f>Q48*dagenperjaar1</f>
        <v>#DIV/0!</v>
      </c>
      <c r="T48" s="29" t="e">
        <f>S48*ROUND(P48,2)</f>
        <v>#DIV/0!</v>
      </c>
    </row>
    <row r="49" spans="1:20" x14ac:dyDescent="0.2">
      <c r="A49" s="105" t="s">
        <v>321</v>
      </c>
      <c r="B49" s="106" t="s">
        <v>37</v>
      </c>
      <c r="C49" s="106" t="s">
        <v>322</v>
      </c>
      <c r="D49" s="106" t="s">
        <v>399</v>
      </c>
      <c r="E49" s="106" t="s">
        <v>37</v>
      </c>
      <c r="F49" s="107" t="s">
        <v>362</v>
      </c>
      <c r="G49" s="106" t="s">
        <v>358</v>
      </c>
      <c r="H49" s="106" t="s">
        <v>283</v>
      </c>
      <c r="I49" s="106" t="s">
        <v>9</v>
      </c>
      <c r="J49" s="106" t="s">
        <v>231</v>
      </c>
      <c r="K49" s="106"/>
      <c r="L49" s="108">
        <v>1.5</v>
      </c>
      <c r="M49" s="108">
        <f>L49*VLOOKUP(I49,dagsoorttabel1,2,FALSE)</f>
        <v>1.5</v>
      </c>
      <c r="N49" s="109">
        <f>prodnorm131</f>
        <v>0</v>
      </c>
      <c r="O49" s="106" t="s">
        <v>105</v>
      </c>
      <c r="P49" s="28">
        <f>uurtarief131</f>
        <v>0</v>
      </c>
      <c r="Q49" s="108" t="e">
        <f>IF(ISBLANK(N49),0,M49/ROUND(N49,4))</f>
        <v>#DIV/0!</v>
      </c>
      <c r="R49" s="28" t="e">
        <f>ROUND(P49,2)*Q49</f>
        <v>#DIV/0!</v>
      </c>
      <c r="S49" s="108" t="e">
        <f>Q49*dagenperjaar1</f>
        <v>#DIV/0!</v>
      </c>
      <c r="T49" s="29" t="e">
        <f>S49*ROUND(P49,2)</f>
        <v>#DIV/0!</v>
      </c>
    </row>
    <row r="50" spans="1:20" x14ac:dyDescent="0.2">
      <c r="A50" s="105" t="s">
        <v>321</v>
      </c>
      <c r="B50" s="106" t="s">
        <v>37</v>
      </c>
      <c r="C50" s="106" t="s">
        <v>322</v>
      </c>
      <c r="D50" s="106" t="s">
        <v>400</v>
      </c>
      <c r="E50" s="106" t="s">
        <v>37</v>
      </c>
      <c r="F50" s="107" t="s">
        <v>360</v>
      </c>
      <c r="G50" s="106" t="s">
        <v>346</v>
      </c>
      <c r="H50" s="106" t="s">
        <v>267</v>
      </c>
      <c r="I50" s="106" t="s">
        <v>9</v>
      </c>
      <c r="J50" s="106" t="s">
        <v>231</v>
      </c>
      <c r="K50" s="106"/>
      <c r="L50" s="108">
        <v>6</v>
      </c>
      <c r="M50" s="108">
        <f>L50*VLOOKUP(I50,dagsoorttabel1,2,FALSE)</f>
        <v>6</v>
      </c>
      <c r="N50" s="109">
        <f>prodnorm101</f>
        <v>0</v>
      </c>
      <c r="O50" s="106" t="s">
        <v>105</v>
      </c>
      <c r="P50" s="28">
        <f>uurtarief101</f>
        <v>0</v>
      </c>
      <c r="Q50" s="108" t="e">
        <f>IF(ISBLANK(N50),0,M50/ROUND(N50,4))</f>
        <v>#DIV/0!</v>
      </c>
      <c r="R50" s="28" t="e">
        <f>ROUND(P50,2)*Q50</f>
        <v>#DIV/0!</v>
      </c>
      <c r="S50" s="108" t="e">
        <f>Q50*dagenperjaar1</f>
        <v>#DIV/0!</v>
      </c>
      <c r="T50" s="29" t="e">
        <f>S50*ROUND(P50,2)</f>
        <v>#DIV/0!</v>
      </c>
    </row>
    <row r="51" spans="1:20" x14ac:dyDescent="0.2">
      <c r="A51" s="105" t="s">
        <v>321</v>
      </c>
      <c r="B51" s="106" t="s">
        <v>37</v>
      </c>
      <c r="C51" s="106" t="s">
        <v>322</v>
      </c>
      <c r="D51" s="106" t="s">
        <v>400</v>
      </c>
      <c r="E51" s="106" t="s">
        <v>37</v>
      </c>
      <c r="F51" s="107" t="s">
        <v>360</v>
      </c>
      <c r="G51" s="106" t="s">
        <v>346</v>
      </c>
      <c r="H51" s="106" t="s">
        <v>269</v>
      </c>
      <c r="I51" s="106" t="s">
        <v>9</v>
      </c>
      <c r="J51" s="106" t="s">
        <v>231</v>
      </c>
      <c r="K51" s="106"/>
      <c r="L51" s="108">
        <v>6</v>
      </c>
      <c r="M51" s="108">
        <f>L51*VLOOKUP(I51,dagsoorttabel1,2,FALSE)</f>
        <v>6</v>
      </c>
      <c r="N51" s="109">
        <f>prodnorm103</f>
        <v>0</v>
      </c>
      <c r="O51" s="106" t="s">
        <v>105</v>
      </c>
      <c r="P51" s="28">
        <f>uurtarief103</f>
        <v>0</v>
      </c>
      <c r="Q51" s="108" t="e">
        <f>IF(ISBLANK(N51),0,M51/ROUND(N51,4))</f>
        <v>#DIV/0!</v>
      </c>
      <c r="R51" s="28" t="e">
        <f>ROUND(P51,2)*Q51</f>
        <v>#DIV/0!</v>
      </c>
      <c r="S51" s="108" t="e">
        <f>Q51*dagenperjaar1</f>
        <v>#DIV/0!</v>
      </c>
      <c r="T51" s="29" t="e">
        <f>S51*ROUND(P51,2)</f>
        <v>#DIV/0!</v>
      </c>
    </row>
    <row r="52" spans="1:20" x14ac:dyDescent="0.2">
      <c r="A52" s="105" t="s">
        <v>321</v>
      </c>
      <c r="B52" s="106" t="s">
        <v>37</v>
      </c>
      <c r="C52" s="106" t="s">
        <v>322</v>
      </c>
      <c r="D52" s="106" t="s">
        <v>401</v>
      </c>
      <c r="E52" s="106" t="s">
        <v>37</v>
      </c>
      <c r="F52" s="107" t="s">
        <v>364</v>
      </c>
      <c r="G52" s="106" t="s">
        <v>346</v>
      </c>
      <c r="H52" s="106" t="s">
        <v>267</v>
      </c>
      <c r="I52" s="106" t="s">
        <v>9</v>
      </c>
      <c r="J52" s="106" t="s">
        <v>231</v>
      </c>
      <c r="K52" s="106"/>
      <c r="L52" s="108">
        <v>6</v>
      </c>
      <c r="M52" s="108">
        <f>L52*VLOOKUP(I52,dagsoorttabel1,2,FALSE)</f>
        <v>6</v>
      </c>
      <c r="N52" s="109">
        <f>prodnorm101</f>
        <v>0</v>
      </c>
      <c r="O52" s="106" t="s">
        <v>105</v>
      </c>
      <c r="P52" s="28">
        <f>uurtarief101</f>
        <v>0</v>
      </c>
      <c r="Q52" s="108" t="e">
        <f>IF(ISBLANK(N52),0,M52/ROUND(N52,4))</f>
        <v>#DIV/0!</v>
      </c>
      <c r="R52" s="28" t="e">
        <f>ROUND(P52,2)*Q52</f>
        <v>#DIV/0!</v>
      </c>
      <c r="S52" s="108" t="e">
        <f>Q52*dagenperjaar1</f>
        <v>#DIV/0!</v>
      </c>
      <c r="T52" s="29" t="e">
        <f>S52*ROUND(P52,2)</f>
        <v>#DIV/0!</v>
      </c>
    </row>
    <row r="53" spans="1:20" x14ac:dyDescent="0.2">
      <c r="A53" s="105" t="s">
        <v>321</v>
      </c>
      <c r="B53" s="106" t="s">
        <v>37</v>
      </c>
      <c r="C53" s="106" t="s">
        <v>322</v>
      </c>
      <c r="D53" s="106" t="s">
        <v>401</v>
      </c>
      <c r="E53" s="106" t="s">
        <v>37</v>
      </c>
      <c r="F53" s="107" t="s">
        <v>364</v>
      </c>
      <c r="G53" s="106" t="s">
        <v>346</v>
      </c>
      <c r="H53" s="106" t="s">
        <v>269</v>
      </c>
      <c r="I53" s="106" t="s">
        <v>9</v>
      </c>
      <c r="J53" s="106" t="s">
        <v>231</v>
      </c>
      <c r="K53" s="106"/>
      <c r="L53" s="108">
        <v>6</v>
      </c>
      <c r="M53" s="108">
        <f>L53*VLOOKUP(I53,dagsoorttabel1,2,FALSE)</f>
        <v>6</v>
      </c>
      <c r="N53" s="109">
        <f>prodnorm103</f>
        <v>0</v>
      </c>
      <c r="O53" s="106" t="s">
        <v>105</v>
      </c>
      <c r="P53" s="28">
        <f>uurtarief103</f>
        <v>0</v>
      </c>
      <c r="Q53" s="108" t="e">
        <f>IF(ISBLANK(N53),0,M53/ROUND(N53,4))</f>
        <v>#DIV/0!</v>
      </c>
      <c r="R53" s="28" t="e">
        <f>ROUND(P53,2)*Q53</f>
        <v>#DIV/0!</v>
      </c>
      <c r="S53" s="108" t="e">
        <f>Q53*dagenperjaar1</f>
        <v>#DIV/0!</v>
      </c>
      <c r="T53" s="29" t="e">
        <f>S53*ROUND(P53,2)</f>
        <v>#DIV/0!</v>
      </c>
    </row>
    <row r="54" spans="1:20" x14ac:dyDescent="0.2">
      <c r="A54" s="105" t="s">
        <v>321</v>
      </c>
      <c r="B54" s="106" t="s">
        <v>37</v>
      </c>
      <c r="C54" s="106" t="s">
        <v>322</v>
      </c>
      <c r="D54" s="106" t="s">
        <v>402</v>
      </c>
      <c r="E54" s="106" t="s">
        <v>37</v>
      </c>
      <c r="F54" s="107" t="s">
        <v>403</v>
      </c>
      <c r="G54" s="106" t="s">
        <v>331</v>
      </c>
      <c r="H54" s="106" t="s">
        <v>265</v>
      </c>
      <c r="I54" s="106" t="s">
        <v>9</v>
      </c>
      <c r="J54" s="106" t="s">
        <v>231</v>
      </c>
      <c r="K54" s="106"/>
      <c r="L54" s="108">
        <v>16.899999999999999</v>
      </c>
      <c r="M54" s="108">
        <f>L54*VLOOKUP(I54,dagsoorttabel1,2,FALSE)</f>
        <v>16.899999999999999</v>
      </c>
      <c r="N54" s="109">
        <f>prodnorm92</f>
        <v>0</v>
      </c>
      <c r="O54" s="106" t="s">
        <v>105</v>
      </c>
      <c r="P54" s="28">
        <f>uurtarief92</f>
        <v>0</v>
      </c>
      <c r="Q54" s="108" t="e">
        <f>IF(ISBLANK(N54),0,M54/ROUND(N54,4))</f>
        <v>#DIV/0!</v>
      </c>
      <c r="R54" s="28" t="e">
        <f>ROUND(P54,2)*Q54</f>
        <v>#DIV/0!</v>
      </c>
      <c r="S54" s="108" t="e">
        <f>Q54*dagenperjaar1</f>
        <v>#DIV/0!</v>
      </c>
      <c r="T54" s="29" t="e">
        <f>S54*ROUND(P54,2)</f>
        <v>#DIV/0!</v>
      </c>
    </row>
    <row r="55" spans="1:20" x14ac:dyDescent="0.2">
      <c r="A55" s="105" t="s">
        <v>321</v>
      </c>
      <c r="B55" s="106" t="s">
        <v>37</v>
      </c>
      <c r="C55" s="106" t="s">
        <v>322</v>
      </c>
      <c r="D55" s="106" t="s">
        <v>402</v>
      </c>
      <c r="E55" s="106" t="s">
        <v>37</v>
      </c>
      <c r="F55" s="107" t="s">
        <v>403</v>
      </c>
      <c r="G55" s="106" t="s">
        <v>331</v>
      </c>
      <c r="H55" s="106" t="s">
        <v>265</v>
      </c>
      <c r="I55" s="106" t="s">
        <v>9</v>
      </c>
      <c r="J55" s="106" t="s">
        <v>231</v>
      </c>
      <c r="K55" s="106"/>
      <c r="L55" s="108">
        <v>16.899999999999999</v>
      </c>
      <c r="M55" s="108">
        <f>L55*VLOOKUP(I55,dagsoorttabel1,2,FALSE)</f>
        <v>16.899999999999999</v>
      </c>
      <c r="N55" s="109">
        <f>prodnorm92</f>
        <v>0</v>
      </c>
      <c r="O55" s="106" t="s">
        <v>105</v>
      </c>
      <c r="P55" s="28">
        <f>uurtarief92</f>
        <v>0</v>
      </c>
      <c r="Q55" s="108" t="e">
        <f>IF(ISBLANK(N55),0,M55/ROUND(N55,4))</f>
        <v>#DIV/0!</v>
      </c>
      <c r="R55" s="28" t="e">
        <f>ROUND(P55,2)*Q55</f>
        <v>#DIV/0!</v>
      </c>
      <c r="S55" s="108" t="e">
        <f>Q55*dagenperjaar1</f>
        <v>#DIV/0!</v>
      </c>
      <c r="T55" s="29" t="e">
        <f>S55*ROUND(P55,2)</f>
        <v>#DIV/0!</v>
      </c>
    </row>
    <row r="56" spans="1:20" x14ac:dyDescent="0.2">
      <c r="A56" s="105" t="s">
        <v>321</v>
      </c>
      <c r="B56" s="106" t="s">
        <v>37</v>
      </c>
      <c r="C56" s="106" t="s">
        <v>322</v>
      </c>
      <c r="D56" s="106" t="s">
        <v>404</v>
      </c>
      <c r="E56" s="106" t="s">
        <v>37</v>
      </c>
      <c r="F56" s="107" t="s">
        <v>405</v>
      </c>
      <c r="G56" s="106" t="s">
        <v>341</v>
      </c>
      <c r="H56" s="106" t="s">
        <v>261</v>
      </c>
      <c r="I56" s="106" t="s">
        <v>9</v>
      </c>
      <c r="J56" s="106" t="s">
        <v>231</v>
      </c>
      <c r="K56" s="106"/>
      <c r="L56" s="108">
        <v>1.5</v>
      </c>
      <c r="M56" s="108">
        <f>L56*VLOOKUP(I56,dagsoorttabel1,2,FALSE)</f>
        <v>1.5</v>
      </c>
      <c r="N56" s="109">
        <f>prodnorm86</f>
        <v>0</v>
      </c>
      <c r="O56" s="106" t="s">
        <v>105</v>
      </c>
      <c r="P56" s="28">
        <f>uurtarief86</f>
        <v>0</v>
      </c>
      <c r="Q56" s="108" t="e">
        <f>IF(ISBLANK(N56),0,M56/ROUND(N56,4))</f>
        <v>#DIV/0!</v>
      </c>
      <c r="R56" s="28" t="e">
        <f>ROUND(P56,2)*Q56</f>
        <v>#DIV/0!</v>
      </c>
      <c r="S56" s="108" t="e">
        <f>Q56*dagenperjaar1</f>
        <v>#DIV/0!</v>
      </c>
      <c r="T56" s="29" t="e">
        <f>S56*ROUND(P56,2)</f>
        <v>#DIV/0!</v>
      </c>
    </row>
    <row r="57" spans="1:20" x14ac:dyDescent="0.2">
      <c r="A57" s="105" t="s">
        <v>321</v>
      </c>
      <c r="B57" s="106" t="s">
        <v>37</v>
      </c>
      <c r="C57" s="106" t="s">
        <v>322</v>
      </c>
      <c r="D57" s="106" t="s">
        <v>404</v>
      </c>
      <c r="E57" s="106" t="s">
        <v>37</v>
      </c>
      <c r="F57" s="107" t="s">
        <v>405</v>
      </c>
      <c r="G57" s="106" t="s">
        <v>341</v>
      </c>
      <c r="H57" s="106" t="s">
        <v>263</v>
      </c>
      <c r="I57" s="106" t="s">
        <v>9</v>
      </c>
      <c r="J57" s="106" t="s">
        <v>231</v>
      </c>
      <c r="K57" s="106"/>
      <c r="L57" s="108">
        <v>1.5</v>
      </c>
      <c r="M57" s="108">
        <f>L57*VLOOKUP(I57,dagsoorttabel1,2,FALSE)</f>
        <v>1.5</v>
      </c>
      <c r="N57" s="109">
        <f>prodnorm87</f>
        <v>0</v>
      </c>
      <c r="O57" s="106" t="s">
        <v>105</v>
      </c>
      <c r="P57" s="28">
        <f>uurtarief87</f>
        <v>0</v>
      </c>
      <c r="Q57" s="108" t="e">
        <f>IF(ISBLANK(N57),0,M57/ROUND(N57,4))</f>
        <v>#DIV/0!</v>
      </c>
      <c r="R57" s="28" t="e">
        <f>ROUND(P57,2)*Q57</f>
        <v>#DIV/0!</v>
      </c>
      <c r="S57" s="108" t="e">
        <f>Q57*dagenperjaar1</f>
        <v>#DIV/0!</v>
      </c>
      <c r="T57" s="29" t="e">
        <f>S57*ROUND(P57,2)</f>
        <v>#DIV/0!</v>
      </c>
    </row>
    <row r="58" spans="1:20" x14ac:dyDescent="0.2">
      <c r="A58" s="105" t="s">
        <v>321</v>
      </c>
      <c r="B58" s="106" t="s">
        <v>37</v>
      </c>
      <c r="C58" s="106" t="s">
        <v>322</v>
      </c>
      <c r="D58" s="106" t="s">
        <v>406</v>
      </c>
      <c r="E58" s="106" t="s">
        <v>37</v>
      </c>
      <c r="F58" s="107" t="s">
        <v>405</v>
      </c>
      <c r="G58" s="106" t="s">
        <v>341</v>
      </c>
      <c r="H58" s="106" t="s">
        <v>261</v>
      </c>
      <c r="I58" s="106" t="s">
        <v>9</v>
      </c>
      <c r="J58" s="106" t="s">
        <v>231</v>
      </c>
      <c r="K58" s="106"/>
      <c r="L58" s="108">
        <v>1.5</v>
      </c>
      <c r="M58" s="108">
        <f>L58*VLOOKUP(I58,dagsoorttabel1,2,FALSE)</f>
        <v>1.5</v>
      </c>
      <c r="N58" s="109">
        <f>prodnorm86</f>
        <v>0</v>
      </c>
      <c r="O58" s="106" t="s">
        <v>105</v>
      </c>
      <c r="P58" s="28">
        <f>uurtarief86</f>
        <v>0</v>
      </c>
      <c r="Q58" s="108" t="e">
        <f>IF(ISBLANK(N58),0,M58/ROUND(N58,4))</f>
        <v>#DIV/0!</v>
      </c>
      <c r="R58" s="28" t="e">
        <f>ROUND(P58,2)*Q58</f>
        <v>#DIV/0!</v>
      </c>
      <c r="S58" s="108" t="e">
        <f>Q58*dagenperjaar1</f>
        <v>#DIV/0!</v>
      </c>
      <c r="T58" s="29" t="e">
        <f>S58*ROUND(P58,2)</f>
        <v>#DIV/0!</v>
      </c>
    </row>
    <row r="59" spans="1:20" x14ac:dyDescent="0.2">
      <c r="A59" s="105" t="s">
        <v>321</v>
      </c>
      <c r="B59" s="106" t="s">
        <v>37</v>
      </c>
      <c r="C59" s="106" t="s">
        <v>322</v>
      </c>
      <c r="D59" s="106" t="s">
        <v>406</v>
      </c>
      <c r="E59" s="106" t="s">
        <v>37</v>
      </c>
      <c r="F59" s="107" t="s">
        <v>405</v>
      </c>
      <c r="G59" s="106" t="s">
        <v>341</v>
      </c>
      <c r="H59" s="106" t="s">
        <v>263</v>
      </c>
      <c r="I59" s="106" t="s">
        <v>9</v>
      </c>
      <c r="J59" s="106" t="s">
        <v>231</v>
      </c>
      <c r="K59" s="106"/>
      <c r="L59" s="108">
        <v>1.5</v>
      </c>
      <c r="M59" s="108">
        <f>L59*VLOOKUP(I59,dagsoorttabel1,2,FALSE)</f>
        <v>1.5</v>
      </c>
      <c r="N59" s="109">
        <f>prodnorm87</f>
        <v>0</v>
      </c>
      <c r="O59" s="106" t="s">
        <v>105</v>
      </c>
      <c r="P59" s="28">
        <f>uurtarief87</f>
        <v>0</v>
      </c>
      <c r="Q59" s="108" t="e">
        <f>IF(ISBLANK(N59),0,M59/ROUND(N59,4))</f>
        <v>#DIV/0!</v>
      </c>
      <c r="R59" s="28" t="e">
        <f>ROUND(P59,2)*Q59</f>
        <v>#DIV/0!</v>
      </c>
      <c r="S59" s="108" t="e">
        <f>Q59*dagenperjaar1</f>
        <v>#DIV/0!</v>
      </c>
      <c r="T59" s="29" t="e">
        <f>S59*ROUND(P59,2)</f>
        <v>#DIV/0!</v>
      </c>
    </row>
    <row r="60" spans="1:20" x14ac:dyDescent="0.2">
      <c r="A60" s="105" t="s">
        <v>321</v>
      </c>
      <c r="B60" s="106" t="s">
        <v>37</v>
      </c>
      <c r="C60" s="106" t="s">
        <v>322</v>
      </c>
      <c r="D60" s="106" t="s">
        <v>407</v>
      </c>
      <c r="E60" s="106" t="s">
        <v>37</v>
      </c>
      <c r="F60" s="107" t="s">
        <v>335</v>
      </c>
      <c r="G60" s="106" t="s">
        <v>325</v>
      </c>
      <c r="H60" s="106" t="s">
        <v>275</v>
      </c>
      <c r="I60" s="106" t="s">
        <v>9</v>
      </c>
      <c r="J60" s="106" t="s">
        <v>231</v>
      </c>
      <c r="K60" s="106"/>
      <c r="L60" s="108">
        <v>11</v>
      </c>
      <c r="M60" s="108">
        <f>L60*VLOOKUP(I60,dagsoorttabel1,2,FALSE)</f>
        <v>11</v>
      </c>
      <c r="N60" s="109">
        <f>prodnorm118</f>
        <v>0</v>
      </c>
      <c r="O60" s="106" t="s">
        <v>105</v>
      </c>
      <c r="P60" s="28">
        <f>uurtarief118</f>
        <v>0</v>
      </c>
      <c r="Q60" s="108" t="e">
        <f>IF(ISBLANK(N60),0,M60/ROUND(N60,4))</f>
        <v>#DIV/0!</v>
      </c>
      <c r="R60" s="28" t="e">
        <f>ROUND(P60,2)*Q60</f>
        <v>#DIV/0!</v>
      </c>
      <c r="S60" s="108" t="e">
        <f>Q60*dagenperjaar1</f>
        <v>#DIV/0!</v>
      </c>
      <c r="T60" s="29" t="e">
        <f>S60*ROUND(P60,2)</f>
        <v>#DIV/0!</v>
      </c>
    </row>
    <row r="61" spans="1:20" x14ac:dyDescent="0.2">
      <c r="A61" s="105" t="s">
        <v>321</v>
      </c>
      <c r="B61" s="106" t="s">
        <v>37</v>
      </c>
      <c r="C61" s="106" t="s">
        <v>322</v>
      </c>
      <c r="D61" s="106" t="s">
        <v>408</v>
      </c>
      <c r="E61" s="106" t="s">
        <v>37</v>
      </c>
      <c r="F61" s="107" t="s">
        <v>409</v>
      </c>
      <c r="G61" s="106" t="s">
        <v>331</v>
      </c>
      <c r="H61" s="106" t="s">
        <v>265</v>
      </c>
      <c r="I61" s="106" t="s">
        <v>9</v>
      </c>
      <c r="J61" s="106" t="s">
        <v>231</v>
      </c>
      <c r="K61" s="106"/>
      <c r="L61" s="108">
        <v>14.1</v>
      </c>
      <c r="M61" s="108">
        <f>L61*VLOOKUP(I61,dagsoorttabel1,2,FALSE)</f>
        <v>14.1</v>
      </c>
      <c r="N61" s="109">
        <f>prodnorm92</f>
        <v>0</v>
      </c>
      <c r="O61" s="106" t="s">
        <v>105</v>
      </c>
      <c r="P61" s="28">
        <f>uurtarief92</f>
        <v>0</v>
      </c>
      <c r="Q61" s="108" t="e">
        <f>IF(ISBLANK(N61),0,M61/ROUND(N61,4))</f>
        <v>#DIV/0!</v>
      </c>
      <c r="R61" s="28" t="e">
        <f>ROUND(P61,2)*Q61</f>
        <v>#DIV/0!</v>
      </c>
      <c r="S61" s="108" t="e">
        <f>Q61*dagenperjaar1</f>
        <v>#DIV/0!</v>
      </c>
      <c r="T61" s="29" t="e">
        <f>S61*ROUND(P61,2)</f>
        <v>#DIV/0!</v>
      </c>
    </row>
    <row r="62" spans="1:20" x14ac:dyDescent="0.2">
      <c r="A62" s="105" t="s">
        <v>321</v>
      </c>
      <c r="B62" s="106" t="s">
        <v>37</v>
      </c>
      <c r="C62" s="106" t="s">
        <v>322</v>
      </c>
      <c r="D62" s="106" t="s">
        <v>408</v>
      </c>
      <c r="E62" s="106" t="s">
        <v>37</v>
      </c>
      <c r="F62" s="107" t="s">
        <v>409</v>
      </c>
      <c r="G62" s="106" t="s">
        <v>331</v>
      </c>
      <c r="H62" s="106" t="s">
        <v>265</v>
      </c>
      <c r="I62" s="106" t="s">
        <v>9</v>
      </c>
      <c r="J62" s="106" t="s">
        <v>231</v>
      </c>
      <c r="K62" s="106"/>
      <c r="L62" s="108">
        <v>14.1</v>
      </c>
      <c r="M62" s="108">
        <f>L62*VLOOKUP(I62,dagsoorttabel1,2,FALSE)</f>
        <v>14.1</v>
      </c>
      <c r="N62" s="109">
        <f>prodnorm92</f>
        <v>0</v>
      </c>
      <c r="O62" s="106" t="s">
        <v>105</v>
      </c>
      <c r="P62" s="28">
        <f>uurtarief92</f>
        <v>0</v>
      </c>
      <c r="Q62" s="108" t="e">
        <f>IF(ISBLANK(N62),0,M62/ROUND(N62,4))</f>
        <v>#DIV/0!</v>
      </c>
      <c r="R62" s="28" t="e">
        <f>ROUND(P62,2)*Q62</f>
        <v>#DIV/0!</v>
      </c>
      <c r="S62" s="108" t="e">
        <f>Q62*dagenperjaar1</f>
        <v>#DIV/0!</v>
      </c>
      <c r="T62" s="29" t="e">
        <f>S62*ROUND(P62,2)</f>
        <v>#DIV/0!</v>
      </c>
    </row>
    <row r="63" spans="1:20" x14ac:dyDescent="0.2">
      <c r="A63" s="105" t="s">
        <v>321</v>
      </c>
      <c r="B63" s="106" t="s">
        <v>37</v>
      </c>
      <c r="C63" s="106" t="s">
        <v>322</v>
      </c>
      <c r="D63" s="106" t="s">
        <v>410</v>
      </c>
      <c r="E63" s="106" t="s">
        <v>37</v>
      </c>
      <c r="F63" s="107" t="s">
        <v>405</v>
      </c>
      <c r="G63" s="106" t="s">
        <v>341</v>
      </c>
      <c r="H63" s="106" t="s">
        <v>261</v>
      </c>
      <c r="I63" s="106" t="s">
        <v>9</v>
      </c>
      <c r="J63" s="106" t="s">
        <v>231</v>
      </c>
      <c r="K63" s="106"/>
      <c r="L63" s="108">
        <v>1.2</v>
      </c>
      <c r="M63" s="108">
        <f>L63*VLOOKUP(I63,dagsoorttabel1,2,FALSE)</f>
        <v>1.2</v>
      </c>
      <c r="N63" s="109">
        <f>prodnorm86</f>
        <v>0</v>
      </c>
      <c r="O63" s="106" t="s">
        <v>105</v>
      </c>
      <c r="P63" s="28">
        <f>uurtarief86</f>
        <v>0</v>
      </c>
      <c r="Q63" s="108" t="e">
        <f>IF(ISBLANK(N63),0,M63/ROUND(N63,4))</f>
        <v>#DIV/0!</v>
      </c>
      <c r="R63" s="28" t="e">
        <f>ROUND(P63,2)*Q63</f>
        <v>#DIV/0!</v>
      </c>
      <c r="S63" s="108" t="e">
        <f>Q63*dagenperjaar1</f>
        <v>#DIV/0!</v>
      </c>
      <c r="T63" s="29" t="e">
        <f>S63*ROUND(P63,2)</f>
        <v>#DIV/0!</v>
      </c>
    </row>
    <row r="64" spans="1:20" x14ac:dyDescent="0.2">
      <c r="A64" s="105" t="s">
        <v>321</v>
      </c>
      <c r="B64" s="106" t="s">
        <v>37</v>
      </c>
      <c r="C64" s="106" t="s">
        <v>322</v>
      </c>
      <c r="D64" s="106" t="s">
        <v>410</v>
      </c>
      <c r="E64" s="106" t="s">
        <v>37</v>
      </c>
      <c r="F64" s="107" t="s">
        <v>405</v>
      </c>
      <c r="G64" s="106" t="s">
        <v>341</v>
      </c>
      <c r="H64" s="106" t="s">
        <v>263</v>
      </c>
      <c r="I64" s="106" t="s">
        <v>9</v>
      </c>
      <c r="J64" s="106" t="s">
        <v>231</v>
      </c>
      <c r="K64" s="106"/>
      <c r="L64" s="108">
        <v>1.2</v>
      </c>
      <c r="M64" s="108">
        <f>L64*VLOOKUP(I64,dagsoorttabel1,2,FALSE)</f>
        <v>1.2</v>
      </c>
      <c r="N64" s="109">
        <f>prodnorm87</f>
        <v>0</v>
      </c>
      <c r="O64" s="106" t="s">
        <v>105</v>
      </c>
      <c r="P64" s="28">
        <f>uurtarief87</f>
        <v>0</v>
      </c>
      <c r="Q64" s="108" t="e">
        <f>IF(ISBLANK(N64),0,M64/ROUND(N64,4))</f>
        <v>#DIV/0!</v>
      </c>
      <c r="R64" s="28" t="e">
        <f>ROUND(P64,2)*Q64</f>
        <v>#DIV/0!</v>
      </c>
      <c r="S64" s="108" t="e">
        <f>Q64*dagenperjaar1</f>
        <v>#DIV/0!</v>
      </c>
      <c r="T64" s="29" t="e">
        <f>S64*ROUND(P64,2)</f>
        <v>#DIV/0!</v>
      </c>
    </row>
    <row r="65" spans="1:20" x14ac:dyDescent="0.2">
      <c r="A65" s="105" t="s">
        <v>321</v>
      </c>
      <c r="B65" s="106" t="s">
        <v>37</v>
      </c>
      <c r="C65" s="106" t="s">
        <v>322</v>
      </c>
      <c r="D65" s="106" t="s">
        <v>411</v>
      </c>
      <c r="E65" s="106" t="s">
        <v>37</v>
      </c>
      <c r="F65" s="107" t="s">
        <v>405</v>
      </c>
      <c r="G65" s="106" t="s">
        <v>341</v>
      </c>
      <c r="H65" s="106" t="s">
        <v>261</v>
      </c>
      <c r="I65" s="106" t="s">
        <v>9</v>
      </c>
      <c r="J65" s="106" t="s">
        <v>231</v>
      </c>
      <c r="K65" s="106"/>
      <c r="L65" s="108">
        <v>1.2</v>
      </c>
      <c r="M65" s="108">
        <f>L65*VLOOKUP(I65,dagsoorttabel1,2,FALSE)</f>
        <v>1.2</v>
      </c>
      <c r="N65" s="109">
        <f>prodnorm86</f>
        <v>0</v>
      </c>
      <c r="O65" s="106" t="s">
        <v>105</v>
      </c>
      <c r="P65" s="28">
        <f>uurtarief86</f>
        <v>0</v>
      </c>
      <c r="Q65" s="108" t="e">
        <f>IF(ISBLANK(N65),0,M65/ROUND(N65,4))</f>
        <v>#DIV/0!</v>
      </c>
      <c r="R65" s="28" t="e">
        <f>ROUND(P65,2)*Q65</f>
        <v>#DIV/0!</v>
      </c>
      <c r="S65" s="108" t="e">
        <f>Q65*dagenperjaar1</f>
        <v>#DIV/0!</v>
      </c>
      <c r="T65" s="29" t="e">
        <f>S65*ROUND(P65,2)</f>
        <v>#DIV/0!</v>
      </c>
    </row>
    <row r="66" spans="1:20" x14ac:dyDescent="0.2">
      <c r="A66" s="105" t="s">
        <v>321</v>
      </c>
      <c r="B66" s="106" t="s">
        <v>37</v>
      </c>
      <c r="C66" s="106" t="s">
        <v>322</v>
      </c>
      <c r="D66" s="106" t="s">
        <v>411</v>
      </c>
      <c r="E66" s="106" t="s">
        <v>37</v>
      </c>
      <c r="F66" s="107" t="s">
        <v>405</v>
      </c>
      <c r="G66" s="106" t="s">
        <v>341</v>
      </c>
      <c r="H66" s="106" t="s">
        <v>263</v>
      </c>
      <c r="I66" s="106" t="s">
        <v>9</v>
      </c>
      <c r="J66" s="106" t="s">
        <v>231</v>
      </c>
      <c r="K66" s="106"/>
      <c r="L66" s="108">
        <v>1.2</v>
      </c>
      <c r="M66" s="108">
        <f>L66*VLOOKUP(I66,dagsoorttabel1,2,FALSE)</f>
        <v>1.2</v>
      </c>
      <c r="N66" s="109">
        <f>prodnorm87</f>
        <v>0</v>
      </c>
      <c r="O66" s="106" t="s">
        <v>105</v>
      </c>
      <c r="P66" s="28">
        <f>uurtarief87</f>
        <v>0</v>
      </c>
      <c r="Q66" s="108" t="e">
        <f>IF(ISBLANK(N66),0,M66/ROUND(N66,4))</f>
        <v>#DIV/0!</v>
      </c>
      <c r="R66" s="28" t="e">
        <f>ROUND(P66,2)*Q66</f>
        <v>#DIV/0!</v>
      </c>
      <c r="S66" s="108" t="e">
        <f>Q66*dagenperjaar1</f>
        <v>#DIV/0!</v>
      </c>
      <c r="T66" s="29" t="e">
        <f>S66*ROUND(P66,2)</f>
        <v>#DIV/0!</v>
      </c>
    </row>
    <row r="67" spans="1:20" x14ac:dyDescent="0.2">
      <c r="A67" s="105" t="s">
        <v>321</v>
      </c>
      <c r="B67" s="106" t="s">
        <v>37</v>
      </c>
      <c r="C67" s="106" t="s">
        <v>322</v>
      </c>
      <c r="D67" s="106" t="s">
        <v>412</v>
      </c>
      <c r="E67" s="106" t="s">
        <v>37</v>
      </c>
      <c r="F67" s="107" t="s">
        <v>387</v>
      </c>
      <c r="G67" s="106" t="s">
        <v>325</v>
      </c>
      <c r="H67" s="106" t="s">
        <v>275</v>
      </c>
      <c r="I67" s="106" t="s">
        <v>9</v>
      </c>
      <c r="J67" s="106" t="s">
        <v>231</v>
      </c>
      <c r="K67" s="106"/>
      <c r="L67" s="108">
        <v>37.9</v>
      </c>
      <c r="M67" s="108">
        <f>L67*VLOOKUP(I67,dagsoorttabel1,2,FALSE)</f>
        <v>37.9</v>
      </c>
      <c r="N67" s="109">
        <f>prodnorm118</f>
        <v>0</v>
      </c>
      <c r="O67" s="106" t="s">
        <v>105</v>
      </c>
      <c r="P67" s="28">
        <f>uurtarief118</f>
        <v>0</v>
      </c>
      <c r="Q67" s="108" t="e">
        <f>IF(ISBLANK(N67),0,M67/ROUND(N67,4))</f>
        <v>#DIV/0!</v>
      </c>
      <c r="R67" s="28" t="e">
        <f>ROUND(P67,2)*Q67</f>
        <v>#DIV/0!</v>
      </c>
      <c r="S67" s="108" t="e">
        <f>Q67*dagenperjaar1</f>
        <v>#DIV/0!</v>
      </c>
      <c r="T67" s="29" t="e">
        <f>S67*ROUND(P67,2)</f>
        <v>#DIV/0!</v>
      </c>
    </row>
    <row r="68" spans="1:20" x14ac:dyDescent="0.2">
      <c r="A68" s="105" t="s">
        <v>321</v>
      </c>
      <c r="B68" s="106" t="s">
        <v>37</v>
      </c>
      <c r="C68" s="106" t="s">
        <v>322</v>
      </c>
      <c r="D68" s="106" t="s">
        <v>413</v>
      </c>
      <c r="E68" s="106" t="s">
        <v>37</v>
      </c>
      <c r="F68" s="107" t="s">
        <v>378</v>
      </c>
      <c r="G68" s="106" t="s">
        <v>328</v>
      </c>
      <c r="H68" s="106" t="s">
        <v>257</v>
      </c>
      <c r="I68" s="106" t="s">
        <v>9</v>
      </c>
      <c r="J68" s="106" t="s">
        <v>231</v>
      </c>
      <c r="K68" s="106"/>
      <c r="L68" s="108">
        <v>83</v>
      </c>
      <c r="M68" s="108">
        <f>L68*VLOOKUP(I68,dagsoorttabel1,2,FALSE)</f>
        <v>83</v>
      </c>
      <c r="N68" s="109">
        <f>prodnorm80</f>
        <v>0</v>
      </c>
      <c r="O68" s="106" t="s">
        <v>105</v>
      </c>
      <c r="P68" s="28">
        <f>uurtarief80</f>
        <v>0</v>
      </c>
      <c r="Q68" s="108" t="e">
        <f>IF(ISBLANK(N68),0,M68/ROUND(N68,4))</f>
        <v>#DIV/0!</v>
      </c>
      <c r="R68" s="28" t="e">
        <f>ROUND(P68,2)*Q68</f>
        <v>#DIV/0!</v>
      </c>
      <c r="S68" s="108" t="e">
        <f>Q68*dagenperjaar1</f>
        <v>#DIV/0!</v>
      </c>
      <c r="T68" s="29" t="e">
        <f>S68*ROUND(P68,2)</f>
        <v>#DIV/0!</v>
      </c>
    </row>
    <row r="69" spans="1:20" x14ac:dyDescent="0.2">
      <c r="A69" s="105" t="s">
        <v>321</v>
      </c>
      <c r="B69" s="106" t="s">
        <v>37</v>
      </c>
      <c r="C69" s="106" t="s">
        <v>322</v>
      </c>
      <c r="D69" s="106" t="s">
        <v>414</v>
      </c>
      <c r="E69" s="106" t="s">
        <v>37</v>
      </c>
      <c r="F69" s="107" t="s">
        <v>348</v>
      </c>
      <c r="G69" s="106" t="s">
        <v>358</v>
      </c>
      <c r="H69" s="106" t="s">
        <v>290</v>
      </c>
      <c r="I69" s="106" t="s">
        <v>9</v>
      </c>
      <c r="J69" s="106" t="s">
        <v>231</v>
      </c>
      <c r="K69" s="106"/>
      <c r="L69" s="108">
        <v>7.6</v>
      </c>
      <c r="M69" s="108">
        <f>L69*VLOOKUP(I69,dagsoorttabel1,2,FALSE)</f>
        <v>7.6</v>
      </c>
      <c r="N69" s="109">
        <f>prodnorm146</f>
        <v>0</v>
      </c>
      <c r="O69" s="106" t="s">
        <v>105</v>
      </c>
      <c r="P69" s="28">
        <f>uurtarief146</f>
        <v>0</v>
      </c>
      <c r="Q69" s="108" t="e">
        <f>IF(ISBLANK(N69),0,M69/ROUND(N69,4))</f>
        <v>#DIV/0!</v>
      </c>
      <c r="R69" s="28" t="e">
        <f>ROUND(P69,2)*Q69</f>
        <v>#DIV/0!</v>
      </c>
      <c r="S69" s="108" t="e">
        <f>Q69*dagenperjaar1</f>
        <v>#DIV/0!</v>
      </c>
      <c r="T69" s="29" t="e">
        <f>S69*ROUND(P69,2)</f>
        <v>#DIV/0!</v>
      </c>
    </row>
    <row r="70" spans="1:20" x14ac:dyDescent="0.2">
      <c r="A70" s="105" t="s">
        <v>321</v>
      </c>
      <c r="B70" s="106" t="s">
        <v>37</v>
      </c>
      <c r="C70" s="106" t="s">
        <v>415</v>
      </c>
      <c r="D70" s="106" t="s">
        <v>416</v>
      </c>
      <c r="E70" s="106" t="s">
        <v>37</v>
      </c>
      <c r="F70" s="107" t="s">
        <v>345</v>
      </c>
      <c r="G70" s="106" t="s">
        <v>325</v>
      </c>
      <c r="H70" s="106" t="s">
        <v>275</v>
      </c>
      <c r="I70" s="106" t="s">
        <v>9</v>
      </c>
      <c r="J70" s="106" t="s">
        <v>231</v>
      </c>
      <c r="K70" s="106"/>
      <c r="L70" s="108">
        <v>10.6</v>
      </c>
      <c r="M70" s="108">
        <f>L70*VLOOKUP(I70,dagsoorttabel1,2,FALSE)</f>
        <v>10.6</v>
      </c>
      <c r="N70" s="109">
        <f>prodnorm118</f>
        <v>0</v>
      </c>
      <c r="O70" s="106" t="s">
        <v>105</v>
      </c>
      <c r="P70" s="28">
        <f>uurtarief118</f>
        <v>0</v>
      </c>
      <c r="Q70" s="108" t="e">
        <f>IF(ISBLANK(N70),0,M70/ROUND(N70,4))</f>
        <v>#DIV/0!</v>
      </c>
      <c r="R70" s="28" t="e">
        <f>ROUND(P70,2)*Q70</f>
        <v>#DIV/0!</v>
      </c>
      <c r="S70" s="108" t="e">
        <f>Q70*dagenperjaar1</f>
        <v>#DIV/0!</v>
      </c>
      <c r="T70" s="29" t="e">
        <f>S70*ROUND(P70,2)</f>
        <v>#DIV/0!</v>
      </c>
    </row>
    <row r="71" spans="1:20" x14ac:dyDescent="0.2">
      <c r="A71" s="105" t="s">
        <v>321</v>
      </c>
      <c r="B71" s="106" t="s">
        <v>37</v>
      </c>
      <c r="C71" s="106" t="s">
        <v>415</v>
      </c>
      <c r="D71" s="106" t="s">
        <v>417</v>
      </c>
      <c r="E71" s="106" t="s">
        <v>37</v>
      </c>
      <c r="F71" s="107" t="s">
        <v>418</v>
      </c>
      <c r="G71" s="106" t="s">
        <v>325</v>
      </c>
      <c r="H71" s="106" t="s">
        <v>292</v>
      </c>
      <c r="I71" s="106" t="s">
        <v>9</v>
      </c>
      <c r="J71" s="106" t="s">
        <v>231</v>
      </c>
      <c r="K71" s="106"/>
      <c r="L71" s="108">
        <v>8.1999999999999993</v>
      </c>
      <c r="M71" s="108">
        <f>L71*VLOOKUP(I71,dagsoorttabel1,2,FALSE)</f>
        <v>8.1999999999999993</v>
      </c>
      <c r="N71" s="109">
        <f>prodnorm150</f>
        <v>0</v>
      </c>
      <c r="O71" s="106" t="s">
        <v>105</v>
      </c>
      <c r="P71" s="28">
        <f>uurtarief150</f>
        <v>0</v>
      </c>
      <c r="Q71" s="108" t="e">
        <f>IF(ISBLANK(N71),0,M71/ROUND(N71,4))</f>
        <v>#DIV/0!</v>
      </c>
      <c r="R71" s="28" t="e">
        <f>ROUND(P71,2)*Q71</f>
        <v>#DIV/0!</v>
      </c>
      <c r="S71" s="108" t="e">
        <f>Q71*dagenperjaar1</f>
        <v>#DIV/0!</v>
      </c>
      <c r="T71" s="29" t="e">
        <f>S71*ROUND(P71,2)</f>
        <v>#DIV/0!</v>
      </c>
    </row>
    <row r="72" spans="1:20" x14ac:dyDescent="0.2">
      <c r="A72" s="105" t="s">
        <v>321</v>
      </c>
      <c r="B72" s="106" t="s">
        <v>37</v>
      </c>
      <c r="C72" s="106" t="s">
        <v>415</v>
      </c>
      <c r="D72" s="106" t="s">
        <v>419</v>
      </c>
      <c r="E72" s="106" t="s">
        <v>37</v>
      </c>
      <c r="F72" s="107" t="s">
        <v>335</v>
      </c>
      <c r="G72" s="106" t="s">
        <v>325</v>
      </c>
      <c r="H72" s="106" t="s">
        <v>275</v>
      </c>
      <c r="I72" s="106" t="s">
        <v>9</v>
      </c>
      <c r="J72" s="106" t="s">
        <v>231</v>
      </c>
      <c r="K72" s="106"/>
      <c r="L72" s="108">
        <v>18.600000000000001</v>
      </c>
      <c r="M72" s="108">
        <f>L72*VLOOKUP(I72,dagsoorttabel1,2,FALSE)</f>
        <v>18.600000000000001</v>
      </c>
      <c r="N72" s="109">
        <f>prodnorm118</f>
        <v>0</v>
      </c>
      <c r="O72" s="106" t="s">
        <v>105</v>
      </c>
      <c r="P72" s="28">
        <f>uurtarief118</f>
        <v>0</v>
      </c>
      <c r="Q72" s="108" t="e">
        <f>IF(ISBLANK(N72),0,M72/ROUND(N72,4))</f>
        <v>#DIV/0!</v>
      </c>
      <c r="R72" s="28" t="e">
        <f>ROUND(P72,2)*Q72</f>
        <v>#DIV/0!</v>
      </c>
      <c r="S72" s="108" t="e">
        <f>Q72*dagenperjaar1</f>
        <v>#DIV/0!</v>
      </c>
      <c r="T72" s="29" t="e">
        <f>S72*ROUND(P72,2)</f>
        <v>#DIV/0!</v>
      </c>
    </row>
    <row r="73" spans="1:20" x14ac:dyDescent="0.2">
      <c r="A73" s="105" t="s">
        <v>321</v>
      </c>
      <c r="B73" s="106" t="s">
        <v>37</v>
      </c>
      <c r="C73" s="106" t="s">
        <v>415</v>
      </c>
      <c r="D73" s="106" t="s">
        <v>420</v>
      </c>
      <c r="E73" s="106" t="s">
        <v>37</v>
      </c>
      <c r="F73" s="107" t="s">
        <v>337</v>
      </c>
      <c r="G73" s="106" t="s">
        <v>325</v>
      </c>
      <c r="H73" s="106" t="s">
        <v>243</v>
      </c>
      <c r="I73" s="106" t="s">
        <v>9</v>
      </c>
      <c r="J73" s="106" t="s">
        <v>231</v>
      </c>
      <c r="K73" s="106"/>
      <c r="L73" s="108">
        <v>29.4</v>
      </c>
      <c r="M73" s="108">
        <f>L73*VLOOKUP(I73,dagsoorttabel1,2,FALSE)</f>
        <v>29.4</v>
      </c>
      <c r="N73" s="109">
        <f>prodnorm51</f>
        <v>0</v>
      </c>
      <c r="O73" s="106" t="s">
        <v>105</v>
      </c>
      <c r="P73" s="28">
        <f>uurtarief51</f>
        <v>0</v>
      </c>
      <c r="Q73" s="108" t="e">
        <f>IF(ISBLANK(N73),0,M73/ROUND(N73,4))</f>
        <v>#DIV/0!</v>
      </c>
      <c r="R73" s="28" t="e">
        <f>ROUND(P73,2)*Q73</f>
        <v>#DIV/0!</v>
      </c>
      <c r="S73" s="108" t="e">
        <f>Q73*dagenperjaar1</f>
        <v>#DIV/0!</v>
      </c>
      <c r="T73" s="29" t="e">
        <f>S73*ROUND(P73,2)</f>
        <v>#DIV/0!</v>
      </c>
    </row>
    <row r="74" spans="1:20" x14ac:dyDescent="0.2">
      <c r="A74" s="105" t="s">
        <v>321</v>
      </c>
      <c r="B74" s="106" t="s">
        <v>37</v>
      </c>
      <c r="C74" s="106" t="s">
        <v>415</v>
      </c>
      <c r="D74" s="106" t="s">
        <v>421</v>
      </c>
      <c r="E74" s="106" t="s">
        <v>37</v>
      </c>
      <c r="F74" s="107" t="s">
        <v>335</v>
      </c>
      <c r="G74" s="106" t="s">
        <v>325</v>
      </c>
      <c r="H74" s="106" t="s">
        <v>275</v>
      </c>
      <c r="I74" s="106" t="s">
        <v>9</v>
      </c>
      <c r="J74" s="106" t="s">
        <v>231</v>
      </c>
      <c r="K74" s="106"/>
      <c r="L74" s="108">
        <v>9.6999999999999993</v>
      </c>
      <c r="M74" s="108">
        <f>L74*VLOOKUP(I74,dagsoorttabel1,2,FALSE)</f>
        <v>9.6999999999999993</v>
      </c>
      <c r="N74" s="109">
        <f>prodnorm118</f>
        <v>0</v>
      </c>
      <c r="O74" s="106" t="s">
        <v>105</v>
      </c>
      <c r="P74" s="28">
        <f>uurtarief118</f>
        <v>0</v>
      </c>
      <c r="Q74" s="108" t="e">
        <f>IF(ISBLANK(N74),0,M74/ROUND(N74,4))</f>
        <v>#DIV/0!</v>
      </c>
      <c r="R74" s="28" t="e">
        <f>ROUND(P74,2)*Q74</f>
        <v>#DIV/0!</v>
      </c>
      <c r="S74" s="108" t="e">
        <f>Q74*dagenperjaar1</f>
        <v>#DIV/0!</v>
      </c>
      <c r="T74" s="29" t="e">
        <f>S74*ROUND(P74,2)</f>
        <v>#DIV/0!</v>
      </c>
    </row>
    <row r="75" spans="1:20" x14ac:dyDescent="0.2">
      <c r="A75" s="105" t="s">
        <v>321</v>
      </c>
      <c r="B75" s="106" t="s">
        <v>37</v>
      </c>
      <c r="C75" s="106" t="s">
        <v>415</v>
      </c>
      <c r="D75" s="106" t="s">
        <v>422</v>
      </c>
      <c r="E75" s="106" t="s">
        <v>37</v>
      </c>
      <c r="F75" s="107" t="s">
        <v>423</v>
      </c>
      <c r="G75" s="106" t="s">
        <v>325</v>
      </c>
      <c r="H75" s="106" t="s">
        <v>237</v>
      </c>
      <c r="I75" s="106" t="s">
        <v>9</v>
      </c>
      <c r="J75" s="106" t="s">
        <v>231</v>
      </c>
      <c r="K75" s="106"/>
      <c r="L75" s="108">
        <v>38.799999999999997</v>
      </c>
      <c r="M75" s="108">
        <f>L75*VLOOKUP(I75,dagsoorttabel1,2,FALSE)</f>
        <v>38.799999999999997</v>
      </c>
      <c r="N75" s="109">
        <f>prodnorm43</f>
        <v>0</v>
      </c>
      <c r="O75" s="106" t="s">
        <v>105</v>
      </c>
      <c r="P75" s="28">
        <f>uurtarief43</f>
        <v>0</v>
      </c>
      <c r="Q75" s="108" t="e">
        <f>IF(ISBLANK(N75),0,M75/ROUND(N75,4))</f>
        <v>#DIV/0!</v>
      </c>
      <c r="R75" s="28" t="e">
        <f>ROUND(P75,2)*Q75</f>
        <v>#DIV/0!</v>
      </c>
      <c r="S75" s="108" t="e">
        <f>Q75*dagenperjaar1</f>
        <v>#DIV/0!</v>
      </c>
      <c r="T75" s="29" t="e">
        <f>S75*ROUND(P75,2)</f>
        <v>#DIV/0!</v>
      </c>
    </row>
    <row r="76" spans="1:20" x14ac:dyDescent="0.2">
      <c r="A76" s="105" t="s">
        <v>321</v>
      </c>
      <c r="B76" s="106" t="s">
        <v>37</v>
      </c>
      <c r="C76" s="106" t="s">
        <v>415</v>
      </c>
      <c r="D76" s="106" t="s">
        <v>424</v>
      </c>
      <c r="E76" s="106" t="s">
        <v>37</v>
      </c>
      <c r="F76" s="107" t="s">
        <v>335</v>
      </c>
      <c r="G76" s="106" t="s">
        <v>325</v>
      </c>
      <c r="H76" s="106" t="s">
        <v>275</v>
      </c>
      <c r="I76" s="106" t="s">
        <v>9</v>
      </c>
      <c r="J76" s="106" t="s">
        <v>231</v>
      </c>
      <c r="K76" s="106"/>
      <c r="L76" s="108">
        <v>14.2</v>
      </c>
      <c r="M76" s="108">
        <f>L76*VLOOKUP(I76,dagsoorttabel1,2,FALSE)</f>
        <v>14.2</v>
      </c>
      <c r="N76" s="109">
        <f>prodnorm118</f>
        <v>0</v>
      </c>
      <c r="O76" s="106" t="s">
        <v>105</v>
      </c>
      <c r="P76" s="28">
        <f>uurtarief118</f>
        <v>0</v>
      </c>
      <c r="Q76" s="108" t="e">
        <f>IF(ISBLANK(N76),0,M76/ROUND(N76,4))</f>
        <v>#DIV/0!</v>
      </c>
      <c r="R76" s="28" t="e">
        <f>ROUND(P76,2)*Q76</f>
        <v>#DIV/0!</v>
      </c>
      <c r="S76" s="108" t="e">
        <f>Q76*dagenperjaar1</f>
        <v>#DIV/0!</v>
      </c>
      <c r="T76" s="29" t="e">
        <f>S76*ROUND(P76,2)</f>
        <v>#DIV/0!</v>
      </c>
    </row>
    <row r="77" spans="1:20" x14ac:dyDescent="0.2">
      <c r="A77" s="105" t="s">
        <v>321</v>
      </c>
      <c r="B77" s="106" t="s">
        <v>37</v>
      </c>
      <c r="C77" s="106" t="s">
        <v>415</v>
      </c>
      <c r="D77" s="106" t="s">
        <v>425</v>
      </c>
      <c r="E77" s="106" t="s">
        <v>37</v>
      </c>
      <c r="F77" s="107" t="s">
        <v>335</v>
      </c>
      <c r="G77" s="106" t="s">
        <v>325</v>
      </c>
      <c r="H77" s="106" t="s">
        <v>275</v>
      </c>
      <c r="I77" s="106" t="s">
        <v>9</v>
      </c>
      <c r="J77" s="106" t="s">
        <v>231</v>
      </c>
      <c r="K77" s="106"/>
      <c r="L77" s="108">
        <v>39.4</v>
      </c>
      <c r="M77" s="108">
        <f>L77*VLOOKUP(I77,dagsoorttabel1,2,FALSE)</f>
        <v>39.4</v>
      </c>
      <c r="N77" s="109">
        <f>prodnorm118</f>
        <v>0</v>
      </c>
      <c r="O77" s="106" t="s">
        <v>105</v>
      </c>
      <c r="P77" s="28">
        <f>uurtarief118</f>
        <v>0</v>
      </c>
      <c r="Q77" s="108" t="e">
        <f>IF(ISBLANK(N77),0,M77/ROUND(N77,4))</f>
        <v>#DIV/0!</v>
      </c>
      <c r="R77" s="28" t="e">
        <f>ROUND(P77,2)*Q77</f>
        <v>#DIV/0!</v>
      </c>
      <c r="S77" s="108" t="e">
        <f>Q77*dagenperjaar1</f>
        <v>#DIV/0!</v>
      </c>
      <c r="T77" s="29" t="e">
        <f>S77*ROUND(P77,2)</f>
        <v>#DIV/0!</v>
      </c>
    </row>
    <row r="78" spans="1:20" x14ac:dyDescent="0.2">
      <c r="A78" s="105" t="s">
        <v>321</v>
      </c>
      <c r="B78" s="106" t="s">
        <v>37</v>
      </c>
      <c r="C78" s="106" t="s">
        <v>415</v>
      </c>
      <c r="D78" s="106" t="s">
        <v>426</v>
      </c>
      <c r="E78" s="106" t="s">
        <v>37</v>
      </c>
      <c r="F78" s="107" t="s">
        <v>345</v>
      </c>
      <c r="G78" s="106" t="s">
        <v>325</v>
      </c>
      <c r="H78" s="106" t="s">
        <v>275</v>
      </c>
      <c r="I78" s="106" t="s">
        <v>9</v>
      </c>
      <c r="J78" s="106" t="s">
        <v>231</v>
      </c>
      <c r="K78" s="106"/>
      <c r="L78" s="108">
        <v>5.8</v>
      </c>
      <c r="M78" s="108">
        <f>L78*VLOOKUP(I78,dagsoorttabel1,2,FALSE)</f>
        <v>5.8</v>
      </c>
      <c r="N78" s="109">
        <f>prodnorm118</f>
        <v>0</v>
      </c>
      <c r="O78" s="106" t="s">
        <v>105</v>
      </c>
      <c r="P78" s="28">
        <f>uurtarief118</f>
        <v>0</v>
      </c>
      <c r="Q78" s="108" t="e">
        <f>IF(ISBLANK(N78),0,M78/ROUND(N78,4))</f>
        <v>#DIV/0!</v>
      </c>
      <c r="R78" s="28" t="e">
        <f>ROUND(P78,2)*Q78</f>
        <v>#DIV/0!</v>
      </c>
      <c r="S78" s="108" t="e">
        <f>Q78*dagenperjaar1</f>
        <v>#DIV/0!</v>
      </c>
      <c r="T78" s="29" t="e">
        <f>S78*ROUND(P78,2)</f>
        <v>#DIV/0!</v>
      </c>
    </row>
    <row r="79" spans="1:20" x14ac:dyDescent="0.2">
      <c r="A79" s="105" t="s">
        <v>321</v>
      </c>
      <c r="B79" s="106" t="s">
        <v>37</v>
      </c>
      <c r="C79" s="106" t="s">
        <v>415</v>
      </c>
      <c r="D79" s="106" t="s">
        <v>427</v>
      </c>
      <c r="E79" s="106" t="s">
        <v>37</v>
      </c>
      <c r="F79" s="107" t="s">
        <v>418</v>
      </c>
      <c r="G79" s="106" t="s">
        <v>358</v>
      </c>
      <c r="H79" s="106" t="s">
        <v>290</v>
      </c>
      <c r="I79" s="106" t="s">
        <v>9</v>
      </c>
      <c r="J79" s="106" t="s">
        <v>231</v>
      </c>
      <c r="K79" s="106"/>
      <c r="L79" s="108">
        <v>9.9</v>
      </c>
      <c r="M79" s="108">
        <f>L79*VLOOKUP(I79,dagsoorttabel1,2,FALSE)</f>
        <v>9.9</v>
      </c>
      <c r="N79" s="109">
        <f>prodnorm146</f>
        <v>0</v>
      </c>
      <c r="O79" s="106" t="s">
        <v>105</v>
      </c>
      <c r="P79" s="28">
        <f>uurtarief146</f>
        <v>0</v>
      </c>
      <c r="Q79" s="108" t="e">
        <f>IF(ISBLANK(N79),0,M79/ROUND(N79,4))</f>
        <v>#DIV/0!</v>
      </c>
      <c r="R79" s="28" t="e">
        <f>ROUND(P79,2)*Q79</f>
        <v>#DIV/0!</v>
      </c>
      <c r="S79" s="108" t="e">
        <f>Q79*dagenperjaar1</f>
        <v>#DIV/0!</v>
      </c>
      <c r="T79" s="29" t="e">
        <f>S79*ROUND(P79,2)</f>
        <v>#DIV/0!</v>
      </c>
    </row>
    <row r="80" spans="1:20" x14ac:dyDescent="0.2">
      <c r="A80" s="105" t="s">
        <v>321</v>
      </c>
      <c r="B80" s="106" t="s">
        <v>37</v>
      </c>
      <c r="C80" s="106" t="s">
        <v>415</v>
      </c>
      <c r="D80" s="106" t="s">
        <v>428</v>
      </c>
      <c r="E80" s="106" t="s">
        <v>37</v>
      </c>
      <c r="F80" s="107" t="s">
        <v>418</v>
      </c>
      <c r="G80" s="106" t="s">
        <v>325</v>
      </c>
      <c r="H80" s="106" t="s">
        <v>292</v>
      </c>
      <c r="I80" s="106" t="s">
        <v>9</v>
      </c>
      <c r="J80" s="106" t="s">
        <v>231</v>
      </c>
      <c r="K80" s="106"/>
      <c r="L80" s="108">
        <v>2.7</v>
      </c>
      <c r="M80" s="108">
        <f>L80*VLOOKUP(I80,dagsoorttabel1,2,FALSE)</f>
        <v>2.7</v>
      </c>
      <c r="N80" s="109">
        <f>prodnorm150</f>
        <v>0</v>
      </c>
      <c r="O80" s="106" t="s">
        <v>105</v>
      </c>
      <c r="P80" s="28">
        <f>uurtarief150</f>
        <v>0</v>
      </c>
      <c r="Q80" s="108" t="e">
        <f>IF(ISBLANK(N80),0,M80/ROUND(N80,4))</f>
        <v>#DIV/0!</v>
      </c>
      <c r="R80" s="28" t="e">
        <f>ROUND(P80,2)*Q80</f>
        <v>#DIV/0!</v>
      </c>
      <c r="S80" s="108" t="e">
        <f>Q80*dagenperjaar1</f>
        <v>#DIV/0!</v>
      </c>
      <c r="T80" s="29" t="e">
        <f>S80*ROUND(P80,2)</f>
        <v>#DIV/0!</v>
      </c>
    </row>
    <row r="81" spans="1:20" x14ac:dyDescent="0.2">
      <c r="A81" s="105" t="s">
        <v>321</v>
      </c>
      <c r="B81" s="106" t="s">
        <v>37</v>
      </c>
      <c r="C81" s="106" t="s">
        <v>415</v>
      </c>
      <c r="D81" s="106" t="s">
        <v>429</v>
      </c>
      <c r="E81" s="106" t="s">
        <v>37</v>
      </c>
      <c r="F81" s="107" t="s">
        <v>360</v>
      </c>
      <c r="G81" s="106" t="s">
        <v>346</v>
      </c>
      <c r="H81" s="106" t="s">
        <v>267</v>
      </c>
      <c r="I81" s="106" t="s">
        <v>9</v>
      </c>
      <c r="J81" s="106" t="s">
        <v>231</v>
      </c>
      <c r="K81" s="106"/>
      <c r="L81" s="108">
        <v>7.7</v>
      </c>
      <c r="M81" s="108">
        <f>L81*VLOOKUP(I81,dagsoorttabel1,2,FALSE)</f>
        <v>7.7</v>
      </c>
      <c r="N81" s="109">
        <f>prodnorm101</f>
        <v>0</v>
      </c>
      <c r="O81" s="106" t="s">
        <v>105</v>
      </c>
      <c r="P81" s="28">
        <f>uurtarief101</f>
        <v>0</v>
      </c>
      <c r="Q81" s="108" t="e">
        <f>IF(ISBLANK(N81),0,M81/ROUND(N81,4))</f>
        <v>#DIV/0!</v>
      </c>
      <c r="R81" s="28" t="e">
        <f>ROUND(P81,2)*Q81</f>
        <v>#DIV/0!</v>
      </c>
      <c r="S81" s="108" t="e">
        <f>Q81*dagenperjaar1</f>
        <v>#DIV/0!</v>
      </c>
      <c r="T81" s="29" t="e">
        <f>S81*ROUND(P81,2)</f>
        <v>#DIV/0!</v>
      </c>
    </row>
    <row r="82" spans="1:20" x14ac:dyDescent="0.2">
      <c r="A82" s="105" t="s">
        <v>321</v>
      </c>
      <c r="B82" s="106" t="s">
        <v>37</v>
      </c>
      <c r="C82" s="106" t="s">
        <v>415</v>
      </c>
      <c r="D82" s="106" t="s">
        <v>429</v>
      </c>
      <c r="E82" s="106" t="s">
        <v>37</v>
      </c>
      <c r="F82" s="107" t="s">
        <v>360</v>
      </c>
      <c r="G82" s="106" t="s">
        <v>346</v>
      </c>
      <c r="H82" s="106" t="s">
        <v>269</v>
      </c>
      <c r="I82" s="106" t="s">
        <v>9</v>
      </c>
      <c r="J82" s="106" t="s">
        <v>231</v>
      </c>
      <c r="K82" s="106"/>
      <c r="L82" s="108">
        <v>7.7</v>
      </c>
      <c r="M82" s="108">
        <f>L82*VLOOKUP(I82,dagsoorttabel1,2,FALSE)</f>
        <v>7.7</v>
      </c>
      <c r="N82" s="109">
        <f>prodnorm103</f>
        <v>0</v>
      </c>
      <c r="O82" s="106" t="s">
        <v>105</v>
      </c>
      <c r="P82" s="28">
        <f>uurtarief103</f>
        <v>0</v>
      </c>
      <c r="Q82" s="108" t="e">
        <f>IF(ISBLANK(N82),0,M82/ROUND(N82,4))</f>
        <v>#DIV/0!</v>
      </c>
      <c r="R82" s="28" t="e">
        <f>ROUND(P82,2)*Q82</f>
        <v>#DIV/0!</v>
      </c>
      <c r="S82" s="108" t="e">
        <f>Q82*dagenperjaar1</f>
        <v>#DIV/0!</v>
      </c>
      <c r="T82" s="29" t="e">
        <f>S82*ROUND(P82,2)</f>
        <v>#DIV/0!</v>
      </c>
    </row>
    <row r="83" spans="1:20" x14ac:dyDescent="0.2">
      <c r="A83" s="105" t="s">
        <v>321</v>
      </c>
      <c r="B83" s="106" t="s">
        <v>37</v>
      </c>
      <c r="C83" s="106" t="s">
        <v>415</v>
      </c>
      <c r="D83" s="106" t="s">
        <v>430</v>
      </c>
      <c r="E83" s="106" t="s">
        <v>37</v>
      </c>
      <c r="F83" s="107" t="s">
        <v>364</v>
      </c>
      <c r="G83" s="106" t="s">
        <v>346</v>
      </c>
      <c r="H83" s="106" t="s">
        <v>267</v>
      </c>
      <c r="I83" s="106" t="s">
        <v>9</v>
      </c>
      <c r="J83" s="106" t="s">
        <v>231</v>
      </c>
      <c r="K83" s="106"/>
      <c r="L83" s="108">
        <v>7.7</v>
      </c>
      <c r="M83" s="108">
        <f>L83*VLOOKUP(I83,dagsoorttabel1,2,FALSE)</f>
        <v>7.7</v>
      </c>
      <c r="N83" s="109">
        <f>prodnorm101</f>
        <v>0</v>
      </c>
      <c r="O83" s="106" t="s">
        <v>105</v>
      </c>
      <c r="P83" s="28">
        <f>uurtarief101</f>
        <v>0</v>
      </c>
      <c r="Q83" s="108" t="e">
        <f>IF(ISBLANK(N83),0,M83/ROUND(N83,4))</f>
        <v>#DIV/0!</v>
      </c>
      <c r="R83" s="28" t="e">
        <f>ROUND(P83,2)*Q83</f>
        <v>#DIV/0!</v>
      </c>
      <c r="S83" s="108" t="e">
        <f>Q83*dagenperjaar1</f>
        <v>#DIV/0!</v>
      </c>
      <c r="T83" s="29" t="e">
        <f>S83*ROUND(P83,2)</f>
        <v>#DIV/0!</v>
      </c>
    </row>
    <row r="84" spans="1:20" x14ac:dyDescent="0.2">
      <c r="A84" s="105" t="s">
        <v>321</v>
      </c>
      <c r="B84" s="106" t="s">
        <v>37</v>
      </c>
      <c r="C84" s="106" t="s">
        <v>415</v>
      </c>
      <c r="D84" s="106" t="s">
        <v>430</v>
      </c>
      <c r="E84" s="106" t="s">
        <v>37</v>
      </c>
      <c r="F84" s="107" t="s">
        <v>364</v>
      </c>
      <c r="G84" s="106" t="s">
        <v>346</v>
      </c>
      <c r="H84" s="106" t="s">
        <v>269</v>
      </c>
      <c r="I84" s="106" t="s">
        <v>9</v>
      </c>
      <c r="J84" s="106" t="s">
        <v>231</v>
      </c>
      <c r="K84" s="106"/>
      <c r="L84" s="108">
        <v>7.7</v>
      </c>
      <c r="M84" s="108">
        <f>L84*VLOOKUP(I84,dagsoorttabel1,2,FALSE)</f>
        <v>7.7</v>
      </c>
      <c r="N84" s="109">
        <f>prodnorm103</f>
        <v>0</v>
      </c>
      <c r="O84" s="106" t="s">
        <v>105</v>
      </c>
      <c r="P84" s="28">
        <f>uurtarief103</f>
        <v>0</v>
      </c>
      <c r="Q84" s="108" t="e">
        <f>IF(ISBLANK(N84),0,M84/ROUND(N84,4))</f>
        <v>#DIV/0!</v>
      </c>
      <c r="R84" s="28" t="e">
        <f>ROUND(P84,2)*Q84</f>
        <v>#DIV/0!</v>
      </c>
      <c r="S84" s="108" t="e">
        <f>Q84*dagenperjaar1</f>
        <v>#DIV/0!</v>
      </c>
      <c r="T84" s="29" t="e">
        <f>S84*ROUND(P84,2)</f>
        <v>#DIV/0!</v>
      </c>
    </row>
    <row r="85" spans="1:20" x14ac:dyDescent="0.2">
      <c r="A85" s="105" t="s">
        <v>321</v>
      </c>
      <c r="B85" s="106" t="s">
        <v>37</v>
      </c>
      <c r="C85" s="106" t="s">
        <v>415</v>
      </c>
      <c r="D85" s="106" t="s">
        <v>431</v>
      </c>
      <c r="E85" s="106" t="s">
        <v>37</v>
      </c>
      <c r="F85" s="107" t="s">
        <v>432</v>
      </c>
      <c r="G85" s="106" t="s">
        <v>325</v>
      </c>
      <c r="H85" s="106" t="s">
        <v>243</v>
      </c>
      <c r="I85" s="106" t="s">
        <v>9</v>
      </c>
      <c r="J85" s="106" t="s">
        <v>231</v>
      </c>
      <c r="K85" s="106"/>
      <c r="L85" s="108">
        <v>21.2</v>
      </c>
      <c r="M85" s="108">
        <f>L85*VLOOKUP(I85,dagsoorttabel1,2,FALSE)</f>
        <v>21.2</v>
      </c>
      <c r="N85" s="109">
        <f>prodnorm51</f>
        <v>0</v>
      </c>
      <c r="O85" s="106" t="s">
        <v>105</v>
      </c>
      <c r="P85" s="28">
        <f>uurtarief51</f>
        <v>0</v>
      </c>
      <c r="Q85" s="108" t="e">
        <f>IF(ISBLANK(N85),0,M85/ROUND(N85,4))</f>
        <v>#DIV/0!</v>
      </c>
      <c r="R85" s="28" t="e">
        <f>ROUND(P85,2)*Q85</f>
        <v>#DIV/0!</v>
      </c>
      <c r="S85" s="108" t="e">
        <f>Q85*dagenperjaar1</f>
        <v>#DIV/0!</v>
      </c>
      <c r="T85" s="29" t="e">
        <f>S85*ROUND(P85,2)</f>
        <v>#DIV/0!</v>
      </c>
    </row>
    <row r="86" spans="1:20" x14ac:dyDescent="0.2">
      <c r="A86" s="105" t="s">
        <v>321</v>
      </c>
      <c r="B86" s="106" t="s">
        <v>37</v>
      </c>
      <c r="C86" s="106" t="s">
        <v>415</v>
      </c>
      <c r="D86" s="106" t="s">
        <v>433</v>
      </c>
      <c r="E86" s="106" t="s">
        <v>37</v>
      </c>
      <c r="F86" s="107" t="s">
        <v>381</v>
      </c>
      <c r="G86" s="106" t="s">
        <v>325</v>
      </c>
      <c r="H86" s="106" t="s">
        <v>237</v>
      </c>
      <c r="I86" s="106" t="s">
        <v>9</v>
      </c>
      <c r="J86" s="106" t="s">
        <v>231</v>
      </c>
      <c r="K86" s="106"/>
      <c r="L86" s="108">
        <v>83.9</v>
      </c>
      <c r="M86" s="108">
        <f>L86*VLOOKUP(I86,dagsoorttabel1,2,FALSE)</f>
        <v>83.9</v>
      </c>
      <c r="N86" s="109">
        <f>prodnorm43</f>
        <v>0</v>
      </c>
      <c r="O86" s="106" t="s">
        <v>105</v>
      </c>
      <c r="P86" s="28">
        <f>uurtarief43</f>
        <v>0</v>
      </c>
      <c r="Q86" s="108" t="e">
        <f>IF(ISBLANK(N86),0,M86/ROUND(N86,4))</f>
        <v>#DIV/0!</v>
      </c>
      <c r="R86" s="28" t="e">
        <f>ROUND(P86,2)*Q86</f>
        <v>#DIV/0!</v>
      </c>
      <c r="S86" s="108" t="e">
        <f>Q86*dagenperjaar1</f>
        <v>#DIV/0!</v>
      </c>
      <c r="T86" s="29" t="e">
        <f>S86*ROUND(P86,2)</f>
        <v>#DIV/0!</v>
      </c>
    </row>
    <row r="87" spans="1:20" x14ac:dyDescent="0.2">
      <c r="A87" s="105" t="s">
        <v>321</v>
      </c>
      <c r="B87" s="106" t="s">
        <v>37</v>
      </c>
      <c r="C87" s="106" t="s">
        <v>415</v>
      </c>
      <c r="D87" s="106" t="s">
        <v>434</v>
      </c>
      <c r="E87" s="106" t="s">
        <v>37</v>
      </c>
      <c r="F87" s="107" t="s">
        <v>435</v>
      </c>
      <c r="G87" s="106" t="s">
        <v>325</v>
      </c>
      <c r="H87" s="106" t="s">
        <v>243</v>
      </c>
      <c r="I87" s="106" t="s">
        <v>9</v>
      </c>
      <c r="J87" s="106" t="s">
        <v>231</v>
      </c>
      <c r="K87" s="106"/>
      <c r="L87" s="108">
        <v>21.6</v>
      </c>
      <c r="M87" s="108">
        <f>L87*VLOOKUP(I87,dagsoorttabel1,2,FALSE)</f>
        <v>21.6</v>
      </c>
      <c r="N87" s="109">
        <f>prodnorm51</f>
        <v>0</v>
      </c>
      <c r="O87" s="106" t="s">
        <v>105</v>
      </c>
      <c r="P87" s="28">
        <f>uurtarief51</f>
        <v>0</v>
      </c>
      <c r="Q87" s="108" t="e">
        <f>IF(ISBLANK(N87),0,M87/ROUND(N87,4))</f>
        <v>#DIV/0!</v>
      </c>
      <c r="R87" s="28" t="e">
        <f>ROUND(P87,2)*Q87</f>
        <v>#DIV/0!</v>
      </c>
      <c r="S87" s="108" t="e">
        <f>Q87*dagenperjaar1</f>
        <v>#DIV/0!</v>
      </c>
      <c r="T87" s="29" t="e">
        <f>S87*ROUND(P87,2)</f>
        <v>#DIV/0!</v>
      </c>
    </row>
    <row r="88" spans="1:20" x14ac:dyDescent="0.2">
      <c r="A88" s="105" t="s">
        <v>321</v>
      </c>
      <c r="B88" s="106" t="s">
        <v>37</v>
      </c>
      <c r="C88" s="106" t="s">
        <v>415</v>
      </c>
      <c r="D88" s="106" t="s">
        <v>436</v>
      </c>
      <c r="E88" s="106" t="s">
        <v>37</v>
      </c>
      <c r="F88" s="107" t="s">
        <v>337</v>
      </c>
      <c r="G88" s="106" t="s">
        <v>325</v>
      </c>
      <c r="H88" s="106" t="s">
        <v>243</v>
      </c>
      <c r="I88" s="106" t="s">
        <v>9</v>
      </c>
      <c r="J88" s="106" t="s">
        <v>231</v>
      </c>
      <c r="K88" s="106"/>
      <c r="L88" s="108">
        <v>13.4</v>
      </c>
      <c r="M88" s="108">
        <f>L88*VLOOKUP(I88,dagsoorttabel1,2,FALSE)</f>
        <v>13.4</v>
      </c>
      <c r="N88" s="109">
        <f>prodnorm51</f>
        <v>0</v>
      </c>
      <c r="O88" s="106" t="s">
        <v>105</v>
      </c>
      <c r="P88" s="28">
        <f>uurtarief51</f>
        <v>0</v>
      </c>
      <c r="Q88" s="108" t="e">
        <f>IF(ISBLANK(N88),0,M88/ROUND(N88,4))</f>
        <v>#DIV/0!</v>
      </c>
      <c r="R88" s="28" t="e">
        <f>ROUND(P88,2)*Q88</f>
        <v>#DIV/0!</v>
      </c>
      <c r="S88" s="108" t="e">
        <f>Q88*dagenperjaar1</f>
        <v>#DIV/0!</v>
      </c>
      <c r="T88" s="29" t="e">
        <f>S88*ROUND(P88,2)</f>
        <v>#DIV/0!</v>
      </c>
    </row>
    <row r="89" spans="1:20" x14ac:dyDescent="0.2">
      <c r="A89" s="105" t="s">
        <v>321</v>
      </c>
      <c r="B89" s="106" t="s">
        <v>37</v>
      </c>
      <c r="C89" s="106" t="s">
        <v>415</v>
      </c>
      <c r="D89" s="106" t="s">
        <v>437</v>
      </c>
      <c r="E89" s="106" t="s">
        <v>37</v>
      </c>
      <c r="F89" s="107" t="s">
        <v>381</v>
      </c>
      <c r="G89" s="106" t="s">
        <v>325</v>
      </c>
      <c r="H89" s="106" t="s">
        <v>237</v>
      </c>
      <c r="I89" s="106" t="s">
        <v>9</v>
      </c>
      <c r="J89" s="106" t="s">
        <v>231</v>
      </c>
      <c r="K89" s="106"/>
      <c r="L89" s="108">
        <v>98.16</v>
      </c>
      <c r="M89" s="108">
        <f>L89*VLOOKUP(I89,dagsoorttabel1,2,FALSE)</f>
        <v>98.16</v>
      </c>
      <c r="N89" s="109">
        <f>prodnorm43</f>
        <v>0</v>
      </c>
      <c r="O89" s="106" t="s">
        <v>105</v>
      </c>
      <c r="P89" s="28">
        <f>uurtarief43</f>
        <v>0</v>
      </c>
      <c r="Q89" s="108" t="e">
        <f>IF(ISBLANK(N89),0,M89/ROUND(N89,4))</f>
        <v>#DIV/0!</v>
      </c>
      <c r="R89" s="28" t="e">
        <f>ROUND(P89,2)*Q89</f>
        <v>#DIV/0!</v>
      </c>
      <c r="S89" s="108" t="e">
        <f>Q89*dagenperjaar1</f>
        <v>#DIV/0!</v>
      </c>
      <c r="T89" s="29" t="e">
        <f>S89*ROUND(P89,2)</f>
        <v>#DIV/0!</v>
      </c>
    </row>
    <row r="90" spans="1:20" x14ac:dyDescent="0.2">
      <c r="A90" s="105" t="s">
        <v>321</v>
      </c>
      <c r="B90" s="106" t="s">
        <v>37</v>
      </c>
      <c r="C90" s="106" t="s">
        <v>415</v>
      </c>
      <c r="D90" s="106" t="s">
        <v>438</v>
      </c>
      <c r="E90" s="106" t="s">
        <v>37</v>
      </c>
      <c r="F90" s="107" t="s">
        <v>384</v>
      </c>
      <c r="G90" s="106" t="s">
        <v>325</v>
      </c>
      <c r="H90" s="106" t="s">
        <v>237</v>
      </c>
      <c r="I90" s="106" t="s">
        <v>9</v>
      </c>
      <c r="J90" s="106" t="s">
        <v>231</v>
      </c>
      <c r="K90" s="106"/>
      <c r="L90" s="108">
        <v>1.1200000000000001</v>
      </c>
      <c r="M90" s="108">
        <f>L90*VLOOKUP(I90,dagsoorttabel1,2,FALSE)</f>
        <v>1.1200000000000001</v>
      </c>
      <c r="N90" s="109">
        <f>prodnorm43</f>
        <v>0</v>
      </c>
      <c r="O90" s="106" t="s">
        <v>105</v>
      </c>
      <c r="P90" s="28">
        <f>uurtarief43</f>
        <v>0</v>
      </c>
      <c r="Q90" s="108" t="e">
        <f>IF(ISBLANK(N90),0,M90/ROUND(N90,4))</f>
        <v>#DIV/0!</v>
      </c>
      <c r="R90" s="28" t="e">
        <f>ROUND(P90,2)*Q90</f>
        <v>#DIV/0!</v>
      </c>
      <c r="S90" s="108" t="e">
        <f>Q90*dagenperjaar1</f>
        <v>#DIV/0!</v>
      </c>
      <c r="T90" s="29" t="e">
        <f>S90*ROUND(P90,2)</f>
        <v>#DIV/0!</v>
      </c>
    </row>
    <row r="91" spans="1:20" x14ac:dyDescent="0.2">
      <c r="A91" s="105" t="s">
        <v>321</v>
      </c>
      <c r="B91" s="106" t="s">
        <v>37</v>
      </c>
      <c r="C91" s="106" t="s">
        <v>415</v>
      </c>
      <c r="D91" s="106" t="s">
        <v>439</v>
      </c>
      <c r="E91" s="106" t="s">
        <v>37</v>
      </c>
      <c r="F91" s="107" t="s">
        <v>384</v>
      </c>
      <c r="G91" s="106" t="s">
        <v>325</v>
      </c>
      <c r="H91" s="106" t="s">
        <v>237</v>
      </c>
      <c r="I91" s="106" t="s">
        <v>9</v>
      </c>
      <c r="J91" s="106" t="s">
        <v>231</v>
      </c>
      <c r="K91" s="106"/>
      <c r="L91" s="108">
        <v>1.1200000000000001</v>
      </c>
      <c r="M91" s="108">
        <f>L91*VLOOKUP(I91,dagsoorttabel1,2,FALSE)</f>
        <v>1.1200000000000001</v>
      </c>
      <c r="N91" s="109">
        <f>prodnorm43</f>
        <v>0</v>
      </c>
      <c r="O91" s="106" t="s">
        <v>105</v>
      </c>
      <c r="P91" s="28">
        <f>uurtarief43</f>
        <v>0</v>
      </c>
      <c r="Q91" s="108" t="e">
        <f>IF(ISBLANK(N91),0,M91/ROUND(N91,4))</f>
        <v>#DIV/0!</v>
      </c>
      <c r="R91" s="28" t="e">
        <f>ROUND(P91,2)*Q91</f>
        <v>#DIV/0!</v>
      </c>
      <c r="S91" s="108" t="e">
        <f>Q91*dagenperjaar1</f>
        <v>#DIV/0!</v>
      </c>
      <c r="T91" s="29" t="e">
        <f>S91*ROUND(P91,2)</f>
        <v>#DIV/0!</v>
      </c>
    </row>
    <row r="92" spans="1:20" x14ac:dyDescent="0.2">
      <c r="A92" s="105" t="s">
        <v>321</v>
      </c>
      <c r="B92" s="106" t="s">
        <v>37</v>
      </c>
      <c r="C92" s="106" t="s">
        <v>415</v>
      </c>
      <c r="D92" s="106" t="s">
        <v>440</v>
      </c>
      <c r="E92" s="106" t="s">
        <v>37</v>
      </c>
      <c r="F92" s="107" t="s">
        <v>381</v>
      </c>
      <c r="G92" s="106" t="s">
        <v>325</v>
      </c>
      <c r="H92" s="106" t="s">
        <v>237</v>
      </c>
      <c r="I92" s="106" t="s">
        <v>9</v>
      </c>
      <c r="J92" s="106" t="s">
        <v>231</v>
      </c>
      <c r="K92" s="106"/>
      <c r="L92" s="108">
        <v>115.26</v>
      </c>
      <c r="M92" s="108">
        <f>L92*VLOOKUP(I92,dagsoorttabel1,2,FALSE)</f>
        <v>115.26</v>
      </c>
      <c r="N92" s="109">
        <f>prodnorm43</f>
        <v>0</v>
      </c>
      <c r="O92" s="106" t="s">
        <v>105</v>
      </c>
      <c r="P92" s="28">
        <f>uurtarief43</f>
        <v>0</v>
      </c>
      <c r="Q92" s="108" t="e">
        <f>IF(ISBLANK(N92),0,M92/ROUND(N92,4))</f>
        <v>#DIV/0!</v>
      </c>
      <c r="R92" s="28" t="e">
        <f>ROUND(P92,2)*Q92</f>
        <v>#DIV/0!</v>
      </c>
      <c r="S92" s="108" t="e">
        <f>Q92*dagenperjaar1</f>
        <v>#DIV/0!</v>
      </c>
      <c r="T92" s="29" t="e">
        <f>S92*ROUND(P92,2)</f>
        <v>#DIV/0!</v>
      </c>
    </row>
    <row r="93" spans="1:20" x14ac:dyDescent="0.2">
      <c r="A93" s="105" t="s">
        <v>321</v>
      </c>
      <c r="B93" s="106" t="s">
        <v>37</v>
      </c>
      <c r="C93" s="106" t="s">
        <v>415</v>
      </c>
      <c r="D93" s="106" t="s">
        <v>441</v>
      </c>
      <c r="E93" s="106" t="s">
        <v>37</v>
      </c>
      <c r="F93" s="107" t="s">
        <v>384</v>
      </c>
      <c r="G93" s="106" t="s">
        <v>325</v>
      </c>
      <c r="H93" s="106" t="s">
        <v>237</v>
      </c>
      <c r="I93" s="106" t="s">
        <v>9</v>
      </c>
      <c r="J93" s="106" t="s">
        <v>231</v>
      </c>
      <c r="K93" s="106"/>
      <c r="L93" s="108">
        <v>1.1200000000000001</v>
      </c>
      <c r="M93" s="108">
        <f>L93*VLOOKUP(I93,dagsoorttabel1,2,FALSE)</f>
        <v>1.1200000000000001</v>
      </c>
      <c r="N93" s="109">
        <f>prodnorm43</f>
        <v>0</v>
      </c>
      <c r="O93" s="106" t="s">
        <v>105</v>
      </c>
      <c r="P93" s="28">
        <f>uurtarief43</f>
        <v>0</v>
      </c>
      <c r="Q93" s="108" t="e">
        <f>IF(ISBLANK(N93),0,M93/ROUND(N93,4))</f>
        <v>#DIV/0!</v>
      </c>
      <c r="R93" s="28" t="e">
        <f>ROUND(P93,2)*Q93</f>
        <v>#DIV/0!</v>
      </c>
      <c r="S93" s="108" t="e">
        <f>Q93*dagenperjaar1</f>
        <v>#DIV/0!</v>
      </c>
      <c r="T93" s="29" t="e">
        <f>S93*ROUND(P93,2)</f>
        <v>#DIV/0!</v>
      </c>
    </row>
    <row r="94" spans="1:20" x14ac:dyDescent="0.2">
      <c r="A94" s="105" t="s">
        <v>321</v>
      </c>
      <c r="B94" s="106" t="s">
        <v>37</v>
      </c>
      <c r="C94" s="106" t="s">
        <v>415</v>
      </c>
      <c r="D94" s="106" t="s">
        <v>442</v>
      </c>
      <c r="E94" s="106" t="s">
        <v>37</v>
      </c>
      <c r="F94" s="107" t="s">
        <v>384</v>
      </c>
      <c r="G94" s="106" t="s">
        <v>325</v>
      </c>
      <c r="H94" s="106" t="s">
        <v>237</v>
      </c>
      <c r="I94" s="106" t="s">
        <v>9</v>
      </c>
      <c r="J94" s="106" t="s">
        <v>231</v>
      </c>
      <c r="K94" s="106"/>
      <c r="L94" s="108">
        <v>1.1200000000000001</v>
      </c>
      <c r="M94" s="108">
        <f>L94*VLOOKUP(I94,dagsoorttabel1,2,FALSE)</f>
        <v>1.1200000000000001</v>
      </c>
      <c r="N94" s="109">
        <f>prodnorm43</f>
        <v>0</v>
      </c>
      <c r="O94" s="106" t="s">
        <v>105</v>
      </c>
      <c r="P94" s="28">
        <f>uurtarief43</f>
        <v>0</v>
      </c>
      <c r="Q94" s="108" t="e">
        <f>IF(ISBLANK(N94),0,M94/ROUND(N94,4))</f>
        <v>#DIV/0!</v>
      </c>
      <c r="R94" s="28" t="e">
        <f>ROUND(P94,2)*Q94</f>
        <v>#DIV/0!</v>
      </c>
      <c r="S94" s="108" t="e">
        <f>Q94*dagenperjaar1</f>
        <v>#DIV/0!</v>
      </c>
      <c r="T94" s="29" t="e">
        <f>S94*ROUND(P94,2)</f>
        <v>#DIV/0!</v>
      </c>
    </row>
    <row r="95" spans="1:20" x14ac:dyDescent="0.2">
      <c r="A95" s="105" t="s">
        <v>321</v>
      </c>
      <c r="B95" s="106" t="s">
        <v>37</v>
      </c>
      <c r="C95" s="106" t="s">
        <v>415</v>
      </c>
      <c r="D95" s="106" t="s">
        <v>443</v>
      </c>
      <c r="E95" s="106" t="s">
        <v>37</v>
      </c>
      <c r="F95" s="107" t="s">
        <v>389</v>
      </c>
      <c r="G95" s="106" t="s">
        <v>325</v>
      </c>
      <c r="H95" s="106" t="s">
        <v>259</v>
      </c>
      <c r="I95" s="106" t="s">
        <v>9</v>
      </c>
      <c r="J95" s="106" t="s">
        <v>231</v>
      </c>
      <c r="K95" s="106"/>
      <c r="L95" s="108">
        <v>24.5</v>
      </c>
      <c r="M95" s="108">
        <f>L95*VLOOKUP(I95,dagsoorttabel1,2,FALSE)</f>
        <v>24.5</v>
      </c>
      <c r="N95" s="109">
        <f>prodnorm82</f>
        <v>0</v>
      </c>
      <c r="O95" s="106" t="s">
        <v>105</v>
      </c>
      <c r="P95" s="28">
        <f>uurtarief82</f>
        <v>0</v>
      </c>
      <c r="Q95" s="108" t="e">
        <f>IF(ISBLANK(N95),0,M95/ROUND(N95,4))</f>
        <v>#DIV/0!</v>
      </c>
      <c r="R95" s="28" t="e">
        <f>ROUND(P95,2)*Q95</f>
        <v>#DIV/0!</v>
      </c>
      <c r="S95" s="108" t="e">
        <f>Q95*dagenperjaar1</f>
        <v>#DIV/0!</v>
      </c>
      <c r="T95" s="29" t="e">
        <f>S95*ROUND(P95,2)</f>
        <v>#DIV/0!</v>
      </c>
    </row>
    <row r="96" spans="1:20" x14ac:dyDescent="0.2">
      <c r="A96" s="105" t="s">
        <v>321</v>
      </c>
      <c r="B96" s="106" t="s">
        <v>37</v>
      </c>
      <c r="C96" s="106" t="s">
        <v>415</v>
      </c>
      <c r="D96" s="106" t="s">
        <v>444</v>
      </c>
      <c r="E96" s="106" t="s">
        <v>37</v>
      </c>
      <c r="F96" s="107" t="s">
        <v>387</v>
      </c>
      <c r="G96" s="106" t="s">
        <v>325</v>
      </c>
      <c r="H96" s="106" t="s">
        <v>275</v>
      </c>
      <c r="I96" s="106" t="s">
        <v>9</v>
      </c>
      <c r="J96" s="106" t="s">
        <v>231</v>
      </c>
      <c r="K96" s="106"/>
      <c r="L96" s="108">
        <v>9.4</v>
      </c>
      <c r="M96" s="108">
        <f>L96*VLOOKUP(I96,dagsoorttabel1,2,FALSE)</f>
        <v>9.4</v>
      </c>
      <c r="N96" s="109">
        <f>prodnorm118</f>
        <v>0</v>
      </c>
      <c r="O96" s="106" t="s">
        <v>105</v>
      </c>
      <c r="P96" s="28">
        <f>uurtarief118</f>
        <v>0</v>
      </c>
      <c r="Q96" s="108" t="e">
        <f>IF(ISBLANK(N96),0,M96/ROUND(N96,4))</f>
        <v>#DIV/0!</v>
      </c>
      <c r="R96" s="28" t="e">
        <f>ROUND(P96,2)*Q96</f>
        <v>#DIV/0!</v>
      </c>
      <c r="S96" s="108" t="e">
        <f>Q96*dagenperjaar1</f>
        <v>#DIV/0!</v>
      </c>
      <c r="T96" s="29" t="e">
        <f>S96*ROUND(P96,2)</f>
        <v>#DIV/0!</v>
      </c>
    </row>
    <row r="97" spans="1:20" x14ac:dyDescent="0.2">
      <c r="A97" s="105" t="s">
        <v>321</v>
      </c>
      <c r="B97" s="106" t="s">
        <v>37</v>
      </c>
      <c r="C97" s="106" t="s">
        <v>415</v>
      </c>
      <c r="D97" s="106" t="s">
        <v>445</v>
      </c>
      <c r="E97" s="106" t="s">
        <v>37</v>
      </c>
      <c r="F97" s="107" t="s">
        <v>381</v>
      </c>
      <c r="G97" s="106" t="s">
        <v>325</v>
      </c>
      <c r="H97" s="106" t="s">
        <v>237</v>
      </c>
      <c r="I97" s="106" t="s">
        <v>9</v>
      </c>
      <c r="J97" s="106" t="s">
        <v>231</v>
      </c>
      <c r="K97" s="106"/>
      <c r="L97" s="108">
        <v>110.9</v>
      </c>
      <c r="M97" s="108">
        <f>L97*VLOOKUP(I97,dagsoorttabel1,2,FALSE)</f>
        <v>110.9</v>
      </c>
      <c r="N97" s="109">
        <f>prodnorm43</f>
        <v>0</v>
      </c>
      <c r="O97" s="106" t="s">
        <v>105</v>
      </c>
      <c r="P97" s="28">
        <f>uurtarief43</f>
        <v>0</v>
      </c>
      <c r="Q97" s="108" t="e">
        <f>IF(ISBLANK(N97),0,M97/ROUND(N97,4))</f>
        <v>#DIV/0!</v>
      </c>
      <c r="R97" s="28" t="e">
        <f>ROUND(P97,2)*Q97</f>
        <v>#DIV/0!</v>
      </c>
      <c r="S97" s="108" t="e">
        <f>Q97*dagenperjaar1</f>
        <v>#DIV/0!</v>
      </c>
      <c r="T97" s="29" t="e">
        <f>S97*ROUND(P97,2)</f>
        <v>#DIV/0!</v>
      </c>
    </row>
    <row r="98" spans="1:20" x14ac:dyDescent="0.2">
      <c r="A98" s="105" t="s">
        <v>321</v>
      </c>
      <c r="B98" s="106" t="s">
        <v>37</v>
      </c>
      <c r="C98" s="106" t="s">
        <v>415</v>
      </c>
      <c r="D98" s="106" t="s">
        <v>446</v>
      </c>
      <c r="E98" s="106" t="s">
        <v>37</v>
      </c>
      <c r="F98" s="107" t="s">
        <v>393</v>
      </c>
      <c r="G98" s="106" t="s">
        <v>325</v>
      </c>
      <c r="H98" s="106" t="s">
        <v>237</v>
      </c>
      <c r="I98" s="106" t="s">
        <v>9</v>
      </c>
      <c r="J98" s="106" t="s">
        <v>231</v>
      </c>
      <c r="K98" s="106"/>
      <c r="L98" s="108">
        <v>14.8</v>
      </c>
      <c r="M98" s="108">
        <f>L98*VLOOKUP(I98,dagsoorttabel1,2,FALSE)</f>
        <v>14.8</v>
      </c>
      <c r="N98" s="109">
        <f>prodnorm43</f>
        <v>0</v>
      </c>
      <c r="O98" s="106" t="s">
        <v>105</v>
      </c>
      <c r="P98" s="28">
        <f>uurtarief43</f>
        <v>0</v>
      </c>
      <c r="Q98" s="108" t="e">
        <f>IF(ISBLANK(N98),0,M98/ROUND(N98,4))</f>
        <v>#DIV/0!</v>
      </c>
      <c r="R98" s="28" t="e">
        <f>ROUND(P98,2)*Q98</f>
        <v>#DIV/0!</v>
      </c>
      <c r="S98" s="108" t="e">
        <f>Q98*dagenperjaar1</f>
        <v>#DIV/0!</v>
      </c>
      <c r="T98" s="29" t="e">
        <f>S98*ROUND(P98,2)</f>
        <v>#DIV/0!</v>
      </c>
    </row>
    <row r="99" spans="1:20" x14ac:dyDescent="0.2">
      <c r="A99" s="105" t="s">
        <v>321</v>
      </c>
      <c r="B99" s="106" t="s">
        <v>37</v>
      </c>
      <c r="C99" s="106" t="s">
        <v>415</v>
      </c>
      <c r="D99" s="106" t="s">
        <v>447</v>
      </c>
      <c r="E99" s="106" t="s">
        <v>37</v>
      </c>
      <c r="F99" s="107" t="s">
        <v>393</v>
      </c>
      <c r="G99" s="106" t="s">
        <v>325</v>
      </c>
      <c r="H99" s="106" t="s">
        <v>237</v>
      </c>
      <c r="I99" s="106" t="s">
        <v>9</v>
      </c>
      <c r="J99" s="106" t="s">
        <v>231</v>
      </c>
      <c r="K99" s="106"/>
      <c r="L99" s="108">
        <v>17</v>
      </c>
      <c r="M99" s="108">
        <f>L99*VLOOKUP(I99,dagsoorttabel1,2,FALSE)</f>
        <v>17</v>
      </c>
      <c r="N99" s="109">
        <f>prodnorm43</f>
        <v>0</v>
      </c>
      <c r="O99" s="106" t="s">
        <v>105</v>
      </c>
      <c r="P99" s="28">
        <f>uurtarief43</f>
        <v>0</v>
      </c>
      <c r="Q99" s="108" t="e">
        <f>IF(ISBLANK(N99),0,M99/ROUND(N99,4))</f>
        <v>#DIV/0!</v>
      </c>
      <c r="R99" s="28" t="e">
        <f>ROUND(P99,2)*Q99</f>
        <v>#DIV/0!</v>
      </c>
      <c r="S99" s="108" t="e">
        <f>Q99*dagenperjaar1</f>
        <v>#DIV/0!</v>
      </c>
      <c r="T99" s="29" t="e">
        <f>S99*ROUND(P99,2)</f>
        <v>#DIV/0!</v>
      </c>
    </row>
    <row r="100" spans="1:20" x14ac:dyDescent="0.2">
      <c r="A100" s="105" t="s">
        <v>321</v>
      </c>
      <c r="B100" s="106" t="s">
        <v>37</v>
      </c>
      <c r="C100" s="106" t="s">
        <v>415</v>
      </c>
      <c r="D100" s="106" t="s">
        <v>448</v>
      </c>
      <c r="E100" s="106" t="s">
        <v>37</v>
      </c>
      <c r="F100" s="107" t="s">
        <v>381</v>
      </c>
      <c r="G100" s="106" t="s">
        <v>325</v>
      </c>
      <c r="H100" s="106" t="s">
        <v>237</v>
      </c>
      <c r="I100" s="106" t="s">
        <v>9</v>
      </c>
      <c r="J100" s="106" t="s">
        <v>231</v>
      </c>
      <c r="K100" s="106"/>
      <c r="L100" s="108">
        <v>124.46000000000001</v>
      </c>
      <c r="M100" s="108">
        <f>L100*VLOOKUP(I100,dagsoorttabel1,2,FALSE)</f>
        <v>124.46000000000001</v>
      </c>
      <c r="N100" s="109">
        <f>prodnorm43</f>
        <v>0</v>
      </c>
      <c r="O100" s="106" t="s">
        <v>105</v>
      </c>
      <c r="P100" s="28">
        <f>uurtarief43</f>
        <v>0</v>
      </c>
      <c r="Q100" s="108" t="e">
        <f>IF(ISBLANK(N100),0,M100/ROUND(N100,4))</f>
        <v>#DIV/0!</v>
      </c>
      <c r="R100" s="28" t="e">
        <f>ROUND(P100,2)*Q100</f>
        <v>#DIV/0!</v>
      </c>
      <c r="S100" s="108" t="e">
        <f>Q100*dagenperjaar1</f>
        <v>#DIV/0!</v>
      </c>
      <c r="T100" s="29" t="e">
        <f>S100*ROUND(P100,2)</f>
        <v>#DIV/0!</v>
      </c>
    </row>
    <row r="101" spans="1:20" x14ac:dyDescent="0.2">
      <c r="A101" s="105" t="s">
        <v>321</v>
      </c>
      <c r="B101" s="106" t="s">
        <v>37</v>
      </c>
      <c r="C101" s="106" t="s">
        <v>415</v>
      </c>
      <c r="D101" s="106" t="s">
        <v>449</v>
      </c>
      <c r="E101" s="106" t="s">
        <v>37</v>
      </c>
      <c r="F101" s="107" t="s">
        <v>384</v>
      </c>
      <c r="G101" s="106" t="s">
        <v>325</v>
      </c>
      <c r="H101" s="106" t="s">
        <v>237</v>
      </c>
      <c r="I101" s="106" t="s">
        <v>9</v>
      </c>
      <c r="J101" s="106" t="s">
        <v>231</v>
      </c>
      <c r="K101" s="106"/>
      <c r="L101" s="108">
        <v>3.07</v>
      </c>
      <c r="M101" s="108">
        <f>L101*VLOOKUP(I101,dagsoorttabel1,2,FALSE)</f>
        <v>3.07</v>
      </c>
      <c r="N101" s="109">
        <f>prodnorm43</f>
        <v>0</v>
      </c>
      <c r="O101" s="106" t="s">
        <v>105</v>
      </c>
      <c r="P101" s="28">
        <f>uurtarief43</f>
        <v>0</v>
      </c>
      <c r="Q101" s="108" t="e">
        <f>IF(ISBLANK(N101),0,M101/ROUND(N101,4))</f>
        <v>#DIV/0!</v>
      </c>
      <c r="R101" s="28" t="e">
        <f>ROUND(P101,2)*Q101</f>
        <v>#DIV/0!</v>
      </c>
      <c r="S101" s="108" t="e">
        <f>Q101*dagenperjaar1</f>
        <v>#DIV/0!</v>
      </c>
      <c r="T101" s="29" t="e">
        <f>S101*ROUND(P101,2)</f>
        <v>#DIV/0!</v>
      </c>
    </row>
    <row r="102" spans="1:20" x14ac:dyDescent="0.2">
      <c r="A102" s="105" t="s">
        <v>321</v>
      </c>
      <c r="B102" s="106" t="s">
        <v>37</v>
      </c>
      <c r="C102" s="106" t="s">
        <v>415</v>
      </c>
      <c r="D102" s="106" t="s">
        <v>450</v>
      </c>
      <c r="E102" s="106" t="s">
        <v>37</v>
      </c>
      <c r="F102" s="107" t="s">
        <v>384</v>
      </c>
      <c r="G102" s="106" t="s">
        <v>325</v>
      </c>
      <c r="H102" s="106" t="s">
        <v>237</v>
      </c>
      <c r="I102" s="106" t="s">
        <v>9</v>
      </c>
      <c r="J102" s="106" t="s">
        <v>231</v>
      </c>
      <c r="K102" s="106"/>
      <c r="L102" s="108">
        <v>3.07</v>
      </c>
      <c r="M102" s="108">
        <f>L102*VLOOKUP(I102,dagsoorttabel1,2,FALSE)</f>
        <v>3.07</v>
      </c>
      <c r="N102" s="109">
        <f>prodnorm43</f>
        <v>0</v>
      </c>
      <c r="O102" s="106" t="s">
        <v>105</v>
      </c>
      <c r="P102" s="28">
        <f>uurtarief43</f>
        <v>0</v>
      </c>
      <c r="Q102" s="108" t="e">
        <f>IF(ISBLANK(N102),0,M102/ROUND(N102,4))</f>
        <v>#DIV/0!</v>
      </c>
      <c r="R102" s="28" t="e">
        <f>ROUND(P102,2)*Q102</f>
        <v>#DIV/0!</v>
      </c>
      <c r="S102" s="108" t="e">
        <f>Q102*dagenperjaar1</f>
        <v>#DIV/0!</v>
      </c>
      <c r="T102" s="29" t="e">
        <f>S102*ROUND(P102,2)</f>
        <v>#DIV/0!</v>
      </c>
    </row>
    <row r="103" spans="1:20" x14ac:dyDescent="0.2">
      <c r="A103" s="105" t="s">
        <v>321</v>
      </c>
      <c r="B103" s="106" t="s">
        <v>37</v>
      </c>
      <c r="C103" s="106" t="s">
        <v>415</v>
      </c>
      <c r="D103" s="106" t="s">
        <v>451</v>
      </c>
      <c r="E103" s="106" t="s">
        <v>37</v>
      </c>
      <c r="F103" s="107" t="s">
        <v>345</v>
      </c>
      <c r="G103" s="106" t="s">
        <v>379</v>
      </c>
      <c r="H103" s="106" t="s">
        <v>273</v>
      </c>
      <c r="I103" s="106" t="s">
        <v>9</v>
      </c>
      <c r="J103" s="106" t="s">
        <v>231</v>
      </c>
      <c r="K103" s="106"/>
      <c r="L103" s="108">
        <v>4.5999999999999996</v>
      </c>
      <c r="M103" s="108">
        <f>L103*VLOOKUP(I103,dagsoorttabel1,2,FALSE)</f>
        <v>4.5999999999999996</v>
      </c>
      <c r="N103" s="109">
        <f>prodnorm113</f>
        <v>0</v>
      </c>
      <c r="O103" s="106" t="s">
        <v>105</v>
      </c>
      <c r="P103" s="28">
        <f>uurtarief113</f>
        <v>0</v>
      </c>
      <c r="Q103" s="108" t="e">
        <f>IF(ISBLANK(N103),0,M103/ROUND(N103,4))</f>
        <v>#DIV/0!</v>
      </c>
      <c r="R103" s="28" t="e">
        <f>ROUND(P103,2)*Q103</f>
        <v>#DIV/0!</v>
      </c>
      <c r="S103" s="108" t="e">
        <f>Q103*dagenperjaar1</f>
        <v>#DIV/0!</v>
      </c>
      <c r="T103" s="29" t="e">
        <f>S103*ROUND(P103,2)</f>
        <v>#DIV/0!</v>
      </c>
    </row>
    <row r="104" spans="1:20" x14ac:dyDescent="0.2">
      <c r="A104" s="105" t="s">
        <v>321</v>
      </c>
      <c r="B104" s="106" t="s">
        <v>37</v>
      </c>
      <c r="C104" s="106" t="s">
        <v>415</v>
      </c>
      <c r="D104" s="106" t="s">
        <v>452</v>
      </c>
      <c r="E104" s="106" t="s">
        <v>37</v>
      </c>
      <c r="F104" s="107" t="s">
        <v>418</v>
      </c>
      <c r="G104" s="106" t="s">
        <v>379</v>
      </c>
      <c r="H104" s="106" t="s">
        <v>290</v>
      </c>
      <c r="I104" s="106" t="s">
        <v>9</v>
      </c>
      <c r="J104" s="106" t="s">
        <v>231</v>
      </c>
      <c r="K104" s="106"/>
      <c r="L104" s="108">
        <v>8.9</v>
      </c>
      <c r="M104" s="108">
        <f>L104*VLOOKUP(I104,dagsoorttabel1,2,FALSE)</f>
        <v>8.9</v>
      </c>
      <c r="N104" s="109">
        <f>prodnorm146</f>
        <v>0</v>
      </c>
      <c r="O104" s="106" t="s">
        <v>105</v>
      </c>
      <c r="P104" s="28">
        <f>uurtarief146</f>
        <v>0</v>
      </c>
      <c r="Q104" s="108" t="e">
        <f>IF(ISBLANK(N104),0,M104/ROUND(N104,4))</f>
        <v>#DIV/0!</v>
      </c>
      <c r="R104" s="28" t="e">
        <f>ROUND(P104,2)*Q104</f>
        <v>#DIV/0!</v>
      </c>
      <c r="S104" s="108" t="e">
        <f>Q104*dagenperjaar1</f>
        <v>#DIV/0!</v>
      </c>
      <c r="T104" s="29" t="e">
        <f>S104*ROUND(P104,2)</f>
        <v>#DIV/0!</v>
      </c>
    </row>
    <row r="105" spans="1:20" x14ac:dyDescent="0.2">
      <c r="A105" s="105" t="s">
        <v>321</v>
      </c>
      <c r="B105" s="106" t="s">
        <v>37</v>
      </c>
      <c r="C105" s="106" t="s">
        <v>415</v>
      </c>
      <c r="D105" s="106" t="s">
        <v>453</v>
      </c>
      <c r="E105" s="106" t="s">
        <v>37</v>
      </c>
      <c r="F105" s="107" t="s">
        <v>454</v>
      </c>
      <c r="G105" s="106" t="s">
        <v>325</v>
      </c>
      <c r="H105" s="106" t="s">
        <v>275</v>
      </c>
      <c r="I105" s="106" t="s">
        <v>9</v>
      </c>
      <c r="J105" s="106" t="s">
        <v>231</v>
      </c>
      <c r="K105" s="106"/>
      <c r="L105" s="108">
        <v>3.1</v>
      </c>
      <c r="M105" s="108">
        <f>L105*VLOOKUP(I105,dagsoorttabel1,2,FALSE)</f>
        <v>3.1</v>
      </c>
      <c r="N105" s="109">
        <f>prodnorm118</f>
        <v>0</v>
      </c>
      <c r="O105" s="106" t="s">
        <v>105</v>
      </c>
      <c r="P105" s="28">
        <f>uurtarief118</f>
        <v>0</v>
      </c>
      <c r="Q105" s="108" t="e">
        <f>IF(ISBLANK(N105),0,M105/ROUND(N105,4))</f>
        <v>#DIV/0!</v>
      </c>
      <c r="R105" s="28" t="e">
        <f>ROUND(P105,2)*Q105</f>
        <v>#DIV/0!</v>
      </c>
      <c r="S105" s="108" t="e">
        <f>Q105*dagenperjaar1</f>
        <v>#DIV/0!</v>
      </c>
      <c r="T105" s="29" t="e">
        <f>S105*ROUND(P105,2)</f>
        <v>#DIV/0!</v>
      </c>
    </row>
    <row r="106" spans="1:20" x14ac:dyDescent="0.2">
      <c r="A106" s="105" t="s">
        <v>321</v>
      </c>
      <c r="B106" s="106" t="s">
        <v>37</v>
      </c>
      <c r="C106" s="106" t="s">
        <v>415</v>
      </c>
      <c r="D106" s="106" t="s">
        <v>455</v>
      </c>
      <c r="E106" s="106" t="s">
        <v>37</v>
      </c>
      <c r="F106" s="107" t="s">
        <v>360</v>
      </c>
      <c r="G106" s="106" t="s">
        <v>346</v>
      </c>
      <c r="H106" s="106" t="s">
        <v>267</v>
      </c>
      <c r="I106" s="106" t="s">
        <v>9</v>
      </c>
      <c r="J106" s="106" t="s">
        <v>231</v>
      </c>
      <c r="K106" s="106"/>
      <c r="L106" s="108">
        <v>6</v>
      </c>
      <c r="M106" s="108">
        <f>L106*VLOOKUP(I106,dagsoorttabel1,2,FALSE)</f>
        <v>6</v>
      </c>
      <c r="N106" s="109">
        <f>prodnorm101</f>
        <v>0</v>
      </c>
      <c r="O106" s="106" t="s">
        <v>105</v>
      </c>
      <c r="P106" s="28">
        <f>uurtarief101</f>
        <v>0</v>
      </c>
      <c r="Q106" s="108" t="e">
        <f>IF(ISBLANK(N106),0,M106/ROUND(N106,4))</f>
        <v>#DIV/0!</v>
      </c>
      <c r="R106" s="28" t="e">
        <f>ROUND(P106,2)*Q106</f>
        <v>#DIV/0!</v>
      </c>
      <c r="S106" s="108" t="e">
        <f>Q106*dagenperjaar1</f>
        <v>#DIV/0!</v>
      </c>
      <c r="T106" s="29" t="e">
        <f>S106*ROUND(P106,2)</f>
        <v>#DIV/0!</v>
      </c>
    </row>
    <row r="107" spans="1:20" x14ac:dyDescent="0.2">
      <c r="A107" s="105" t="s">
        <v>321</v>
      </c>
      <c r="B107" s="106" t="s">
        <v>37</v>
      </c>
      <c r="C107" s="106" t="s">
        <v>415</v>
      </c>
      <c r="D107" s="106" t="s">
        <v>455</v>
      </c>
      <c r="E107" s="106" t="s">
        <v>37</v>
      </c>
      <c r="F107" s="107" t="s">
        <v>360</v>
      </c>
      <c r="G107" s="106" t="s">
        <v>346</v>
      </c>
      <c r="H107" s="106" t="s">
        <v>269</v>
      </c>
      <c r="I107" s="106" t="s">
        <v>9</v>
      </c>
      <c r="J107" s="106" t="s">
        <v>231</v>
      </c>
      <c r="K107" s="106"/>
      <c r="L107" s="108">
        <v>6</v>
      </c>
      <c r="M107" s="108">
        <f>L107*VLOOKUP(I107,dagsoorttabel1,2,FALSE)</f>
        <v>6</v>
      </c>
      <c r="N107" s="109">
        <f>prodnorm103</f>
        <v>0</v>
      </c>
      <c r="O107" s="106" t="s">
        <v>105</v>
      </c>
      <c r="P107" s="28">
        <f>uurtarief103</f>
        <v>0</v>
      </c>
      <c r="Q107" s="108" t="e">
        <f>IF(ISBLANK(N107),0,M107/ROUND(N107,4))</f>
        <v>#DIV/0!</v>
      </c>
      <c r="R107" s="28" t="e">
        <f>ROUND(P107,2)*Q107</f>
        <v>#DIV/0!</v>
      </c>
      <c r="S107" s="108" t="e">
        <f>Q107*dagenperjaar1</f>
        <v>#DIV/0!</v>
      </c>
      <c r="T107" s="29" t="e">
        <f>S107*ROUND(P107,2)</f>
        <v>#DIV/0!</v>
      </c>
    </row>
    <row r="108" spans="1:20" x14ac:dyDescent="0.2">
      <c r="A108" s="105" t="s">
        <v>321</v>
      </c>
      <c r="B108" s="106" t="s">
        <v>37</v>
      </c>
      <c r="C108" s="106" t="s">
        <v>415</v>
      </c>
      <c r="D108" s="106" t="s">
        <v>456</v>
      </c>
      <c r="E108" s="106" t="s">
        <v>37</v>
      </c>
      <c r="F108" s="107" t="s">
        <v>364</v>
      </c>
      <c r="G108" s="106" t="s">
        <v>346</v>
      </c>
      <c r="H108" s="106" t="s">
        <v>267</v>
      </c>
      <c r="I108" s="106" t="s">
        <v>9</v>
      </c>
      <c r="J108" s="106" t="s">
        <v>231</v>
      </c>
      <c r="K108" s="106"/>
      <c r="L108" s="108">
        <v>6</v>
      </c>
      <c r="M108" s="108">
        <f>L108*VLOOKUP(I108,dagsoorttabel1,2,FALSE)</f>
        <v>6</v>
      </c>
      <c r="N108" s="109">
        <f>prodnorm101</f>
        <v>0</v>
      </c>
      <c r="O108" s="106" t="s">
        <v>105</v>
      </c>
      <c r="P108" s="28">
        <f>uurtarief101</f>
        <v>0</v>
      </c>
      <c r="Q108" s="108" t="e">
        <f>IF(ISBLANK(N108),0,M108/ROUND(N108,4))</f>
        <v>#DIV/0!</v>
      </c>
      <c r="R108" s="28" t="e">
        <f>ROUND(P108,2)*Q108</f>
        <v>#DIV/0!</v>
      </c>
      <c r="S108" s="108" t="e">
        <f>Q108*dagenperjaar1</f>
        <v>#DIV/0!</v>
      </c>
      <c r="T108" s="29" t="e">
        <f>S108*ROUND(P108,2)</f>
        <v>#DIV/0!</v>
      </c>
    </row>
    <row r="109" spans="1:20" x14ac:dyDescent="0.2">
      <c r="A109" s="105" t="s">
        <v>321</v>
      </c>
      <c r="B109" s="106" t="s">
        <v>37</v>
      </c>
      <c r="C109" s="106" t="s">
        <v>415</v>
      </c>
      <c r="D109" s="106" t="s">
        <v>456</v>
      </c>
      <c r="E109" s="106" t="s">
        <v>37</v>
      </c>
      <c r="F109" s="107" t="s">
        <v>364</v>
      </c>
      <c r="G109" s="106" t="s">
        <v>346</v>
      </c>
      <c r="H109" s="106" t="s">
        <v>269</v>
      </c>
      <c r="I109" s="106" t="s">
        <v>9</v>
      </c>
      <c r="J109" s="106" t="s">
        <v>231</v>
      </c>
      <c r="K109" s="106"/>
      <c r="L109" s="108">
        <v>6</v>
      </c>
      <c r="M109" s="108">
        <f>L109*VLOOKUP(I109,dagsoorttabel1,2,FALSE)</f>
        <v>6</v>
      </c>
      <c r="N109" s="109">
        <f>prodnorm103</f>
        <v>0</v>
      </c>
      <c r="O109" s="106" t="s">
        <v>105</v>
      </c>
      <c r="P109" s="28">
        <f>uurtarief103</f>
        <v>0</v>
      </c>
      <c r="Q109" s="108" t="e">
        <f>IF(ISBLANK(N109),0,M109/ROUND(N109,4))</f>
        <v>#DIV/0!</v>
      </c>
      <c r="R109" s="28" t="e">
        <f>ROUND(P109,2)*Q109</f>
        <v>#DIV/0!</v>
      </c>
      <c r="S109" s="108" t="e">
        <f>Q109*dagenperjaar1</f>
        <v>#DIV/0!</v>
      </c>
      <c r="T109" s="29" t="e">
        <f>S109*ROUND(P109,2)</f>
        <v>#DIV/0!</v>
      </c>
    </row>
    <row r="110" spans="1:20" x14ac:dyDescent="0.2">
      <c r="A110" s="105" t="s">
        <v>321</v>
      </c>
      <c r="B110" s="106" t="s">
        <v>37</v>
      </c>
      <c r="C110" s="106" t="s">
        <v>415</v>
      </c>
      <c r="D110" s="106" t="s">
        <v>457</v>
      </c>
      <c r="E110" s="106" t="s">
        <v>37</v>
      </c>
      <c r="F110" s="107" t="s">
        <v>381</v>
      </c>
      <c r="G110" s="106" t="s">
        <v>325</v>
      </c>
      <c r="H110" s="106" t="s">
        <v>237</v>
      </c>
      <c r="I110" s="106" t="s">
        <v>9</v>
      </c>
      <c r="J110" s="106" t="s">
        <v>231</v>
      </c>
      <c r="K110" s="106"/>
      <c r="L110" s="108">
        <v>49.9</v>
      </c>
      <c r="M110" s="108">
        <f>L110*VLOOKUP(I110,dagsoorttabel1,2,FALSE)</f>
        <v>49.9</v>
      </c>
      <c r="N110" s="109">
        <f>prodnorm43</f>
        <v>0</v>
      </c>
      <c r="O110" s="106" t="s">
        <v>105</v>
      </c>
      <c r="P110" s="28">
        <f>uurtarief43</f>
        <v>0</v>
      </c>
      <c r="Q110" s="108" t="e">
        <f>IF(ISBLANK(N110),0,M110/ROUND(N110,4))</f>
        <v>#DIV/0!</v>
      </c>
      <c r="R110" s="28" t="e">
        <f>ROUND(P110,2)*Q110</f>
        <v>#DIV/0!</v>
      </c>
      <c r="S110" s="108" t="e">
        <f>Q110*dagenperjaar1</f>
        <v>#DIV/0!</v>
      </c>
      <c r="T110" s="29" t="e">
        <f>S110*ROUND(P110,2)</f>
        <v>#DIV/0!</v>
      </c>
    </row>
    <row r="111" spans="1:20" x14ac:dyDescent="0.2">
      <c r="A111" s="105" t="s">
        <v>321</v>
      </c>
      <c r="B111" s="106" t="s">
        <v>37</v>
      </c>
      <c r="C111" s="106" t="s">
        <v>415</v>
      </c>
      <c r="D111" s="106" t="s">
        <v>458</v>
      </c>
      <c r="E111" s="106" t="s">
        <v>37</v>
      </c>
      <c r="F111" s="107" t="s">
        <v>378</v>
      </c>
      <c r="G111" s="106" t="s">
        <v>325</v>
      </c>
      <c r="H111" s="106" t="s">
        <v>259</v>
      </c>
      <c r="I111" s="106" t="s">
        <v>9</v>
      </c>
      <c r="J111" s="106" t="s">
        <v>231</v>
      </c>
      <c r="K111" s="106"/>
      <c r="L111" s="108">
        <v>105.7</v>
      </c>
      <c r="M111" s="108">
        <f>L111*VLOOKUP(I111,dagsoorttabel1,2,FALSE)</f>
        <v>105.7</v>
      </c>
      <c r="N111" s="109">
        <f>prodnorm82</f>
        <v>0</v>
      </c>
      <c r="O111" s="106" t="s">
        <v>105</v>
      </c>
      <c r="P111" s="28">
        <f>uurtarief82</f>
        <v>0</v>
      </c>
      <c r="Q111" s="108" t="e">
        <f>IF(ISBLANK(N111),0,M111/ROUND(N111,4))</f>
        <v>#DIV/0!</v>
      </c>
      <c r="R111" s="28" t="e">
        <f>ROUND(P111,2)*Q111</f>
        <v>#DIV/0!</v>
      </c>
      <c r="S111" s="108" t="e">
        <f>Q111*dagenperjaar1</f>
        <v>#DIV/0!</v>
      </c>
      <c r="T111" s="29" t="e">
        <f>S111*ROUND(P111,2)</f>
        <v>#DIV/0!</v>
      </c>
    </row>
    <row r="112" spans="1:20" x14ac:dyDescent="0.2">
      <c r="A112" s="105" t="s">
        <v>321</v>
      </c>
      <c r="B112" s="106" t="s">
        <v>37</v>
      </c>
      <c r="C112" s="106" t="s">
        <v>415</v>
      </c>
      <c r="D112" s="106" t="s">
        <v>459</v>
      </c>
      <c r="E112" s="106" t="s">
        <v>37</v>
      </c>
      <c r="F112" s="107" t="s">
        <v>435</v>
      </c>
      <c r="G112" s="106" t="s">
        <v>325</v>
      </c>
      <c r="H112" s="106" t="s">
        <v>243</v>
      </c>
      <c r="I112" s="106" t="s">
        <v>9</v>
      </c>
      <c r="J112" s="106" t="s">
        <v>231</v>
      </c>
      <c r="K112" s="106"/>
      <c r="L112" s="108">
        <v>29.1</v>
      </c>
      <c r="M112" s="108">
        <f>L112*VLOOKUP(I112,dagsoorttabel1,2,FALSE)</f>
        <v>29.1</v>
      </c>
      <c r="N112" s="109">
        <f>prodnorm51</f>
        <v>0</v>
      </c>
      <c r="O112" s="106" t="s">
        <v>105</v>
      </c>
      <c r="P112" s="28">
        <f>uurtarief51</f>
        <v>0</v>
      </c>
      <c r="Q112" s="108" t="e">
        <f>IF(ISBLANK(N112),0,M112/ROUND(N112,4))</f>
        <v>#DIV/0!</v>
      </c>
      <c r="R112" s="28" t="e">
        <f>ROUND(P112,2)*Q112</f>
        <v>#DIV/0!</v>
      </c>
      <c r="S112" s="108" t="e">
        <f>Q112*dagenperjaar1</f>
        <v>#DIV/0!</v>
      </c>
      <c r="T112" s="29" t="e">
        <f>S112*ROUND(P112,2)</f>
        <v>#DIV/0!</v>
      </c>
    </row>
    <row r="113" spans="1:20" x14ac:dyDescent="0.2">
      <c r="A113" s="105" t="s">
        <v>321</v>
      </c>
      <c r="B113" s="106" t="s">
        <v>37</v>
      </c>
      <c r="C113" s="106" t="s">
        <v>415</v>
      </c>
      <c r="D113" s="106" t="s">
        <v>460</v>
      </c>
      <c r="E113" s="106" t="s">
        <v>37</v>
      </c>
      <c r="F113" s="107" t="s">
        <v>337</v>
      </c>
      <c r="G113" s="106" t="s">
        <v>325</v>
      </c>
      <c r="H113" s="106" t="s">
        <v>243</v>
      </c>
      <c r="I113" s="106" t="s">
        <v>9</v>
      </c>
      <c r="J113" s="106" t="s">
        <v>231</v>
      </c>
      <c r="K113" s="106"/>
      <c r="L113" s="108">
        <v>26.9</v>
      </c>
      <c r="M113" s="108">
        <f>L113*VLOOKUP(I113,dagsoorttabel1,2,FALSE)</f>
        <v>26.9</v>
      </c>
      <c r="N113" s="109">
        <f>prodnorm51</f>
        <v>0</v>
      </c>
      <c r="O113" s="106" t="s">
        <v>105</v>
      </c>
      <c r="P113" s="28">
        <f>uurtarief51</f>
        <v>0</v>
      </c>
      <c r="Q113" s="108" t="e">
        <f>IF(ISBLANK(N113),0,M113/ROUND(N113,4))</f>
        <v>#DIV/0!</v>
      </c>
      <c r="R113" s="28" t="e">
        <f>ROUND(P113,2)*Q113</f>
        <v>#DIV/0!</v>
      </c>
      <c r="S113" s="108" t="e">
        <f>Q113*dagenperjaar1</f>
        <v>#DIV/0!</v>
      </c>
      <c r="T113" s="29" t="e">
        <f>S113*ROUND(P113,2)</f>
        <v>#DIV/0!</v>
      </c>
    </row>
    <row r="114" spans="1:20" x14ac:dyDescent="0.2">
      <c r="A114" s="105" t="s">
        <v>321</v>
      </c>
      <c r="B114" s="106" t="s">
        <v>37</v>
      </c>
      <c r="C114" s="106" t="s">
        <v>415</v>
      </c>
      <c r="D114" s="106" t="s">
        <v>461</v>
      </c>
      <c r="E114" s="106" t="s">
        <v>37</v>
      </c>
      <c r="F114" s="107" t="s">
        <v>337</v>
      </c>
      <c r="G114" s="106" t="s">
        <v>325</v>
      </c>
      <c r="H114" s="106" t="s">
        <v>243</v>
      </c>
      <c r="I114" s="106" t="s">
        <v>9</v>
      </c>
      <c r="J114" s="106" t="s">
        <v>231</v>
      </c>
      <c r="K114" s="106"/>
      <c r="L114" s="108">
        <v>40.299999999999997</v>
      </c>
      <c r="M114" s="108">
        <f>L114*VLOOKUP(I114,dagsoorttabel1,2,FALSE)</f>
        <v>40.299999999999997</v>
      </c>
      <c r="N114" s="109">
        <f>prodnorm51</f>
        <v>0</v>
      </c>
      <c r="O114" s="106" t="s">
        <v>105</v>
      </c>
      <c r="P114" s="28">
        <f>uurtarief51</f>
        <v>0</v>
      </c>
      <c r="Q114" s="108" t="e">
        <f>IF(ISBLANK(N114),0,M114/ROUND(N114,4))</f>
        <v>#DIV/0!</v>
      </c>
      <c r="R114" s="28" t="e">
        <f>ROUND(P114,2)*Q114</f>
        <v>#DIV/0!</v>
      </c>
      <c r="S114" s="108" t="e">
        <f>Q114*dagenperjaar1</f>
        <v>#DIV/0!</v>
      </c>
      <c r="T114" s="29" t="e">
        <f>S114*ROUND(P114,2)</f>
        <v>#DIV/0!</v>
      </c>
    </row>
    <row r="115" spans="1:20" x14ac:dyDescent="0.2">
      <c r="A115" s="105" t="s">
        <v>321</v>
      </c>
      <c r="B115" s="106" t="s">
        <v>37</v>
      </c>
      <c r="C115" s="106" t="s">
        <v>462</v>
      </c>
      <c r="D115" s="106" t="s">
        <v>463</v>
      </c>
      <c r="E115" s="106" t="s">
        <v>37</v>
      </c>
      <c r="F115" s="107" t="s">
        <v>345</v>
      </c>
      <c r="G115" s="106" t="s">
        <v>325</v>
      </c>
      <c r="H115" s="106" t="s">
        <v>275</v>
      </c>
      <c r="I115" s="106" t="s">
        <v>9</v>
      </c>
      <c r="J115" s="106" t="s">
        <v>231</v>
      </c>
      <c r="K115" s="106"/>
      <c r="L115" s="108">
        <v>8.5</v>
      </c>
      <c r="M115" s="108">
        <f>L115*VLOOKUP(I115,dagsoorttabel1,2,FALSE)</f>
        <v>8.5</v>
      </c>
      <c r="N115" s="109">
        <f>prodnorm118</f>
        <v>0</v>
      </c>
      <c r="O115" s="106" t="s">
        <v>105</v>
      </c>
      <c r="P115" s="28">
        <f>uurtarief118</f>
        <v>0</v>
      </c>
      <c r="Q115" s="108" t="e">
        <f>IF(ISBLANK(N115),0,M115/ROUND(N115,4))</f>
        <v>#DIV/0!</v>
      </c>
      <c r="R115" s="28" t="e">
        <f>ROUND(P115,2)*Q115</f>
        <v>#DIV/0!</v>
      </c>
      <c r="S115" s="108" t="e">
        <f>Q115*dagenperjaar1</f>
        <v>#DIV/0!</v>
      </c>
      <c r="T115" s="29" t="e">
        <f>S115*ROUND(P115,2)</f>
        <v>#DIV/0!</v>
      </c>
    </row>
    <row r="116" spans="1:20" x14ac:dyDescent="0.2">
      <c r="A116" s="105" t="s">
        <v>321</v>
      </c>
      <c r="B116" s="106" t="s">
        <v>37</v>
      </c>
      <c r="C116" s="106" t="s">
        <v>462</v>
      </c>
      <c r="D116" s="106" t="s">
        <v>464</v>
      </c>
      <c r="E116" s="106" t="s">
        <v>37</v>
      </c>
      <c r="F116" s="107" t="s">
        <v>465</v>
      </c>
      <c r="G116" s="106" t="s">
        <v>325</v>
      </c>
      <c r="H116" s="106" t="s">
        <v>292</v>
      </c>
      <c r="I116" s="106" t="s">
        <v>9</v>
      </c>
      <c r="J116" s="106" t="s">
        <v>231</v>
      </c>
      <c r="K116" s="106"/>
      <c r="L116" s="108">
        <v>8.1999999999999993</v>
      </c>
      <c r="M116" s="108">
        <f>L116*VLOOKUP(I116,dagsoorttabel1,2,FALSE)</f>
        <v>8.1999999999999993</v>
      </c>
      <c r="N116" s="109">
        <f>prodnorm150</f>
        <v>0</v>
      </c>
      <c r="O116" s="106" t="s">
        <v>105</v>
      </c>
      <c r="P116" s="28">
        <f>uurtarief150</f>
        <v>0</v>
      </c>
      <c r="Q116" s="108" t="e">
        <f>IF(ISBLANK(N116),0,M116/ROUND(N116,4))</f>
        <v>#DIV/0!</v>
      </c>
      <c r="R116" s="28" t="e">
        <f>ROUND(P116,2)*Q116</f>
        <v>#DIV/0!</v>
      </c>
      <c r="S116" s="108" t="e">
        <f>Q116*dagenperjaar1</f>
        <v>#DIV/0!</v>
      </c>
      <c r="T116" s="29" t="e">
        <f>S116*ROUND(P116,2)</f>
        <v>#DIV/0!</v>
      </c>
    </row>
    <row r="117" spans="1:20" x14ac:dyDescent="0.2">
      <c r="A117" s="105" t="s">
        <v>321</v>
      </c>
      <c r="B117" s="106" t="s">
        <v>37</v>
      </c>
      <c r="C117" s="106" t="s">
        <v>462</v>
      </c>
      <c r="D117" s="106" t="s">
        <v>466</v>
      </c>
      <c r="E117" s="106" t="s">
        <v>37</v>
      </c>
      <c r="F117" s="107" t="s">
        <v>381</v>
      </c>
      <c r="G117" s="106" t="s">
        <v>325</v>
      </c>
      <c r="H117" s="106" t="s">
        <v>237</v>
      </c>
      <c r="I117" s="106" t="s">
        <v>9</v>
      </c>
      <c r="J117" s="106" t="s">
        <v>231</v>
      </c>
      <c r="K117" s="106"/>
      <c r="L117" s="108">
        <v>132.5</v>
      </c>
      <c r="M117" s="108">
        <f>L117*VLOOKUP(I117,dagsoorttabel1,2,FALSE)</f>
        <v>132.5</v>
      </c>
      <c r="N117" s="109">
        <f>prodnorm43</f>
        <v>0</v>
      </c>
      <c r="O117" s="106" t="s">
        <v>105</v>
      </c>
      <c r="P117" s="28">
        <f>uurtarief43</f>
        <v>0</v>
      </c>
      <c r="Q117" s="108" t="e">
        <f>IF(ISBLANK(N117),0,M117/ROUND(N117,4))</f>
        <v>#DIV/0!</v>
      </c>
      <c r="R117" s="28" t="e">
        <f>ROUND(P117,2)*Q117</f>
        <v>#DIV/0!</v>
      </c>
      <c r="S117" s="108" t="e">
        <f>Q117*dagenperjaar1</f>
        <v>#DIV/0!</v>
      </c>
      <c r="T117" s="29" t="e">
        <f>S117*ROUND(P117,2)</f>
        <v>#DIV/0!</v>
      </c>
    </row>
    <row r="118" spans="1:20" x14ac:dyDescent="0.2">
      <c r="A118" s="105" t="s">
        <v>321</v>
      </c>
      <c r="B118" s="106" t="s">
        <v>37</v>
      </c>
      <c r="C118" s="106" t="s">
        <v>462</v>
      </c>
      <c r="D118" s="106" t="s">
        <v>467</v>
      </c>
      <c r="E118" s="106" t="s">
        <v>37</v>
      </c>
      <c r="F118" s="107" t="s">
        <v>381</v>
      </c>
      <c r="G118" s="106" t="s">
        <v>325</v>
      </c>
      <c r="H118" s="106" t="s">
        <v>237</v>
      </c>
      <c r="I118" s="106" t="s">
        <v>9</v>
      </c>
      <c r="J118" s="106" t="s">
        <v>231</v>
      </c>
      <c r="K118" s="106"/>
      <c r="L118" s="108">
        <v>63.3</v>
      </c>
      <c r="M118" s="108">
        <f>L118*VLOOKUP(I118,dagsoorttabel1,2,FALSE)</f>
        <v>63.3</v>
      </c>
      <c r="N118" s="109">
        <f>prodnorm43</f>
        <v>0</v>
      </c>
      <c r="O118" s="106" t="s">
        <v>105</v>
      </c>
      <c r="P118" s="28">
        <f>uurtarief43</f>
        <v>0</v>
      </c>
      <c r="Q118" s="108" t="e">
        <f>IF(ISBLANK(N118),0,M118/ROUND(N118,4))</f>
        <v>#DIV/0!</v>
      </c>
      <c r="R118" s="28" t="e">
        <f>ROUND(P118,2)*Q118</f>
        <v>#DIV/0!</v>
      </c>
      <c r="S118" s="108" t="e">
        <f>Q118*dagenperjaar1</f>
        <v>#DIV/0!</v>
      </c>
      <c r="T118" s="29" t="e">
        <f>S118*ROUND(P118,2)</f>
        <v>#DIV/0!</v>
      </c>
    </row>
    <row r="119" spans="1:20" x14ac:dyDescent="0.2">
      <c r="A119" s="105" t="s">
        <v>321</v>
      </c>
      <c r="B119" s="106" t="s">
        <v>37</v>
      </c>
      <c r="C119" s="106" t="s">
        <v>462</v>
      </c>
      <c r="D119" s="106" t="s">
        <v>468</v>
      </c>
      <c r="E119" s="106" t="s">
        <v>37</v>
      </c>
      <c r="F119" s="107" t="s">
        <v>393</v>
      </c>
      <c r="G119" s="106" t="s">
        <v>325</v>
      </c>
      <c r="H119" s="106" t="s">
        <v>237</v>
      </c>
      <c r="I119" s="106" t="s">
        <v>9</v>
      </c>
      <c r="J119" s="106" t="s">
        <v>231</v>
      </c>
      <c r="K119" s="106"/>
      <c r="L119" s="108">
        <v>14.7</v>
      </c>
      <c r="M119" s="108">
        <f>L119*VLOOKUP(I119,dagsoorttabel1,2,FALSE)</f>
        <v>14.7</v>
      </c>
      <c r="N119" s="109">
        <f>prodnorm43</f>
        <v>0</v>
      </c>
      <c r="O119" s="106" t="s">
        <v>105</v>
      </c>
      <c r="P119" s="28">
        <f>uurtarief43</f>
        <v>0</v>
      </c>
      <c r="Q119" s="108" t="e">
        <f>IF(ISBLANK(N119),0,M119/ROUND(N119,4))</f>
        <v>#DIV/0!</v>
      </c>
      <c r="R119" s="28" t="e">
        <f>ROUND(P119,2)*Q119</f>
        <v>#DIV/0!</v>
      </c>
      <c r="S119" s="108" t="e">
        <f>Q119*dagenperjaar1</f>
        <v>#DIV/0!</v>
      </c>
      <c r="T119" s="29" t="e">
        <f>S119*ROUND(P119,2)</f>
        <v>#DIV/0!</v>
      </c>
    </row>
    <row r="120" spans="1:20" x14ac:dyDescent="0.2">
      <c r="A120" s="105" t="s">
        <v>321</v>
      </c>
      <c r="B120" s="106" t="s">
        <v>37</v>
      </c>
      <c r="C120" s="106" t="s">
        <v>462</v>
      </c>
      <c r="D120" s="106" t="s">
        <v>469</v>
      </c>
      <c r="E120" s="106" t="s">
        <v>37</v>
      </c>
      <c r="F120" s="107" t="s">
        <v>393</v>
      </c>
      <c r="G120" s="106" t="s">
        <v>325</v>
      </c>
      <c r="H120" s="106" t="s">
        <v>237</v>
      </c>
      <c r="I120" s="106" t="s">
        <v>9</v>
      </c>
      <c r="J120" s="106" t="s">
        <v>231</v>
      </c>
      <c r="K120" s="106"/>
      <c r="L120" s="108">
        <v>13.8</v>
      </c>
      <c r="M120" s="108">
        <f>L120*VLOOKUP(I120,dagsoorttabel1,2,FALSE)</f>
        <v>13.8</v>
      </c>
      <c r="N120" s="109">
        <f>prodnorm43</f>
        <v>0</v>
      </c>
      <c r="O120" s="106" t="s">
        <v>105</v>
      </c>
      <c r="P120" s="28">
        <f>uurtarief43</f>
        <v>0</v>
      </c>
      <c r="Q120" s="108" t="e">
        <f>IF(ISBLANK(N120),0,M120/ROUND(N120,4))</f>
        <v>#DIV/0!</v>
      </c>
      <c r="R120" s="28" t="e">
        <f>ROUND(P120,2)*Q120</f>
        <v>#DIV/0!</v>
      </c>
      <c r="S120" s="108" t="e">
        <f>Q120*dagenperjaar1</f>
        <v>#DIV/0!</v>
      </c>
      <c r="T120" s="29" t="e">
        <f>S120*ROUND(P120,2)</f>
        <v>#DIV/0!</v>
      </c>
    </row>
    <row r="121" spans="1:20" x14ac:dyDescent="0.2">
      <c r="A121" s="105" t="s">
        <v>321</v>
      </c>
      <c r="B121" s="106" t="s">
        <v>37</v>
      </c>
      <c r="C121" s="106" t="s">
        <v>462</v>
      </c>
      <c r="D121" s="106" t="s">
        <v>470</v>
      </c>
      <c r="E121" s="106" t="s">
        <v>37</v>
      </c>
      <c r="F121" s="107" t="s">
        <v>381</v>
      </c>
      <c r="G121" s="106" t="s">
        <v>325</v>
      </c>
      <c r="H121" s="106" t="s">
        <v>237</v>
      </c>
      <c r="I121" s="106" t="s">
        <v>9</v>
      </c>
      <c r="J121" s="106" t="s">
        <v>231</v>
      </c>
      <c r="K121" s="106"/>
      <c r="L121" s="108">
        <v>115.36</v>
      </c>
      <c r="M121" s="108">
        <f>L121*VLOOKUP(I121,dagsoorttabel1,2,FALSE)</f>
        <v>115.36</v>
      </c>
      <c r="N121" s="109">
        <f>prodnorm43</f>
        <v>0</v>
      </c>
      <c r="O121" s="106" t="s">
        <v>105</v>
      </c>
      <c r="P121" s="28">
        <f>uurtarief43</f>
        <v>0</v>
      </c>
      <c r="Q121" s="108" t="e">
        <f>IF(ISBLANK(N121),0,M121/ROUND(N121,4))</f>
        <v>#DIV/0!</v>
      </c>
      <c r="R121" s="28" t="e">
        <f>ROUND(P121,2)*Q121</f>
        <v>#DIV/0!</v>
      </c>
      <c r="S121" s="108" t="e">
        <f>Q121*dagenperjaar1</f>
        <v>#DIV/0!</v>
      </c>
      <c r="T121" s="29" t="e">
        <f>S121*ROUND(P121,2)</f>
        <v>#DIV/0!</v>
      </c>
    </row>
    <row r="122" spans="1:20" x14ac:dyDescent="0.2">
      <c r="A122" s="105" t="s">
        <v>321</v>
      </c>
      <c r="B122" s="106" t="s">
        <v>37</v>
      </c>
      <c r="C122" s="106" t="s">
        <v>462</v>
      </c>
      <c r="D122" s="106" t="s">
        <v>471</v>
      </c>
      <c r="E122" s="106" t="s">
        <v>37</v>
      </c>
      <c r="F122" s="107" t="s">
        <v>384</v>
      </c>
      <c r="G122" s="106" t="s">
        <v>325</v>
      </c>
      <c r="H122" s="106" t="s">
        <v>237</v>
      </c>
      <c r="I122" s="106" t="s">
        <v>9</v>
      </c>
      <c r="J122" s="106" t="s">
        <v>231</v>
      </c>
      <c r="K122" s="106"/>
      <c r="L122" s="108">
        <v>3.07</v>
      </c>
      <c r="M122" s="108">
        <f>L122*VLOOKUP(I122,dagsoorttabel1,2,FALSE)</f>
        <v>3.07</v>
      </c>
      <c r="N122" s="109">
        <f>prodnorm43</f>
        <v>0</v>
      </c>
      <c r="O122" s="106" t="s">
        <v>105</v>
      </c>
      <c r="P122" s="28">
        <f>uurtarief43</f>
        <v>0</v>
      </c>
      <c r="Q122" s="108" t="e">
        <f>IF(ISBLANK(N122),0,M122/ROUND(N122,4))</f>
        <v>#DIV/0!</v>
      </c>
      <c r="R122" s="28" t="e">
        <f>ROUND(P122,2)*Q122</f>
        <v>#DIV/0!</v>
      </c>
      <c r="S122" s="108" t="e">
        <f>Q122*dagenperjaar1</f>
        <v>#DIV/0!</v>
      </c>
      <c r="T122" s="29" t="e">
        <f>S122*ROUND(P122,2)</f>
        <v>#DIV/0!</v>
      </c>
    </row>
    <row r="123" spans="1:20" x14ac:dyDescent="0.2">
      <c r="A123" s="105" t="s">
        <v>321</v>
      </c>
      <c r="B123" s="106" t="s">
        <v>37</v>
      </c>
      <c r="C123" s="106" t="s">
        <v>462</v>
      </c>
      <c r="D123" s="106" t="s">
        <v>472</v>
      </c>
      <c r="E123" s="106" t="s">
        <v>37</v>
      </c>
      <c r="F123" s="107" t="s">
        <v>384</v>
      </c>
      <c r="G123" s="106" t="s">
        <v>325</v>
      </c>
      <c r="H123" s="106" t="s">
        <v>237</v>
      </c>
      <c r="I123" s="106" t="s">
        <v>9</v>
      </c>
      <c r="J123" s="106" t="s">
        <v>231</v>
      </c>
      <c r="K123" s="106"/>
      <c r="L123" s="108">
        <v>3.07</v>
      </c>
      <c r="M123" s="108">
        <f>L123*VLOOKUP(I123,dagsoorttabel1,2,FALSE)</f>
        <v>3.07</v>
      </c>
      <c r="N123" s="109">
        <f>prodnorm43</f>
        <v>0</v>
      </c>
      <c r="O123" s="106" t="s">
        <v>105</v>
      </c>
      <c r="P123" s="28">
        <f>uurtarief43</f>
        <v>0</v>
      </c>
      <c r="Q123" s="108" t="e">
        <f>IF(ISBLANK(N123),0,M123/ROUND(N123,4))</f>
        <v>#DIV/0!</v>
      </c>
      <c r="R123" s="28" t="e">
        <f>ROUND(P123,2)*Q123</f>
        <v>#DIV/0!</v>
      </c>
      <c r="S123" s="108" t="e">
        <f>Q123*dagenperjaar1</f>
        <v>#DIV/0!</v>
      </c>
      <c r="T123" s="29" t="e">
        <f>S123*ROUND(P123,2)</f>
        <v>#DIV/0!</v>
      </c>
    </row>
    <row r="124" spans="1:20" x14ac:dyDescent="0.2">
      <c r="A124" s="105" t="s">
        <v>321</v>
      </c>
      <c r="B124" s="106" t="s">
        <v>37</v>
      </c>
      <c r="C124" s="106" t="s">
        <v>462</v>
      </c>
      <c r="D124" s="106" t="s">
        <v>473</v>
      </c>
      <c r="E124" s="106" t="s">
        <v>37</v>
      </c>
      <c r="F124" s="107" t="s">
        <v>387</v>
      </c>
      <c r="G124" s="106" t="s">
        <v>325</v>
      </c>
      <c r="H124" s="106" t="s">
        <v>275</v>
      </c>
      <c r="I124" s="106" t="s">
        <v>9</v>
      </c>
      <c r="J124" s="106" t="s">
        <v>231</v>
      </c>
      <c r="K124" s="106"/>
      <c r="L124" s="108">
        <v>13.1</v>
      </c>
      <c r="M124" s="108">
        <f>L124*VLOOKUP(I124,dagsoorttabel1,2,FALSE)</f>
        <v>13.1</v>
      </c>
      <c r="N124" s="109">
        <f>prodnorm118</f>
        <v>0</v>
      </c>
      <c r="O124" s="106" t="s">
        <v>105</v>
      </c>
      <c r="P124" s="28">
        <f>uurtarief118</f>
        <v>0</v>
      </c>
      <c r="Q124" s="108" t="e">
        <f>IF(ISBLANK(N124),0,M124/ROUND(N124,4))</f>
        <v>#DIV/0!</v>
      </c>
      <c r="R124" s="28" t="e">
        <f>ROUND(P124,2)*Q124</f>
        <v>#DIV/0!</v>
      </c>
      <c r="S124" s="108" t="e">
        <f>Q124*dagenperjaar1</f>
        <v>#DIV/0!</v>
      </c>
      <c r="T124" s="29" t="e">
        <f>S124*ROUND(P124,2)</f>
        <v>#DIV/0!</v>
      </c>
    </row>
    <row r="125" spans="1:20" x14ac:dyDescent="0.2">
      <c r="A125" s="105" t="s">
        <v>321</v>
      </c>
      <c r="B125" s="106" t="s">
        <v>37</v>
      </c>
      <c r="C125" s="106" t="s">
        <v>462</v>
      </c>
      <c r="D125" s="106" t="s">
        <v>474</v>
      </c>
      <c r="E125" s="106" t="s">
        <v>37</v>
      </c>
      <c r="F125" s="107" t="s">
        <v>475</v>
      </c>
      <c r="G125" s="106" t="s">
        <v>325</v>
      </c>
      <c r="H125" s="106" t="s">
        <v>237</v>
      </c>
      <c r="I125" s="106" t="s">
        <v>9</v>
      </c>
      <c r="J125" s="106" t="s">
        <v>231</v>
      </c>
      <c r="K125" s="106"/>
      <c r="L125" s="108">
        <v>12.5</v>
      </c>
      <c r="M125" s="108">
        <f>L125*VLOOKUP(I125,dagsoorttabel1,2,FALSE)</f>
        <v>12.5</v>
      </c>
      <c r="N125" s="109">
        <f>prodnorm43</f>
        <v>0</v>
      </c>
      <c r="O125" s="106" t="s">
        <v>105</v>
      </c>
      <c r="P125" s="28">
        <f>uurtarief43</f>
        <v>0</v>
      </c>
      <c r="Q125" s="108" t="e">
        <f>IF(ISBLANK(N125),0,M125/ROUND(N125,4))</f>
        <v>#DIV/0!</v>
      </c>
      <c r="R125" s="28" t="e">
        <f>ROUND(P125,2)*Q125</f>
        <v>#DIV/0!</v>
      </c>
      <c r="S125" s="108" t="e">
        <f>Q125*dagenperjaar1</f>
        <v>#DIV/0!</v>
      </c>
      <c r="T125" s="29" t="e">
        <f>S125*ROUND(P125,2)</f>
        <v>#DIV/0!</v>
      </c>
    </row>
    <row r="126" spans="1:20" x14ac:dyDescent="0.2">
      <c r="A126" s="105" t="s">
        <v>321</v>
      </c>
      <c r="B126" s="106" t="s">
        <v>37</v>
      </c>
      <c r="C126" s="106" t="s">
        <v>462</v>
      </c>
      <c r="D126" s="106" t="s">
        <v>476</v>
      </c>
      <c r="E126" s="106" t="s">
        <v>37</v>
      </c>
      <c r="F126" s="107" t="s">
        <v>389</v>
      </c>
      <c r="G126" s="106" t="s">
        <v>325</v>
      </c>
      <c r="H126" s="106" t="s">
        <v>259</v>
      </c>
      <c r="I126" s="106" t="s">
        <v>9</v>
      </c>
      <c r="J126" s="106" t="s">
        <v>231</v>
      </c>
      <c r="K126" s="106"/>
      <c r="L126" s="108">
        <v>52.6</v>
      </c>
      <c r="M126" s="108">
        <f>L126*VLOOKUP(I126,dagsoorttabel1,2,FALSE)</f>
        <v>52.6</v>
      </c>
      <c r="N126" s="109">
        <f>prodnorm82</f>
        <v>0</v>
      </c>
      <c r="O126" s="106" t="s">
        <v>105</v>
      </c>
      <c r="P126" s="28">
        <f>uurtarief82</f>
        <v>0</v>
      </c>
      <c r="Q126" s="108" t="e">
        <f>IF(ISBLANK(N126),0,M126/ROUND(N126,4))</f>
        <v>#DIV/0!</v>
      </c>
      <c r="R126" s="28" t="e">
        <f>ROUND(P126,2)*Q126</f>
        <v>#DIV/0!</v>
      </c>
      <c r="S126" s="108" t="e">
        <f>Q126*dagenperjaar1</f>
        <v>#DIV/0!</v>
      </c>
      <c r="T126" s="29" t="e">
        <f>S126*ROUND(P126,2)</f>
        <v>#DIV/0!</v>
      </c>
    </row>
    <row r="127" spans="1:20" x14ac:dyDescent="0.2">
      <c r="A127" s="105" t="s">
        <v>321</v>
      </c>
      <c r="B127" s="106" t="s">
        <v>37</v>
      </c>
      <c r="C127" s="106" t="s">
        <v>462</v>
      </c>
      <c r="D127" s="106" t="s">
        <v>477</v>
      </c>
      <c r="E127" s="106" t="s">
        <v>37</v>
      </c>
      <c r="F127" s="107" t="s">
        <v>345</v>
      </c>
      <c r="G127" s="106" t="s">
        <v>325</v>
      </c>
      <c r="H127" s="106" t="s">
        <v>275</v>
      </c>
      <c r="I127" s="106" t="s">
        <v>9</v>
      </c>
      <c r="J127" s="106" t="s">
        <v>231</v>
      </c>
      <c r="K127" s="106"/>
      <c r="L127" s="108">
        <v>5.7</v>
      </c>
      <c r="M127" s="108">
        <f>L127*VLOOKUP(I127,dagsoorttabel1,2,FALSE)</f>
        <v>5.7</v>
      </c>
      <c r="N127" s="109">
        <f>prodnorm118</f>
        <v>0</v>
      </c>
      <c r="O127" s="106" t="s">
        <v>105</v>
      </c>
      <c r="P127" s="28">
        <f>uurtarief118</f>
        <v>0</v>
      </c>
      <c r="Q127" s="108" t="e">
        <f>IF(ISBLANK(N127),0,M127/ROUND(N127,4))</f>
        <v>#DIV/0!</v>
      </c>
      <c r="R127" s="28" t="e">
        <f>ROUND(P127,2)*Q127</f>
        <v>#DIV/0!</v>
      </c>
      <c r="S127" s="108" t="e">
        <f>Q127*dagenperjaar1</f>
        <v>#DIV/0!</v>
      </c>
      <c r="T127" s="29" t="e">
        <f>S127*ROUND(P127,2)</f>
        <v>#DIV/0!</v>
      </c>
    </row>
    <row r="128" spans="1:20" x14ac:dyDescent="0.2">
      <c r="A128" s="105" t="s">
        <v>321</v>
      </c>
      <c r="B128" s="106" t="s">
        <v>37</v>
      </c>
      <c r="C128" s="106" t="s">
        <v>462</v>
      </c>
      <c r="D128" s="106" t="s">
        <v>478</v>
      </c>
      <c r="E128" s="106" t="s">
        <v>37</v>
      </c>
      <c r="F128" s="107" t="s">
        <v>465</v>
      </c>
      <c r="G128" s="106" t="s">
        <v>358</v>
      </c>
      <c r="H128" s="106" t="s">
        <v>290</v>
      </c>
      <c r="I128" s="106" t="s">
        <v>9</v>
      </c>
      <c r="J128" s="106" t="s">
        <v>231</v>
      </c>
      <c r="K128" s="106"/>
      <c r="L128" s="108">
        <v>9.9</v>
      </c>
      <c r="M128" s="108">
        <f>L128*VLOOKUP(I128,dagsoorttabel1,2,FALSE)</f>
        <v>9.9</v>
      </c>
      <c r="N128" s="109">
        <f>prodnorm146</f>
        <v>0</v>
      </c>
      <c r="O128" s="106" t="s">
        <v>105</v>
      </c>
      <c r="P128" s="28">
        <f>uurtarief146</f>
        <v>0</v>
      </c>
      <c r="Q128" s="108" t="e">
        <f>IF(ISBLANK(N128),0,M128/ROUND(N128,4))</f>
        <v>#DIV/0!</v>
      </c>
      <c r="R128" s="28" t="e">
        <f>ROUND(P128,2)*Q128</f>
        <v>#DIV/0!</v>
      </c>
      <c r="S128" s="108" t="e">
        <f>Q128*dagenperjaar1</f>
        <v>#DIV/0!</v>
      </c>
      <c r="T128" s="29" t="e">
        <f>S128*ROUND(P128,2)</f>
        <v>#DIV/0!</v>
      </c>
    </row>
    <row r="129" spans="1:20" x14ac:dyDescent="0.2">
      <c r="A129" s="105" t="s">
        <v>321</v>
      </c>
      <c r="B129" s="106" t="s">
        <v>37</v>
      </c>
      <c r="C129" s="106" t="s">
        <v>462</v>
      </c>
      <c r="D129" s="106" t="s">
        <v>479</v>
      </c>
      <c r="E129" s="106" t="s">
        <v>37</v>
      </c>
      <c r="F129" s="107" t="s">
        <v>465</v>
      </c>
      <c r="G129" s="106" t="s">
        <v>325</v>
      </c>
      <c r="H129" s="106" t="s">
        <v>292</v>
      </c>
      <c r="I129" s="106" t="s">
        <v>9</v>
      </c>
      <c r="J129" s="106" t="s">
        <v>231</v>
      </c>
      <c r="K129" s="106"/>
      <c r="L129" s="108">
        <v>2.7</v>
      </c>
      <c r="M129" s="108">
        <f>L129*VLOOKUP(I129,dagsoorttabel1,2,FALSE)</f>
        <v>2.7</v>
      </c>
      <c r="N129" s="109">
        <f>prodnorm150</f>
        <v>0</v>
      </c>
      <c r="O129" s="106" t="s">
        <v>105</v>
      </c>
      <c r="P129" s="28">
        <f>uurtarief150</f>
        <v>0</v>
      </c>
      <c r="Q129" s="108" t="e">
        <f>IF(ISBLANK(N129),0,M129/ROUND(N129,4))</f>
        <v>#DIV/0!</v>
      </c>
      <c r="R129" s="28" t="e">
        <f>ROUND(P129,2)*Q129</f>
        <v>#DIV/0!</v>
      </c>
      <c r="S129" s="108" t="e">
        <f>Q129*dagenperjaar1</f>
        <v>#DIV/0!</v>
      </c>
      <c r="T129" s="29" t="e">
        <f>S129*ROUND(P129,2)</f>
        <v>#DIV/0!</v>
      </c>
    </row>
    <row r="130" spans="1:20" x14ac:dyDescent="0.2">
      <c r="A130" s="105" t="s">
        <v>321</v>
      </c>
      <c r="B130" s="106" t="s">
        <v>37</v>
      </c>
      <c r="C130" s="106" t="s">
        <v>462</v>
      </c>
      <c r="D130" s="106" t="s">
        <v>480</v>
      </c>
      <c r="E130" s="106" t="s">
        <v>37</v>
      </c>
      <c r="F130" s="107" t="s">
        <v>335</v>
      </c>
      <c r="G130" s="106" t="s">
        <v>325</v>
      </c>
      <c r="H130" s="106" t="s">
        <v>275</v>
      </c>
      <c r="I130" s="106" t="s">
        <v>9</v>
      </c>
      <c r="J130" s="106" t="s">
        <v>231</v>
      </c>
      <c r="K130" s="106"/>
      <c r="L130" s="108">
        <v>14.6</v>
      </c>
      <c r="M130" s="108">
        <f>L130*VLOOKUP(I130,dagsoorttabel1,2,FALSE)</f>
        <v>14.6</v>
      </c>
      <c r="N130" s="109">
        <f>prodnorm118</f>
        <v>0</v>
      </c>
      <c r="O130" s="106" t="s">
        <v>105</v>
      </c>
      <c r="P130" s="28">
        <f>uurtarief118</f>
        <v>0</v>
      </c>
      <c r="Q130" s="108" t="e">
        <f>IF(ISBLANK(N130),0,M130/ROUND(N130,4))</f>
        <v>#DIV/0!</v>
      </c>
      <c r="R130" s="28" t="e">
        <f>ROUND(P130,2)*Q130</f>
        <v>#DIV/0!</v>
      </c>
      <c r="S130" s="108" t="e">
        <f>Q130*dagenperjaar1</f>
        <v>#DIV/0!</v>
      </c>
      <c r="T130" s="29" t="e">
        <f>S130*ROUND(P130,2)</f>
        <v>#DIV/0!</v>
      </c>
    </row>
    <row r="131" spans="1:20" x14ac:dyDescent="0.2">
      <c r="A131" s="105" t="s">
        <v>321</v>
      </c>
      <c r="B131" s="106" t="s">
        <v>37</v>
      </c>
      <c r="C131" s="106" t="s">
        <v>462</v>
      </c>
      <c r="D131" s="106" t="s">
        <v>481</v>
      </c>
      <c r="E131" s="106" t="s">
        <v>37</v>
      </c>
      <c r="F131" s="107" t="s">
        <v>360</v>
      </c>
      <c r="G131" s="106" t="s">
        <v>346</v>
      </c>
      <c r="H131" s="106" t="s">
        <v>267</v>
      </c>
      <c r="I131" s="106" t="s">
        <v>9</v>
      </c>
      <c r="J131" s="106" t="s">
        <v>231</v>
      </c>
      <c r="K131" s="106"/>
      <c r="L131" s="108">
        <v>7.7</v>
      </c>
      <c r="M131" s="108">
        <f>L131*VLOOKUP(I131,dagsoorttabel1,2,FALSE)</f>
        <v>7.7</v>
      </c>
      <c r="N131" s="109">
        <f>prodnorm101</f>
        <v>0</v>
      </c>
      <c r="O131" s="106" t="s">
        <v>105</v>
      </c>
      <c r="P131" s="28">
        <f>uurtarief101</f>
        <v>0</v>
      </c>
      <c r="Q131" s="108" t="e">
        <f>IF(ISBLANK(N131),0,M131/ROUND(N131,4))</f>
        <v>#DIV/0!</v>
      </c>
      <c r="R131" s="28" t="e">
        <f>ROUND(P131,2)*Q131</f>
        <v>#DIV/0!</v>
      </c>
      <c r="S131" s="108" t="e">
        <f>Q131*dagenperjaar1</f>
        <v>#DIV/0!</v>
      </c>
      <c r="T131" s="29" t="e">
        <f>S131*ROUND(P131,2)</f>
        <v>#DIV/0!</v>
      </c>
    </row>
    <row r="132" spans="1:20" x14ac:dyDescent="0.2">
      <c r="A132" s="105" t="s">
        <v>321</v>
      </c>
      <c r="B132" s="106" t="s">
        <v>37</v>
      </c>
      <c r="C132" s="106" t="s">
        <v>462</v>
      </c>
      <c r="D132" s="106" t="s">
        <v>481</v>
      </c>
      <c r="E132" s="106" t="s">
        <v>37</v>
      </c>
      <c r="F132" s="107" t="s">
        <v>360</v>
      </c>
      <c r="G132" s="106" t="s">
        <v>346</v>
      </c>
      <c r="H132" s="106" t="s">
        <v>269</v>
      </c>
      <c r="I132" s="106" t="s">
        <v>9</v>
      </c>
      <c r="J132" s="106" t="s">
        <v>231</v>
      </c>
      <c r="K132" s="106"/>
      <c r="L132" s="108">
        <v>7.7</v>
      </c>
      <c r="M132" s="108">
        <f>L132*VLOOKUP(I132,dagsoorttabel1,2,FALSE)</f>
        <v>7.7</v>
      </c>
      <c r="N132" s="109">
        <f>prodnorm103</f>
        <v>0</v>
      </c>
      <c r="O132" s="106" t="s">
        <v>105</v>
      </c>
      <c r="P132" s="28">
        <f>uurtarief103</f>
        <v>0</v>
      </c>
      <c r="Q132" s="108" t="e">
        <f>IF(ISBLANK(N132),0,M132/ROUND(N132,4))</f>
        <v>#DIV/0!</v>
      </c>
      <c r="R132" s="28" t="e">
        <f>ROUND(P132,2)*Q132</f>
        <v>#DIV/0!</v>
      </c>
      <c r="S132" s="108" t="e">
        <f>Q132*dagenperjaar1</f>
        <v>#DIV/0!</v>
      </c>
      <c r="T132" s="29" t="e">
        <f>S132*ROUND(P132,2)</f>
        <v>#DIV/0!</v>
      </c>
    </row>
    <row r="133" spans="1:20" x14ac:dyDescent="0.2">
      <c r="A133" s="105" t="s">
        <v>321</v>
      </c>
      <c r="B133" s="106" t="s">
        <v>37</v>
      </c>
      <c r="C133" s="106" t="s">
        <v>462</v>
      </c>
      <c r="D133" s="106" t="s">
        <v>482</v>
      </c>
      <c r="E133" s="106" t="s">
        <v>37</v>
      </c>
      <c r="F133" s="107" t="s">
        <v>364</v>
      </c>
      <c r="G133" s="106" t="s">
        <v>346</v>
      </c>
      <c r="H133" s="106" t="s">
        <v>267</v>
      </c>
      <c r="I133" s="106" t="s">
        <v>9</v>
      </c>
      <c r="J133" s="106" t="s">
        <v>231</v>
      </c>
      <c r="K133" s="106"/>
      <c r="L133" s="108">
        <v>7.7</v>
      </c>
      <c r="M133" s="108">
        <f>L133*VLOOKUP(I133,dagsoorttabel1,2,FALSE)</f>
        <v>7.7</v>
      </c>
      <c r="N133" s="109">
        <f>prodnorm101</f>
        <v>0</v>
      </c>
      <c r="O133" s="106" t="s">
        <v>105</v>
      </c>
      <c r="P133" s="28">
        <f>uurtarief101</f>
        <v>0</v>
      </c>
      <c r="Q133" s="108" t="e">
        <f>IF(ISBLANK(N133),0,M133/ROUND(N133,4))</f>
        <v>#DIV/0!</v>
      </c>
      <c r="R133" s="28" t="e">
        <f>ROUND(P133,2)*Q133</f>
        <v>#DIV/0!</v>
      </c>
      <c r="S133" s="108" t="e">
        <f>Q133*dagenperjaar1</f>
        <v>#DIV/0!</v>
      </c>
      <c r="T133" s="29" t="e">
        <f>S133*ROUND(P133,2)</f>
        <v>#DIV/0!</v>
      </c>
    </row>
    <row r="134" spans="1:20" x14ac:dyDescent="0.2">
      <c r="A134" s="105" t="s">
        <v>321</v>
      </c>
      <c r="B134" s="106" t="s">
        <v>37</v>
      </c>
      <c r="C134" s="106" t="s">
        <v>462</v>
      </c>
      <c r="D134" s="106" t="s">
        <v>482</v>
      </c>
      <c r="E134" s="106" t="s">
        <v>37</v>
      </c>
      <c r="F134" s="107" t="s">
        <v>364</v>
      </c>
      <c r="G134" s="106" t="s">
        <v>346</v>
      </c>
      <c r="H134" s="106" t="s">
        <v>269</v>
      </c>
      <c r="I134" s="106" t="s">
        <v>9</v>
      </c>
      <c r="J134" s="106" t="s">
        <v>231</v>
      </c>
      <c r="K134" s="106"/>
      <c r="L134" s="108">
        <v>7.7</v>
      </c>
      <c r="M134" s="108">
        <f>L134*VLOOKUP(I134,dagsoorttabel1,2,FALSE)</f>
        <v>7.7</v>
      </c>
      <c r="N134" s="109">
        <f>prodnorm103</f>
        <v>0</v>
      </c>
      <c r="O134" s="106" t="s">
        <v>105</v>
      </c>
      <c r="P134" s="28">
        <f>uurtarief103</f>
        <v>0</v>
      </c>
      <c r="Q134" s="108" t="e">
        <f>IF(ISBLANK(N134),0,M134/ROUND(N134,4))</f>
        <v>#DIV/0!</v>
      </c>
      <c r="R134" s="28" t="e">
        <f>ROUND(P134,2)*Q134</f>
        <v>#DIV/0!</v>
      </c>
      <c r="S134" s="108" t="e">
        <f>Q134*dagenperjaar1</f>
        <v>#DIV/0!</v>
      </c>
      <c r="T134" s="29" t="e">
        <f>S134*ROUND(P134,2)</f>
        <v>#DIV/0!</v>
      </c>
    </row>
    <row r="135" spans="1:20" x14ac:dyDescent="0.2">
      <c r="A135" s="105" t="s">
        <v>321</v>
      </c>
      <c r="B135" s="106" t="s">
        <v>37</v>
      </c>
      <c r="C135" s="106" t="s">
        <v>462</v>
      </c>
      <c r="D135" s="106" t="s">
        <v>483</v>
      </c>
      <c r="E135" s="106" t="s">
        <v>37</v>
      </c>
      <c r="F135" s="107" t="s">
        <v>381</v>
      </c>
      <c r="G135" s="106" t="s">
        <v>325</v>
      </c>
      <c r="H135" s="106" t="s">
        <v>237</v>
      </c>
      <c r="I135" s="106" t="s">
        <v>9</v>
      </c>
      <c r="J135" s="106" t="s">
        <v>231</v>
      </c>
      <c r="K135" s="106"/>
      <c r="L135" s="108">
        <v>20.259999999999998</v>
      </c>
      <c r="M135" s="108">
        <f>L135*VLOOKUP(I135,dagsoorttabel1,2,FALSE)</f>
        <v>20.259999999999998</v>
      </c>
      <c r="N135" s="109">
        <f>prodnorm43</f>
        <v>0</v>
      </c>
      <c r="O135" s="106" t="s">
        <v>105</v>
      </c>
      <c r="P135" s="28">
        <f>uurtarief43</f>
        <v>0</v>
      </c>
      <c r="Q135" s="108" t="e">
        <f>IF(ISBLANK(N135),0,M135/ROUND(N135,4))</f>
        <v>#DIV/0!</v>
      </c>
      <c r="R135" s="28" t="e">
        <f>ROUND(P135,2)*Q135</f>
        <v>#DIV/0!</v>
      </c>
      <c r="S135" s="108" t="e">
        <f>Q135*dagenperjaar1</f>
        <v>#DIV/0!</v>
      </c>
      <c r="T135" s="29" t="e">
        <f>S135*ROUND(P135,2)</f>
        <v>#DIV/0!</v>
      </c>
    </row>
    <row r="136" spans="1:20" x14ac:dyDescent="0.2">
      <c r="A136" s="105" t="s">
        <v>321</v>
      </c>
      <c r="B136" s="106" t="s">
        <v>37</v>
      </c>
      <c r="C136" s="106" t="s">
        <v>462</v>
      </c>
      <c r="D136" s="106" t="s">
        <v>484</v>
      </c>
      <c r="E136" s="106" t="s">
        <v>37</v>
      </c>
      <c r="F136" s="107" t="s">
        <v>384</v>
      </c>
      <c r="G136" s="106" t="s">
        <v>325</v>
      </c>
      <c r="H136" s="106" t="s">
        <v>237</v>
      </c>
      <c r="I136" s="106" t="s">
        <v>9</v>
      </c>
      <c r="J136" s="106" t="s">
        <v>231</v>
      </c>
      <c r="K136" s="106"/>
      <c r="L136" s="108">
        <v>3.07</v>
      </c>
      <c r="M136" s="108">
        <f>L136*VLOOKUP(I136,dagsoorttabel1,2,FALSE)</f>
        <v>3.07</v>
      </c>
      <c r="N136" s="109">
        <f>prodnorm43</f>
        <v>0</v>
      </c>
      <c r="O136" s="106" t="s">
        <v>105</v>
      </c>
      <c r="P136" s="28">
        <f>uurtarief43</f>
        <v>0</v>
      </c>
      <c r="Q136" s="108" t="e">
        <f>IF(ISBLANK(N136),0,M136/ROUND(N136,4))</f>
        <v>#DIV/0!</v>
      </c>
      <c r="R136" s="28" t="e">
        <f>ROUND(P136,2)*Q136</f>
        <v>#DIV/0!</v>
      </c>
      <c r="S136" s="108" t="e">
        <f>Q136*dagenperjaar1</f>
        <v>#DIV/0!</v>
      </c>
      <c r="T136" s="29" t="e">
        <f>S136*ROUND(P136,2)</f>
        <v>#DIV/0!</v>
      </c>
    </row>
    <row r="137" spans="1:20" x14ac:dyDescent="0.2">
      <c r="A137" s="105" t="s">
        <v>321</v>
      </c>
      <c r="B137" s="106" t="s">
        <v>37</v>
      </c>
      <c r="C137" s="106" t="s">
        <v>462</v>
      </c>
      <c r="D137" s="106" t="s">
        <v>485</v>
      </c>
      <c r="E137" s="106" t="s">
        <v>37</v>
      </c>
      <c r="F137" s="107" t="s">
        <v>384</v>
      </c>
      <c r="G137" s="106" t="s">
        <v>325</v>
      </c>
      <c r="H137" s="106" t="s">
        <v>237</v>
      </c>
      <c r="I137" s="106" t="s">
        <v>9</v>
      </c>
      <c r="J137" s="106" t="s">
        <v>231</v>
      </c>
      <c r="K137" s="106"/>
      <c r="L137" s="108">
        <v>3.07</v>
      </c>
      <c r="M137" s="108">
        <f>L137*VLOOKUP(I137,dagsoorttabel1,2,FALSE)</f>
        <v>3.07</v>
      </c>
      <c r="N137" s="109">
        <f>prodnorm43</f>
        <v>0</v>
      </c>
      <c r="O137" s="106" t="s">
        <v>105</v>
      </c>
      <c r="P137" s="28">
        <f>uurtarief43</f>
        <v>0</v>
      </c>
      <c r="Q137" s="108" t="e">
        <f>IF(ISBLANK(N137),0,M137/ROUND(N137,4))</f>
        <v>#DIV/0!</v>
      </c>
      <c r="R137" s="28" t="e">
        <f>ROUND(P137,2)*Q137</f>
        <v>#DIV/0!</v>
      </c>
      <c r="S137" s="108" t="e">
        <f>Q137*dagenperjaar1</f>
        <v>#DIV/0!</v>
      </c>
      <c r="T137" s="29" t="e">
        <f>S137*ROUND(P137,2)</f>
        <v>#DIV/0!</v>
      </c>
    </row>
    <row r="138" spans="1:20" x14ac:dyDescent="0.2">
      <c r="A138" s="105" t="s">
        <v>321</v>
      </c>
      <c r="B138" s="106" t="s">
        <v>37</v>
      </c>
      <c r="C138" s="106" t="s">
        <v>462</v>
      </c>
      <c r="D138" s="106" t="s">
        <v>486</v>
      </c>
      <c r="E138" s="106" t="s">
        <v>37</v>
      </c>
      <c r="F138" s="107" t="s">
        <v>381</v>
      </c>
      <c r="G138" s="106" t="s">
        <v>325</v>
      </c>
      <c r="H138" s="106" t="s">
        <v>237</v>
      </c>
      <c r="I138" s="106" t="s">
        <v>9</v>
      </c>
      <c r="J138" s="106" t="s">
        <v>231</v>
      </c>
      <c r="K138" s="106"/>
      <c r="L138" s="108">
        <v>142.69999999999999</v>
      </c>
      <c r="M138" s="108">
        <f>L138*VLOOKUP(I138,dagsoorttabel1,2,FALSE)</f>
        <v>142.69999999999999</v>
      </c>
      <c r="N138" s="109">
        <f>prodnorm43</f>
        <v>0</v>
      </c>
      <c r="O138" s="106" t="s">
        <v>105</v>
      </c>
      <c r="P138" s="28">
        <f>uurtarief43</f>
        <v>0</v>
      </c>
      <c r="Q138" s="108" t="e">
        <f>IF(ISBLANK(N138),0,M138/ROUND(N138,4))</f>
        <v>#DIV/0!</v>
      </c>
      <c r="R138" s="28" t="e">
        <f>ROUND(P138,2)*Q138</f>
        <v>#DIV/0!</v>
      </c>
      <c r="S138" s="108" t="e">
        <f>Q138*dagenperjaar1</f>
        <v>#DIV/0!</v>
      </c>
      <c r="T138" s="29" t="e">
        <f>S138*ROUND(P138,2)</f>
        <v>#DIV/0!</v>
      </c>
    </row>
    <row r="139" spans="1:20" x14ac:dyDescent="0.2">
      <c r="A139" s="105" t="s">
        <v>321</v>
      </c>
      <c r="B139" s="106" t="s">
        <v>37</v>
      </c>
      <c r="C139" s="106" t="s">
        <v>462</v>
      </c>
      <c r="D139" s="106" t="s">
        <v>487</v>
      </c>
      <c r="E139" s="106" t="s">
        <v>37</v>
      </c>
      <c r="F139" s="107" t="s">
        <v>381</v>
      </c>
      <c r="G139" s="106" t="s">
        <v>325</v>
      </c>
      <c r="H139" s="106" t="s">
        <v>237</v>
      </c>
      <c r="I139" s="106" t="s">
        <v>9</v>
      </c>
      <c r="J139" s="106" t="s">
        <v>231</v>
      </c>
      <c r="K139" s="106"/>
      <c r="L139" s="108">
        <v>68.400000000000006</v>
      </c>
      <c r="M139" s="108">
        <f>L139*VLOOKUP(I139,dagsoorttabel1,2,FALSE)</f>
        <v>68.400000000000006</v>
      </c>
      <c r="N139" s="109">
        <f>prodnorm43</f>
        <v>0</v>
      </c>
      <c r="O139" s="106" t="s">
        <v>105</v>
      </c>
      <c r="P139" s="28">
        <f>uurtarief43</f>
        <v>0</v>
      </c>
      <c r="Q139" s="108" t="e">
        <f>IF(ISBLANK(N139),0,M139/ROUND(N139,4))</f>
        <v>#DIV/0!</v>
      </c>
      <c r="R139" s="28" t="e">
        <f>ROUND(P139,2)*Q139</f>
        <v>#DIV/0!</v>
      </c>
      <c r="S139" s="108" t="e">
        <f>Q139*dagenperjaar1</f>
        <v>#DIV/0!</v>
      </c>
      <c r="T139" s="29" t="e">
        <f>S139*ROUND(P139,2)</f>
        <v>#DIV/0!</v>
      </c>
    </row>
    <row r="140" spans="1:20" x14ac:dyDescent="0.2">
      <c r="A140" s="105" t="s">
        <v>321</v>
      </c>
      <c r="B140" s="106" t="s">
        <v>37</v>
      </c>
      <c r="C140" s="106" t="s">
        <v>462</v>
      </c>
      <c r="D140" s="106" t="s">
        <v>488</v>
      </c>
      <c r="E140" s="106" t="s">
        <v>37</v>
      </c>
      <c r="F140" s="107" t="s">
        <v>381</v>
      </c>
      <c r="G140" s="106" t="s">
        <v>325</v>
      </c>
      <c r="H140" s="106" t="s">
        <v>237</v>
      </c>
      <c r="I140" s="106" t="s">
        <v>9</v>
      </c>
      <c r="J140" s="106" t="s">
        <v>231</v>
      </c>
      <c r="K140" s="106"/>
      <c r="L140" s="108">
        <v>92.3</v>
      </c>
      <c r="M140" s="108">
        <f>L140*VLOOKUP(I140,dagsoorttabel1,2,FALSE)</f>
        <v>92.3</v>
      </c>
      <c r="N140" s="109">
        <f>prodnorm43</f>
        <v>0</v>
      </c>
      <c r="O140" s="106" t="s">
        <v>105</v>
      </c>
      <c r="P140" s="28">
        <f>uurtarief43</f>
        <v>0</v>
      </c>
      <c r="Q140" s="108" t="e">
        <f>IF(ISBLANK(N140),0,M140/ROUND(N140,4))</f>
        <v>#DIV/0!</v>
      </c>
      <c r="R140" s="28" t="e">
        <f>ROUND(P140,2)*Q140</f>
        <v>#DIV/0!</v>
      </c>
      <c r="S140" s="108" t="e">
        <f>Q140*dagenperjaar1</f>
        <v>#DIV/0!</v>
      </c>
      <c r="T140" s="29" t="e">
        <f>S140*ROUND(P140,2)</f>
        <v>#DIV/0!</v>
      </c>
    </row>
    <row r="141" spans="1:20" x14ac:dyDescent="0.2">
      <c r="A141" s="105" t="s">
        <v>321</v>
      </c>
      <c r="B141" s="106" t="s">
        <v>37</v>
      </c>
      <c r="C141" s="106" t="s">
        <v>462</v>
      </c>
      <c r="D141" s="106" t="s">
        <v>489</v>
      </c>
      <c r="E141" s="106" t="s">
        <v>37</v>
      </c>
      <c r="F141" s="107" t="s">
        <v>387</v>
      </c>
      <c r="G141" s="106" t="s">
        <v>325</v>
      </c>
      <c r="H141" s="106" t="s">
        <v>275</v>
      </c>
      <c r="I141" s="106" t="s">
        <v>9</v>
      </c>
      <c r="J141" s="106" t="s">
        <v>231</v>
      </c>
      <c r="K141" s="106"/>
      <c r="L141" s="108">
        <v>9.3000000000000007</v>
      </c>
      <c r="M141" s="108">
        <f>L141*VLOOKUP(I141,dagsoorttabel1,2,FALSE)</f>
        <v>9.3000000000000007</v>
      </c>
      <c r="N141" s="109">
        <f>prodnorm118</f>
        <v>0</v>
      </c>
      <c r="O141" s="106" t="s">
        <v>105</v>
      </c>
      <c r="P141" s="28">
        <f>uurtarief118</f>
        <v>0</v>
      </c>
      <c r="Q141" s="108" t="e">
        <f>IF(ISBLANK(N141),0,M141/ROUND(N141,4))</f>
        <v>#DIV/0!</v>
      </c>
      <c r="R141" s="28" t="e">
        <f>ROUND(P141,2)*Q141</f>
        <v>#DIV/0!</v>
      </c>
      <c r="S141" s="108" t="e">
        <f>Q141*dagenperjaar1</f>
        <v>#DIV/0!</v>
      </c>
      <c r="T141" s="29" t="e">
        <f>S141*ROUND(P141,2)</f>
        <v>#DIV/0!</v>
      </c>
    </row>
    <row r="142" spans="1:20" x14ac:dyDescent="0.2">
      <c r="A142" s="105" t="s">
        <v>321</v>
      </c>
      <c r="B142" s="106" t="s">
        <v>37</v>
      </c>
      <c r="C142" s="106" t="s">
        <v>462</v>
      </c>
      <c r="D142" s="106" t="s">
        <v>490</v>
      </c>
      <c r="E142" s="106" t="s">
        <v>37</v>
      </c>
      <c r="F142" s="107" t="s">
        <v>389</v>
      </c>
      <c r="G142" s="106" t="s">
        <v>325</v>
      </c>
      <c r="H142" s="106" t="s">
        <v>259</v>
      </c>
      <c r="I142" s="106" t="s">
        <v>9</v>
      </c>
      <c r="J142" s="106" t="s">
        <v>231</v>
      </c>
      <c r="K142" s="106"/>
      <c r="L142" s="108">
        <v>50</v>
      </c>
      <c r="M142" s="108">
        <f>L142*VLOOKUP(I142,dagsoorttabel1,2,FALSE)</f>
        <v>50</v>
      </c>
      <c r="N142" s="109">
        <f>prodnorm82</f>
        <v>0</v>
      </c>
      <c r="O142" s="106" t="s">
        <v>105</v>
      </c>
      <c r="P142" s="28">
        <f>uurtarief82</f>
        <v>0</v>
      </c>
      <c r="Q142" s="108" t="e">
        <f>IF(ISBLANK(N142),0,M142/ROUND(N142,4))</f>
        <v>#DIV/0!</v>
      </c>
      <c r="R142" s="28" t="e">
        <f>ROUND(P142,2)*Q142</f>
        <v>#DIV/0!</v>
      </c>
      <c r="S142" s="108" t="e">
        <f>Q142*dagenperjaar1</f>
        <v>#DIV/0!</v>
      </c>
      <c r="T142" s="29" t="e">
        <f>S142*ROUND(P142,2)</f>
        <v>#DIV/0!</v>
      </c>
    </row>
    <row r="143" spans="1:20" x14ac:dyDescent="0.2">
      <c r="A143" s="105" t="s">
        <v>321</v>
      </c>
      <c r="B143" s="106" t="s">
        <v>37</v>
      </c>
      <c r="C143" s="106" t="s">
        <v>462</v>
      </c>
      <c r="D143" s="106" t="s">
        <v>491</v>
      </c>
      <c r="E143" s="106" t="s">
        <v>37</v>
      </c>
      <c r="F143" s="107" t="s">
        <v>345</v>
      </c>
      <c r="G143" s="106" t="s">
        <v>325</v>
      </c>
      <c r="H143" s="106" t="s">
        <v>275</v>
      </c>
      <c r="I143" s="106" t="s">
        <v>9</v>
      </c>
      <c r="J143" s="106" t="s">
        <v>231</v>
      </c>
      <c r="K143" s="106"/>
      <c r="L143" s="108">
        <v>13.8</v>
      </c>
      <c r="M143" s="108">
        <f>L143*VLOOKUP(I143,dagsoorttabel1,2,FALSE)</f>
        <v>13.8</v>
      </c>
      <c r="N143" s="109">
        <f>prodnorm118</f>
        <v>0</v>
      </c>
      <c r="O143" s="106" t="s">
        <v>105</v>
      </c>
      <c r="P143" s="28">
        <f>uurtarief118</f>
        <v>0</v>
      </c>
      <c r="Q143" s="108" t="e">
        <f>IF(ISBLANK(N143),0,M143/ROUND(N143,4))</f>
        <v>#DIV/0!</v>
      </c>
      <c r="R143" s="28" t="e">
        <f>ROUND(P143,2)*Q143</f>
        <v>#DIV/0!</v>
      </c>
      <c r="S143" s="108" t="e">
        <f>Q143*dagenperjaar1</f>
        <v>#DIV/0!</v>
      </c>
      <c r="T143" s="29" t="e">
        <f>S143*ROUND(P143,2)</f>
        <v>#DIV/0!</v>
      </c>
    </row>
    <row r="144" spans="1:20" x14ac:dyDescent="0.2">
      <c r="A144" s="105" t="s">
        <v>321</v>
      </c>
      <c r="B144" s="106" t="s">
        <v>37</v>
      </c>
      <c r="C144" s="106" t="s">
        <v>462</v>
      </c>
      <c r="D144" s="106" t="s">
        <v>492</v>
      </c>
      <c r="E144" s="106" t="s">
        <v>37</v>
      </c>
      <c r="F144" s="107" t="s">
        <v>465</v>
      </c>
      <c r="G144" s="106" t="s">
        <v>358</v>
      </c>
      <c r="H144" s="106" t="s">
        <v>290</v>
      </c>
      <c r="I144" s="106" t="s">
        <v>9</v>
      </c>
      <c r="J144" s="106" t="s">
        <v>231</v>
      </c>
      <c r="K144" s="106"/>
      <c r="L144" s="108">
        <v>4.8</v>
      </c>
      <c r="M144" s="108">
        <f>L144*VLOOKUP(I144,dagsoorttabel1,2,FALSE)</f>
        <v>4.8</v>
      </c>
      <c r="N144" s="109">
        <f>prodnorm146</f>
        <v>0</v>
      </c>
      <c r="O144" s="106" t="s">
        <v>105</v>
      </c>
      <c r="P144" s="28">
        <f>uurtarief146</f>
        <v>0</v>
      </c>
      <c r="Q144" s="108" t="e">
        <f>IF(ISBLANK(N144),0,M144/ROUND(N144,4))</f>
        <v>#DIV/0!</v>
      </c>
      <c r="R144" s="28" t="e">
        <f>ROUND(P144,2)*Q144</f>
        <v>#DIV/0!</v>
      </c>
      <c r="S144" s="108" t="e">
        <f>Q144*dagenperjaar1</f>
        <v>#DIV/0!</v>
      </c>
      <c r="T144" s="29" t="e">
        <f>S144*ROUND(P144,2)</f>
        <v>#DIV/0!</v>
      </c>
    </row>
    <row r="145" spans="1:20" x14ac:dyDescent="0.2">
      <c r="A145" s="105" t="s">
        <v>321</v>
      </c>
      <c r="B145" s="106" t="s">
        <v>37</v>
      </c>
      <c r="C145" s="106" t="s">
        <v>462</v>
      </c>
      <c r="D145" s="106" t="s">
        <v>493</v>
      </c>
      <c r="E145" s="106" t="s">
        <v>37</v>
      </c>
      <c r="F145" s="107" t="s">
        <v>381</v>
      </c>
      <c r="G145" s="106" t="s">
        <v>325</v>
      </c>
      <c r="H145" s="106" t="s">
        <v>237</v>
      </c>
      <c r="I145" s="106" t="s">
        <v>9</v>
      </c>
      <c r="J145" s="106" t="s">
        <v>231</v>
      </c>
      <c r="K145" s="106"/>
      <c r="L145" s="108">
        <v>66.099999999999994</v>
      </c>
      <c r="M145" s="108">
        <f>L145*VLOOKUP(I145,dagsoorttabel1,2,FALSE)</f>
        <v>66.099999999999994</v>
      </c>
      <c r="N145" s="109">
        <f>prodnorm43</f>
        <v>0</v>
      </c>
      <c r="O145" s="106" t="s">
        <v>105</v>
      </c>
      <c r="P145" s="28">
        <f>uurtarief43</f>
        <v>0</v>
      </c>
      <c r="Q145" s="108" t="e">
        <f>IF(ISBLANK(N145),0,M145/ROUND(N145,4))</f>
        <v>#DIV/0!</v>
      </c>
      <c r="R145" s="28" t="e">
        <f>ROUND(P145,2)*Q145</f>
        <v>#DIV/0!</v>
      </c>
      <c r="S145" s="108" t="e">
        <f>Q145*dagenperjaar1</f>
        <v>#DIV/0!</v>
      </c>
      <c r="T145" s="29" t="e">
        <f>S145*ROUND(P145,2)</f>
        <v>#DIV/0!</v>
      </c>
    </row>
    <row r="146" spans="1:20" x14ac:dyDescent="0.2">
      <c r="A146" s="105" t="s">
        <v>321</v>
      </c>
      <c r="B146" s="106" t="s">
        <v>37</v>
      </c>
      <c r="C146" s="106" t="s">
        <v>462</v>
      </c>
      <c r="D146" s="106" t="s">
        <v>494</v>
      </c>
      <c r="E146" s="106" t="s">
        <v>37</v>
      </c>
      <c r="F146" s="107" t="s">
        <v>393</v>
      </c>
      <c r="G146" s="106" t="s">
        <v>325</v>
      </c>
      <c r="H146" s="106" t="s">
        <v>237</v>
      </c>
      <c r="I146" s="106" t="s">
        <v>9</v>
      </c>
      <c r="J146" s="106" t="s">
        <v>231</v>
      </c>
      <c r="K146" s="106"/>
      <c r="L146" s="108">
        <v>15</v>
      </c>
      <c r="M146" s="108">
        <f>L146*VLOOKUP(I146,dagsoorttabel1,2,FALSE)</f>
        <v>15</v>
      </c>
      <c r="N146" s="109">
        <f>prodnorm43</f>
        <v>0</v>
      </c>
      <c r="O146" s="106" t="s">
        <v>105</v>
      </c>
      <c r="P146" s="28">
        <f>uurtarief43</f>
        <v>0</v>
      </c>
      <c r="Q146" s="108" t="e">
        <f>IF(ISBLANK(N146),0,M146/ROUND(N146,4))</f>
        <v>#DIV/0!</v>
      </c>
      <c r="R146" s="28" t="e">
        <f>ROUND(P146,2)*Q146</f>
        <v>#DIV/0!</v>
      </c>
      <c r="S146" s="108" t="e">
        <f>Q146*dagenperjaar1</f>
        <v>#DIV/0!</v>
      </c>
      <c r="T146" s="29" t="e">
        <f>S146*ROUND(P146,2)</f>
        <v>#DIV/0!</v>
      </c>
    </row>
    <row r="147" spans="1:20" x14ac:dyDescent="0.2">
      <c r="A147" s="105" t="s">
        <v>321</v>
      </c>
      <c r="B147" s="106" t="s">
        <v>37</v>
      </c>
      <c r="C147" s="106" t="s">
        <v>462</v>
      </c>
      <c r="D147" s="106" t="s">
        <v>495</v>
      </c>
      <c r="E147" s="106" t="s">
        <v>37</v>
      </c>
      <c r="F147" s="107" t="s">
        <v>393</v>
      </c>
      <c r="G147" s="106" t="s">
        <v>325</v>
      </c>
      <c r="H147" s="106" t="s">
        <v>237</v>
      </c>
      <c r="I147" s="106" t="s">
        <v>9</v>
      </c>
      <c r="J147" s="106" t="s">
        <v>231</v>
      </c>
      <c r="K147" s="106"/>
      <c r="L147" s="108">
        <v>16.899999999999999</v>
      </c>
      <c r="M147" s="108">
        <f>L147*VLOOKUP(I147,dagsoorttabel1,2,FALSE)</f>
        <v>16.899999999999999</v>
      </c>
      <c r="N147" s="109">
        <f>prodnorm43</f>
        <v>0</v>
      </c>
      <c r="O147" s="106" t="s">
        <v>105</v>
      </c>
      <c r="P147" s="28">
        <f>uurtarief43</f>
        <v>0</v>
      </c>
      <c r="Q147" s="108" t="e">
        <f>IF(ISBLANK(N147),0,M147/ROUND(N147,4))</f>
        <v>#DIV/0!</v>
      </c>
      <c r="R147" s="28" t="e">
        <f>ROUND(P147,2)*Q147</f>
        <v>#DIV/0!</v>
      </c>
      <c r="S147" s="108" t="e">
        <f>Q147*dagenperjaar1</f>
        <v>#DIV/0!</v>
      </c>
      <c r="T147" s="29" t="e">
        <f>S147*ROUND(P147,2)</f>
        <v>#DIV/0!</v>
      </c>
    </row>
    <row r="148" spans="1:20" x14ac:dyDescent="0.2">
      <c r="A148" s="105" t="s">
        <v>321</v>
      </c>
      <c r="B148" s="106" t="s">
        <v>37</v>
      </c>
      <c r="C148" s="106" t="s">
        <v>462</v>
      </c>
      <c r="D148" s="106" t="s">
        <v>496</v>
      </c>
      <c r="E148" s="106" t="s">
        <v>37</v>
      </c>
      <c r="F148" s="107" t="s">
        <v>381</v>
      </c>
      <c r="G148" s="106" t="s">
        <v>325</v>
      </c>
      <c r="H148" s="106" t="s">
        <v>237</v>
      </c>
      <c r="I148" s="106" t="s">
        <v>9</v>
      </c>
      <c r="J148" s="106" t="s">
        <v>231</v>
      </c>
      <c r="K148" s="106"/>
      <c r="L148" s="108">
        <v>115.06</v>
      </c>
      <c r="M148" s="108">
        <f>L148*VLOOKUP(I148,dagsoorttabel1,2,FALSE)</f>
        <v>115.06</v>
      </c>
      <c r="N148" s="109">
        <f>prodnorm43</f>
        <v>0</v>
      </c>
      <c r="O148" s="106" t="s">
        <v>105</v>
      </c>
      <c r="P148" s="28">
        <f>uurtarief43</f>
        <v>0</v>
      </c>
      <c r="Q148" s="108" t="e">
        <f>IF(ISBLANK(N148),0,M148/ROUND(N148,4))</f>
        <v>#DIV/0!</v>
      </c>
      <c r="R148" s="28" t="e">
        <f>ROUND(P148,2)*Q148</f>
        <v>#DIV/0!</v>
      </c>
      <c r="S148" s="108" t="e">
        <f>Q148*dagenperjaar1</f>
        <v>#DIV/0!</v>
      </c>
      <c r="T148" s="29" t="e">
        <f>S148*ROUND(P148,2)</f>
        <v>#DIV/0!</v>
      </c>
    </row>
    <row r="149" spans="1:20" x14ac:dyDescent="0.2">
      <c r="A149" s="105" t="s">
        <v>321</v>
      </c>
      <c r="B149" s="106" t="s">
        <v>37</v>
      </c>
      <c r="C149" s="106" t="s">
        <v>462</v>
      </c>
      <c r="D149" s="106" t="s">
        <v>497</v>
      </c>
      <c r="E149" s="106" t="s">
        <v>37</v>
      </c>
      <c r="F149" s="107" t="s">
        <v>384</v>
      </c>
      <c r="G149" s="106" t="s">
        <v>325</v>
      </c>
      <c r="H149" s="106" t="s">
        <v>237</v>
      </c>
      <c r="I149" s="106" t="s">
        <v>9</v>
      </c>
      <c r="J149" s="106" t="s">
        <v>231</v>
      </c>
      <c r="K149" s="106"/>
      <c r="L149" s="108">
        <v>1.1200000000000001</v>
      </c>
      <c r="M149" s="108">
        <f>L149*VLOOKUP(I149,dagsoorttabel1,2,FALSE)</f>
        <v>1.1200000000000001</v>
      </c>
      <c r="N149" s="109">
        <f>prodnorm43</f>
        <v>0</v>
      </c>
      <c r="O149" s="106" t="s">
        <v>105</v>
      </c>
      <c r="P149" s="28">
        <f>uurtarief43</f>
        <v>0</v>
      </c>
      <c r="Q149" s="108" t="e">
        <f>IF(ISBLANK(N149),0,M149/ROUND(N149,4))</f>
        <v>#DIV/0!</v>
      </c>
      <c r="R149" s="28" t="e">
        <f>ROUND(P149,2)*Q149</f>
        <v>#DIV/0!</v>
      </c>
      <c r="S149" s="108" t="e">
        <f>Q149*dagenperjaar1</f>
        <v>#DIV/0!</v>
      </c>
      <c r="T149" s="29" t="e">
        <f>S149*ROUND(P149,2)</f>
        <v>#DIV/0!</v>
      </c>
    </row>
    <row r="150" spans="1:20" x14ac:dyDescent="0.2">
      <c r="A150" s="105" t="s">
        <v>321</v>
      </c>
      <c r="B150" s="106" t="s">
        <v>37</v>
      </c>
      <c r="C150" s="106" t="s">
        <v>462</v>
      </c>
      <c r="D150" s="106" t="s">
        <v>498</v>
      </c>
      <c r="E150" s="106" t="s">
        <v>37</v>
      </c>
      <c r="F150" s="107" t="s">
        <v>384</v>
      </c>
      <c r="G150" s="106" t="s">
        <v>325</v>
      </c>
      <c r="H150" s="106" t="s">
        <v>237</v>
      </c>
      <c r="I150" s="106" t="s">
        <v>9</v>
      </c>
      <c r="J150" s="106" t="s">
        <v>231</v>
      </c>
      <c r="K150" s="106"/>
      <c r="L150" s="108">
        <v>1.1200000000000001</v>
      </c>
      <c r="M150" s="108">
        <f>L150*VLOOKUP(I150,dagsoorttabel1,2,FALSE)</f>
        <v>1.1200000000000001</v>
      </c>
      <c r="N150" s="109">
        <f>prodnorm43</f>
        <v>0</v>
      </c>
      <c r="O150" s="106" t="s">
        <v>105</v>
      </c>
      <c r="P150" s="28">
        <f>uurtarief43</f>
        <v>0</v>
      </c>
      <c r="Q150" s="108" t="e">
        <f>IF(ISBLANK(N150),0,M150/ROUND(N150,4))</f>
        <v>#DIV/0!</v>
      </c>
      <c r="R150" s="28" t="e">
        <f>ROUND(P150,2)*Q150</f>
        <v>#DIV/0!</v>
      </c>
      <c r="S150" s="108" t="e">
        <f>Q150*dagenperjaar1</f>
        <v>#DIV/0!</v>
      </c>
      <c r="T150" s="29" t="e">
        <f>S150*ROUND(P150,2)</f>
        <v>#DIV/0!</v>
      </c>
    </row>
    <row r="151" spans="1:20" x14ac:dyDescent="0.2">
      <c r="A151" s="105" t="s">
        <v>321</v>
      </c>
      <c r="B151" s="106" t="s">
        <v>37</v>
      </c>
      <c r="C151" s="106" t="s">
        <v>462</v>
      </c>
      <c r="D151" s="106" t="s">
        <v>499</v>
      </c>
      <c r="E151" s="106" t="s">
        <v>37</v>
      </c>
      <c r="F151" s="107" t="s">
        <v>345</v>
      </c>
      <c r="G151" s="106" t="s">
        <v>379</v>
      </c>
      <c r="H151" s="106" t="s">
        <v>273</v>
      </c>
      <c r="I151" s="106" t="s">
        <v>9</v>
      </c>
      <c r="J151" s="106" t="s">
        <v>231</v>
      </c>
      <c r="K151" s="106"/>
      <c r="L151" s="108">
        <v>4.7</v>
      </c>
      <c r="M151" s="108">
        <f>L151*VLOOKUP(I151,dagsoorttabel1,2,FALSE)</f>
        <v>4.7</v>
      </c>
      <c r="N151" s="109">
        <f>prodnorm113</f>
        <v>0</v>
      </c>
      <c r="O151" s="106" t="s">
        <v>105</v>
      </c>
      <c r="P151" s="28">
        <f>uurtarief113</f>
        <v>0</v>
      </c>
      <c r="Q151" s="108" t="e">
        <f>IF(ISBLANK(N151),0,M151/ROUND(N151,4))</f>
        <v>#DIV/0!</v>
      </c>
      <c r="R151" s="28" t="e">
        <f>ROUND(P151,2)*Q151</f>
        <v>#DIV/0!</v>
      </c>
      <c r="S151" s="108" t="e">
        <f>Q151*dagenperjaar1</f>
        <v>#DIV/0!</v>
      </c>
      <c r="T151" s="29" t="e">
        <f>S151*ROUND(P151,2)</f>
        <v>#DIV/0!</v>
      </c>
    </row>
    <row r="152" spans="1:20" x14ac:dyDescent="0.2">
      <c r="A152" s="105" t="s">
        <v>321</v>
      </c>
      <c r="B152" s="106" t="s">
        <v>37</v>
      </c>
      <c r="C152" s="106" t="s">
        <v>462</v>
      </c>
      <c r="D152" s="106" t="s">
        <v>500</v>
      </c>
      <c r="E152" s="106" t="s">
        <v>37</v>
      </c>
      <c r="F152" s="107" t="s">
        <v>465</v>
      </c>
      <c r="G152" s="106" t="s">
        <v>379</v>
      </c>
      <c r="H152" s="106" t="s">
        <v>290</v>
      </c>
      <c r="I152" s="106" t="s">
        <v>9</v>
      </c>
      <c r="J152" s="106" t="s">
        <v>231</v>
      </c>
      <c r="K152" s="106"/>
      <c r="L152" s="108">
        <v>8.9</v>
      </c>
      <c r="M152" s="108">
        <f>L152*VLOOKUP(I152,dagsoorttabel1,2,FALSE)</f>
        <v>8.9</v>
      </c>
      <c r="N152" s="109">
        <f>prodnorm146</f>
        <v>0</v>
      </c>
      <c r="O152" s="106" t="s">
        <v>105</v>
      </c>
      <c r="P152" s="28">
        <f>uurtarief146</f>
        <v>0</v>
      </c>
      <c r="Q152" s="108" t="e">
        <f>IF(ISBLANK(N152),0,M152/ROUND(N152,4))</f>
        <v>#DIV/0!</v>
      </c>
      <c r="R152" s="28" t="e">
        <f>ROUND(P152,2)*Q152</f>
        <v>#DIV/0!</v>
      </c>
      <c r="S152" s="108" t="e">
        <f>Q152*dagenperjaar1</f>
        <v>#DIV/0!</v>
      </c>
      <c r="T152" s="29" t="e">
        <f>S152*ROUND(P152,2)</f>
        <v>#DIV/0!</v>
      </c>
    </row>
    <row r="153" spans="1:20" x14ac:dyDescent="0.2">
      <c r="A153" s="105" t="s">
        <v>321</v>
      </c>
      <c r="B153" s="106" t="s">
        <v>37</v>
      </c>
      <c r="C153" s="106" t="s">
        <v>462</v>
      </c>
      <c r="D153" s="106" t="s">
        <v>501</v>
      </c>
      <c r="E153" s="106" t="s">
        <v>37</v>
      </c>
      <c r="F153" s="107" t="s">
        <v>454</v>
      </c>
      <c r="G153" s="106" t="s">
        <v>325</v>
      </c>
      <c r="H153" s="106" t="s">
        <v>275</v>
      </c>
      <c r="I153" s="106" t="s">
        <v>9</v>
      </c>
      <c r="J153" s="106" t="s">
        <v>231</v>
      </c>
      <c r="K153" s="106"/>
      <c r="L153" s="108">
        <v>3.1</v>
      </c>
      <c r="M153" s="108">
        <f>L153*VLOOKUP(I153,dagsoorttabel1,2,FALSE)</f>
        <v>3.1</v>
      </c>
      <c r="N153" s="109">
        <f>prodnorm118</f>
        <v>0</v>
      </c>
      <c r="O153" s="106" t="s">
        <v>105</v>
      </c>
      <c r="P153" s="28">
        <f>uurtarief118</f>
        <v>0</v>
      </c>
      <c r="Q153" s="108" t="e">
        <f>IF(ISBLANK(N153),0,M153/ROUND(N153,4))</f>
        <v>#DIV/0!</v>
      </c>
      <c r="R153" s="28" t="e">
        <f>ROUND(P153,2)*Q153</f>
        <v>#DIV/0!</v>
      </c>
      <c r="S153" s="108" t="e">
        <f>Q153*dagenperjaar1</f>
        <v>#DIV/0!</v>
      </c>
      <c r="T153" s="29" t="e">
        <f>S153*ROUND(P153,2)</f>
        <v>#DIV/0!</v>
      </c>
    </row>
    <row r="154" spans="1:20" x14ac:dyDescent="0.2">
      <c r="A154" s="105" t="s">
        <v>321</v>
      </c>
      <c r="B154" s="106" t="s">
        <v>37</v>
      </c>
      <c r="C154" s="106" t="s">
        <v>462</v>
      </c>
      <c r="D154" s="106" t="s">
        <v>502</v>
      </c>
      <c r="E154" s="106" t="s">
        <v>37</v>
      </c>
      <c r="F154" s="107" t="s">
        <v>360</v>
      </c>
      <c r="G154" s="106" t="s">
        <v>346</v>
      </c>
      <c r="H154" s="106" t="s">
        <v>267</v>
      </c>
      <c r="I154" s="106" t="s">
        <v>9</v>
      </c>
      <c r="J154" s="106" t="s">
        <v>231</v>
      </c>
      <c r="K154" s="106"/>
      <c r="L154" s="108">
        <v>6</v>
      </c>
      <c r="M154" s="108">
        <f>L154*VLOOKUP(I154,dagsoorttabel1,2,FALSE)</f>
        <v>6</v>
      </c>
      <c r="N154" s="109">
        <f>prodnorm101</f>
        <v>0</v>
      </c>
      <c r="O154" s="106" t="s">
        <v>105</v>
      </c>
      <c r="P154" s="28">
        <f>uurtarief101</f>
        <v>0</v>
      </c>
      <c r="Q154" s="108" t="e">
        <f>IF(ISBLANK(N154),0,M154/ROUND(N154,4))</f>
        <v>#DIV/0!</v>
      </c>
      <c r="R154" s="28" t="e">
        <f>ROUND(P154,2)*Q154</f>
        <v>#DIV/0!</v>
      </c>
      <c r="S154" s="108" t="e">
        <f>Q154*dagenperjaar1</f>
        <v>#DIV/0!</v>
      </c>
      <c r="T154" s="29" t="e">
        <f>S154*ROUND(P154,2)</f>
        <v>#DIV/0!</v>
      </c>
    </row>
    <row r="155" spans="1:20" x14ac:dyDescent="0.2">
      <c r="A155" s="105" t="s">
        <v>321</v>
      </c>
      <c r="B155" s="106" t="s">
        <v>37</v>
      </c>
      <c r="C155" s="106" t="s">
        <v>462</v>
      </c>
      <c r="D155" s="106" t="s">
        <v>502</v>
      </c>
      <c r="E155" s="106" t="s">
        <v>37</v>
      </c>
      <c r="F155" s="107" t="s">
        <v>360</v>
      </c>
      <c r="G155" s="106" t="s">
        <v>346</v>
      </c>
      <c r="H155" s="106" t="s">
        <v>269</v>
      </c>
      <c r="I155" s="106" t="s">
        <v>9</v>
      </c>
      <c r="J155" s="106" t="s">
        <v>231</v>
      </c>
      <c r="K155" s="106"/>
      <c r="L155" s="108">
        <v>6</v>
      </c>
      <c r="M155" s="108">
        <f>L155*VLOOKUP(I155,dagsoorttabel1,2,FALSE)</f>
        <v>6</v>
      </c>
      <c r="N155" s="109">
        <f>prodnorm103</f>
        <v>0</v>
      </c>
      <c r="O155" s="106" t="s">
        <v>105</v>
      </c>
      <c r="P155" s="28">
        <f>uurtarief103</f>
        <v>0</v>
      </c>
      <c r="Q155" s="108" t="e">
        <f>IF(ISBLANK(N155),0,M155/ROUND(N155,4))</f>
        <v>#DIV/0!</v>
      </c>
      <c r="R155" s="28" t="e">
        <f>ROUND(P155,2)*Q155</f>
        <v>#DIV/0!</v>
      </c>
      <c r="S155" s="108" t="e">
        <f>Q155*dagenperjaar1</f>
        <v>#DIV/0!</v>
      </c>
      <c r="T155" s="29" t="e">
        <f>S155*ROUND(P155,2)</f>
        <v>#DIV/0!</v>
      </c>
    </row>
    <row r="156" spans="1:20" x14ac:dyDescent="0.2">
      <c r="A156" s="105" t="s">
        <v>321</v>
      </c>
      <c r="B156" s="106" t="s">
        <v>37</v>
      </c>
      <c r="C156" s="106" t="s">
        <v>462</v>
      </c>
      <c r="D156" s="106" t="s">
        <v>503</v>
      </c>
      <c r="E156" s="106" t="s">
        <v>37</v>
      </c>
      <c r="F156" s="107" t="s">
        <v>364</v>
      </c>
      <c r="G156" s="106" t="s">
        <v>346</v>
      </c>
      <c r="H156" s="106" t="s">
        <v>267</v>
      </c>
      <c r="I156" s="106" t="s">
        <v>9</v>
      </c>
      <c r="J156" s="106" t="s">
        <v>231</v>
      </c>
      <c r="K156" s="106"/>
      <c r="L156" s="108">
        <v>6</v>
      </c>
      <c r="M156" s="108">
        <f>L156*VLOOKUP(I156,dagsoorttabel1,2,FALSE)</f>
        <v>6</v>
      </c>
      <c r="N156" s="109">
        <f>prodnorm101</f>
        <v>0</v>
      </c>
      <c r="O156" s="106" t="s">
        <v>105</v>
      </c>
      <c r="P156" s="28">
        <f>uurtarief101</f>
        <v>0</v>
      </c>
      <c r="Q156" s="108" t="e">
        <f>IF(ISBLANK(N156),0,M156/ROUND(N156,4))</f>
        <v>#DIV/0!</v>
      </c>
      <c r="R156" s="28" t="e">
        <f>ROUND(P156,2)*Q156</f>
        <v>#DIV/0!</v>
      </c>
      <c r="S156" s="108" t="e">
        <f>Q156*dagenperjaar1</f>
        <v>#DIV/0!</v>
      </c>
      <c r="T156" s="29" t="e">
        <f>S156*ROUND(P156,2)</f>
        <v>#DIV/0!</v>
      </c>
    </row>
    <row r="157" spans="1:20" x14ac:dyDescent="0.2">
      <c r="A157" s="105" t="s">
        <v>321</v>
      </c>
      <c r="B157" s="106" t="s">
        <v>37</v>
      </c>
      <c r="C157" s="106" t="s">
        <v>462</v>
      </c>
      <c r="D157" s="106" t="s">
        <v>503</v>
      </c>
      <c r="E157" s="106" t="s">
        <v>37</v>
      </c>
      <c r="F157" s="107" t="s">
        <v>364</v>
      </c>
      <c r="G157" s="106" t="s">
        <v>346</v>
      </c>
      <c r="H157" s="106" t="s">
        <v>269</v>
      </c>
      <c r="I157" s="106" t="s">
        <v>9</v>
      </c>
      <c r="J157" s="106" t="s">
        <v>231</v>
      </c>
      <c r="K157" s="106"/>
      <c r="L157" s="108">
        <v>6</v>
      </c>
      <c r="M157" s="108">
        <f>L157*VLOOKUP(I157,dagsoorttabel1,2,FALSE)</f>
        <v>6</v>
      </c>
      <c r="N157" s="109">
        <f>prodnorm103</f>
        <v>0</v>
      </c>
      <c r="O157" s="106" t="s">
        <v>105</v>
      </c>
      <c r="P157" s="28">
        <f>uurtarief103</f>
        <v>0</v>
      </c>
      <c r="Q157" s="108" t="e">
        <f>IF(ISBLANK(N157),0,M157/ROUND(N157,4))</f>
        <v>#DIV/0!</v>
      </c>
      <c r="R157" s="28" t="e">
        <f>ROUND(P157,2)*Q157</f>
        <v>#DIV/0!</v>
      </c>
      <c r="S157" s="108" t="e">
        <f>Q157*dagenperjaar1</f>
        <v>#DIV/0!</v>
      </c>
      <c r="T157" s="29" t="e">
        <f>S157*ROUND(P157,2)</f>
        <v>#DIV/0!</v>
      </c>
    </row>
    <row r="158" spans="1:20" x14ac:dyDescent="0.2">
      <c r="A158" s="105" t="s">
        <v>321</v>
      </c>
      <c r="B158" s="106" t="s">
        <v>37</v>
      </c>
      <c r="C158" s="106" t="s">
        <v>462</v>
      </c>
      <c r="D158" s="106" t="s">
        <v>504</v>
      </c>
      <c r="E158" s="106" t="s">
        <v>37</v>
      </c>
      <c r="F158" s="107" t="s">
        <v>337</v>
      </c>
      <c r="G158" s="106" t="s">
        <v>325</v>
      </c>
      <c r="H158" s="106" t="s">
        <v>243</v>
      </c>
      <c r="I158" s="106" t="s">
        <v>9</v>
      </c>
      <c r="J158" s="106" t="s">
        <v>231</v>
      </c>
      <c r="K158" s="106"/>
      <c r="L158" s="108">
        <v>13.2</v>
      </c>
      <c r="M158" s="108">
        <f>L158*VLOOKUP(I158,dagsoorttabel1,2,FALSE)</f>
        <v>13.2</v>
      </c>
      <c r="N158" s="109">
        <f>prodnorm51</f>
        <v>0</v>
      </c>
      <c r="O158" s="106" t="s">
        <v>105</v>
      </c>
      <c r="P158" s="28">
        <f>uurtarief51</f>
        <v>0</v>
      </c>
      <c r="Q158" s="108" t="e">
        <f>IF(ISBLANK(N158),0,M158/ROUND(N158,4))</f>
        <v>#DIV/0!</v>
      </c>
      <c r="R158" s="28" t="e">
        <f>ROUND(P158,2)*Q158</f>
        <v>#DIV/0!</v>
      </c>
      <c r="S158" s="108" t="e">
        <f>Q158*dagenperjaar1</f>
        <v>#DIV/0!</v>
      </c>
      <c r="T158" s="29" t="e">
        <f>S158*ROUND(P158,2)</f>
        <v>#DIV/0!</v>
      </c>
    </row>
    <row r="159" spans="1:20" x14ac:dyDescent="0.2">
      <c r="A159" s="105" t="s">
        <v>321</v>
      </c>
      <c r="B159" s="106" t="s">
        <v>37</v>
      </c>
      <c r="C159" s="106" t="s">
        <v>462</v>
      </c>
      <c r="D159" s="106" t="s">
        <v>505</v>
      </c>
      <c r="E159" s="106" t="s">
        <v>37</v>
      </c>
      <c r="F159" s="107" t="s">
        <v>381</v>
      </c>
      <c r="G159" s="106" t="s">
        <v>325</v>
      </c>
      <c r="H159" s="106" t="s">
        <v>237</v>
      </c>
      <c r="I159" s="106" t="s">
        <v>9</v>
      </c>
      <c r="J159" s="106" t="s">
        <v>231</v>
      </c>
      <c r="K159" s="106"/>
      <c r="L159" s="108">
        <v>51</v>
      </c>
      <c r="M159" s="108">
        <f>L159*VLOOKUP(I159,dagsoorttabel1,2,FALSE)</f>
        <v>51</v>
      </c>
      <c r="N159" s="109">
        <f>prodnorm43</f>
        <v>0</v>
      </c>
      <c r="O159" s="106" t="s">
        <v>105</v>
      </c>
      <c r="P159" s="28">
        <f>uurtarief43</f>
        <v>0</v>
      </c>
      <c r="Q159" s="108" t="e">
        <f>IF(ISBLANK(N159),0,M159/ROUND(N159,4))</f>
        <v>#DIV/0!</v>
      </c>
      <c r="R159" s="28" t="e">
        <f>ROUND(P159,2)*Q159</f>
        <v>#DIV/0!</v>
      </c>
      <c r="S159" s="108" t="e">
        <f>Q159*dagenperjaar1</f>
        <v>#DIV/0!</v>
      </c>
      <c r="T159" s="29" t="e">
        <f>S159*ROUND(P159,2)</f>
        <v>#DIV/0!</v>
      </c>
    </row>
    <row r="160" spans="1:20" x14ac:dyDescent="0.2">
      <c r="A160" s="105" t="s">
        <v>321</v>
      </c>
      <c r="B160" s="106" t="s">
        <v>37</v>
      </c>
      <c r="C160" s="106" t="s">
        <v>506</v>
      </c>
      <c r="D160" s="106" t="s">
        <v>507</v>
      </c>
      <c r="E160" s="106" t="s">
        <v>37</v>
      </c>
      <c r="F160" s="107" t="s">
        <v>345</v>
      </c>
      <c r="G160" s="106" t="s">
        <v>325</v>
      </c>
      <c r="H160" s="106" t="s">
        <v>275</v>
      </c>
      <c r="I160" s="106" t="s">
        <v>10</v>
      </c>
      <c r="J160" s="106" t="s">
        <v>231</v>
      </c>
      <c r="K160" s="106"/>
      <c r="L160" s="108">
        <v>8.1</v>
      </c>
      <c r="M160" s="108">
        <f>L160*VLOOKUP(I160,dagsoorttabel1,2,FALSE)</f>
        <v>6.48</v>
      </c>
      <c r="N160" s="109">
        <f>prodnorm117</f>
        <v>0</v>
      </c>
      <c r="O160" s="106" t="s">
        <v>105</v>
      </c>
      <c r="P160" s="28">
        <f>uurtarief117</f>
        <v>0</v>
      </c>
      <c r="Q160" s="108" t="e">
        <f>IF(ISBLANK(N160),0,M160/ROUND(N160,4))</f>
        <v>#DIV/0!</v>
      </c>
      <c r="R160" s="28" t="e">
        <f>ROUND(P160,2)*Q160</f>
        <v>#DIV/0!</v>
      </c>
      <c r="S160" s="108" t="e">
        <f>Q160*dagenperjaar1</f>
        <v>#DIV/0!</v>
      </c>
      <c r="T160" s="29" t="e">
        <f>S160*ROUND(P160,2)</f>
        <v>#DIV/0!</v>
      </c>
    </row>
    <row r="161" spans="1:20" x14ac:dyDescent="0.2">
      <c r="A161" s="105" t="s">
        <v>321</v>
      </c>
      <c r="B161" s="106" t="s">
        <v>37</v>
      </c>
      <c r="C161" s="106" t="s">
        <v>506</v>
      </c>
      <c r="D161" s="106" t="s">
        <v>508</v>
      </c>
      <c r="E161" s="106" t="s">
        <v>37</v>
      </c>
      <c r="F161" s="107" t="s">
        <v>335</v>
      </c>
      <c r="G161" s="106" t="s">
        <v>325</v>
      </c>
      <c r="H161" s="106" t="s">
        <v>275</v>
      </c>
      <c r="I161" s="106" t="s">
        <v>10</v>
      </c>
      <c r="J161" s="106" t="s">
        <v>231</v>
      </c>
      <c r="K161" s="106"/>
      <c r="L161" s="108">
        <v>19.3</v>
      </c>
      <c r="M161" s="108">
        <f>L161*VLOOKUP(I161,dagsoorttabel1,2,FALSE)</f>
        <v>15.440000000000001</v>
      </c>
      <c r="N161" s="109">
        <f>prodnorm117</f>
        <v>0</v>
      </c>
      <c r="O161" s="106" t="s">
        <v>105</v>
      </c>
      <c r="P161" s="28">
        <f>uurtarief117</f>
        <v>0</v>
      </c>
      <c r="Q161" s="108" t="e">
        <f>IF(ISBLANK(N161),0,M161/ROUND(N161,4))</f>
        <v>#DIV/0!</v>
      </c>
      <c r="R161" s="28" t="e">
        <f>ROUND(P161,2)*Q161</f>
        <v>#DIV/0!</v>
      </c>
      <c r="S161" s="108" t="e">
        <f>Q161*dagenperjaar1</f>
        <v>#DIV/0!</v>
      </c>
      <c r="T161" s="29" t="e">
        <f>S161*ROUND(P161,2)</f>
        <v>#DIV/0!</v>
      </c>
    </row>
    <row r="162" spans="1:20" x14ac:dyDescent="0.2">
      <c r="A162" s="105" t="s">
        <v>321</v>
      </c>
      <c r="B162" s="106" t="s">
        <v>37</v>
      </c>
      <c r="C162" s="106" t="s">
        <v>506</v>
      </c>
      <c r="D162" s="106" t="s">
        <v>509</v>
      </c>
      <c r="E162" s="106" t="s">
        <v>37</v>
      </c>
      <c r="F162" s="107" t="s">
        <v>381</v>
      </c>
      <c r="G162" s="106" t="s">
        <v>325</v>
      </c>
      <c r="H162" s="106" t="s">
        <v>237</v>
      </c>
      <c r="I162" s="106" t="s">
        <v>10</v>
      </c>
      <c r="J162" s="106" t="s">
        <v>231</v>
      </c>
      <c r="K162" s="106"/>
      <c r="L162" s="108">
        <v>138.76</v>
      </c>
      <c r="M162" s="108">
        <f>L162*VLOOKUP(I162,dagsoorttabel1,2,FALSE)</f>
        <v>111.008</v>
      </c>
      <c r="N162" s="109">
        <f>prodnorm42</f>
        <v>0</v>
      </c>
      <c r="O162" s="106" t="s">
        <v>105</v>
      </c>
      <c r="P162" s="28">
        <f>uurtarief42</f>
        <v>0</v>
      </c>
      <c r="Q162" s="108" t="e">
        <f>IF(ISBLANK(N162),0,M162/ROUND(N162,4))</f>
        <v>#DIV/0!</v>
      </c>
      <c r="R162" s="28" t="e">
        <f>ROUND(P162,2)*Q162</f>
        <v>#DIV/0!</v>
      </c>
      <c r="S162" s="108" t="e">
        <f>Q162*dagenperjaar1</f>
        <v>#DIV/0!</v>
      </c>
      <c r="T162" s="29" t="e">
        <f>S162*ROUND(P162,2)</f>
        <v>#DIV/0!</v>
      </c>
    </row>
    <row r="163" spans="1:20" x14ac:dyDescent="0.2">
      <c r="A163" s="105" t="s">
        <v>321</v>
      </c>
      <c r="B163" s="106" t="s">
        <v>37</v>
      </c>
      <c r="C163" s="106" t="s">
        <v>506</v>
      </c>
      <c r="D163" s="106" t="s">
        <v>510</v>
      </c>
      <c r="E163" s="106" t="s">
        <v>37</v>
      </c>
      <c r="F163" s="107" t="s">
        <v>384</v>
      </c>
      <c r="G163" s="106" t="s">
        <v>325</v>
      </c>
      <c r="H163" s="106" t="s">
        <v>237</v>
      </c>
      <c r="I163" s="106" t="s">
        <v>9</v>
      </c>
      <c r="J163" s="106" t="s">
        <v>231</v>
      </c>
      <c r="K163" s="106"/>
      <c r="L163" s="108">
        <v>1.1200000000000001</v>
      </c>
      <c r="M163" s="108">
        <f>L163*VLOOKUP(I163,dagsoorttabel1,2,FALSE)</f>
        <v>1.1200000000000001</v>
      </c>
      <c r="N163" s="109">
        <f>prodnorm43</f>
        <v>0</v>
      </c>
      <c r="O163" s="106" t="s">
        <v>105</v>
      </c>
      <c r="P163" s="28">
        <f>uurtarief43</f>
        <v>0</v>
      </c>
      <c r="Q163" s="108" t="e">
        <f>IF(ISBLANK(N163),0,M163/ROUND(N163,4))</f>
        <v>#DIV/0!</v>
      </c>
      <c r="R163" s="28" t="e">
        <f>ROUND(P163,2)*Q163</f>
        <v>#DIV/0!</v>
      </c>
      <c r="S163" s="108" t="e">
        <f>Q163*dagenperjaar1</f>
        <v>#DIV/0!</v>
      </c>
      <c r="T163" s="29" t="e">
        <f>S163*ROUND(P163,2)</f>
        <v>#DIV/0!</v>
      </c>
    </row>
    <row r="164" spans="1:20" x14ac:dyDescent="0.2">
      <c r="A164" s="105" t="s">
        <v>321</v>
      </c>
      <c r="B164" s="106" t="s">
        <v>37</v>
      </c>
      <c r="C164" s="106" t="s">
        <v>506</v>
      </c>
      <c r="D164" s="106" t="s">
        <v>511</v>
      </c>
      <c r="E164" s="106" t="s">
        <v>37</v>
      </c>
      <c r="F164" s="107" t="s">
        <v>384</v>
      </c>
      <c r="G164" s="106" t="s">
        <v>325</v>
      </c>
      <c r="H164" s="106" t="s">
        <v>237</v>
      </c>
      <c r="I164" s="106" t="s">
        <v>9</v>
      </c>
      <c r="J164" s="106" t="s">
        <v>231</v>
      </c>
      <c r="K164" s="106"/>
      <c r="L164" s="108">
        <v>1.1200000000000001</v>
      </c>
      <c r="M164" s="108">
        <f>L164*VLOOKUP(I164,dagsoorttabel1,2,FALSE)</f>
        <v>1.1200000000000001</v>
      </c>
      <c r="N164" s="109">
        <f>prodnorm43</f>
        <v>0</v>
      </c>
      <c r="O164" s="106" t="s">
        <v>105</v>
      </c>
      <c r="P164" s="28">
        <f>uurtarief43</f>
        <v>0</v>
      </c>
      <c r="Q164" s="108" t="e">
        <f>IF(ISBLANK(N164),0,M164/ROUND(N164,4))</f>
        <v>#DIV/0!</v>
      </c>
      <c r="R164" s="28" t="e">
        <f>ROUND(P164,2)*Q164</f>
        <v>#DIV/0!</v>
      </c>
      <c r="S164" s="108" t="e">
        <f>Q164*dagenperjaar1</f>
        <v>#DIV/0!</v>
      </c>
      <c r="T164" s="29" t="e">
        <f>S164*ROUND(P164,2)</f>
        <v>#DIV/0!</v>
      </c>
    </row>
    <row r="165" spans="1:20" x14ac:dyDescent="0.2">
      <c r="A165" s="105" t="s">
        <v>321</v>
      </c>
      <c r="B165" s="106" t="s">
        <v>37</v>
      </c>
      <c r="C165" s="106" t="s">
        <v>506</v>
      </c>
      <c r="D165" s="106" t="s">
        <v>512</v>
      </c>
      <c r="E165" s="106" t="s">
        <v>37</v>
      </c>
      <c r="F165" s="107" t="s">
        <v>389</v>
      </c>
      <c r="G165" s="106" t="s">
        <v>325</v>
      </c>
      <c r="H165" s="106" t="s">
        <v>259</v>
      </c>
      <c r="I165" s="106" t="s">
        <v>10</v>
      </c>
      <c r="J165" s="106" t="s">
        <v>231</v>
      </c>
      <c r="K165" s="106"/>
      <c r="L165" s="108">
        <v>40</v>
      </c>
      <c r="M165" s="108">
        <f>L165*VLOOKUP(I165,dagsoorttabel1,2,FALSE)</f>
        <v>32</v>
      </c>
      <c r="N165" s="109">
        <f>prodnorm81</f>
        <v>0</v>
      </c>
      <c r="O165" s="106" t="s">
        <v>105</v>
      </c>
      <c r="P165" s="28">
        <f>uurtarief81</f>
        <v>0</v>
      </c>
      <c r="Q165" s="108" t="e">
        <f>IF(ISBLANK(N165),0,M165/ROUND(N165,4))</f>
        <v>#DIV/0!</v>
      </c>
      <c r="R165" s="28" t="e">
        <f>ROUND(P165,2)*Q165</f>
        <v>#DIV/0!</v>
      </c>
      <c r="S165" s="108" t="e">
        <f>Q165*dagenperjaar1</f>
        <v>#DIV/0!</v>
      </c>
      <c r="T165" s="29" t="e">
        <f>S165*ROUND(P165,2)</f>
        <v>#DIV/0!</v>
      </c>
    </row>
    <row r="166" spans="1:20" x14ac:dyDescent="0.2">
      <c r="A166" s="105" t="s">
        <v>321</v>
      </c>
      <c r="B166" s="106" t="s">
        <v>37</v>
      </c>
      <c r="C166" s="106" t="s">
        <v>506</v>
      </c>
      <c r="D166" s="106" t="s">
        <v>513</v>
      </c>
      <c r="E166" s="106" t="s">
        <v>37</v>
      </c>
      <c r="F166" s="107" t="s">
        <v>381</v>
      </c>
      <c r="G166" s="106" t="s">
        <v>325</v>
      </c>
      <c r="H166" s="106" t="s">
        <v>237</v>
      </c>
      <c r="I166" s="106" t="s">
        <v>10</v>
      </c>
      <c r="J166" s="106" t="s">
        <v>231</v>
      </c>
      <c r="K166" s="106"/>
      <c r="L166" s="108">
        <v>61.9</v>
      </c>
      <c r="M166" s="108">
        <f>L166*VLOOKUP(I166,dagsoorttabel1,2,FALSE)</f>
        <v>49.52</v>
      </c>
      <c r="N166" s="109">
        <f>prodnorm42</f>
        <v>0</v>
      </c>
      <c r="O166" s="106" t="s">
        <v>105</v>
      </c>
      <c r="P166" s="28">
        <f>uurtarief42</f>
        <v>0</v>
      </c>
      <c r="Q166" s="108" t="e">
        <f>IF(ISBLANK(N166),0,M166/ROUND(N166,4))</f>
        <v>#DIV/0!</v>
      </c>
      <c r="R166" s="28" t="e">
        <f>ROUND(P166,2)*Q166</f>
        <v>#DIV/0!</v>
      </c>
      <c r="S166" s="108" t="e">
        <f>Q166*dagenperjaar1</f>
        <v>#DIV/0!</v>
      </c>
      <c r="T166" s="29" t="e">
        <f>S166*ROUND(P166,2)</f>
        <v>#DIV/0!</v>
      </c>
    </row>
    <row r="167" spans="1:20" x14ac:dyDescent="0.2">
      <c r="A167" s="105" t="s">
        <v>321</v>
      </c>
      <c r="B167" s="106" t="s">
        <v>37</v>
      </c>
      <c r="C167" s="106" t="s">
        <v>506</v>
      </c>
      <c r="D167" s="106" t="s">
        <v>514</v>
      </c>
      <c r="E167" s="106" t="s">
        <v>37</v>
      </c>
      <c r="F167" s="107" t="s">
        <v>345</v>
      </c>
      <c r="G167" s="106" t="s">
        <v>325</v>
      </c>
      <c r="H167" s="106" t="s">
        <v>275</v>
      </c>
      <c r="I167" s="106" t="s">
        <v>10</v>
      </c>
      <c r="J167" s="106" t="s">
        <v>231</v>
      </c>
      <c r="K167" s="106"/>
      <c r="L167" s="108">
        <v>5.8</v>
      </c>
      <c r="M167" s="108">
        <f>L167*VLOOKUP(I167,dagsoorttabel1,2,FALSE)</f>
        <v>4.6399999999999997</v>
      </c>
      <c r="N167" s="109">
        <f>prodnorm117</f>
        <v>0</v>
      </c>
      <c r="O167" s="106" t="s">
        <v>105</v>
      </c>
      <c r="P167" s="28">
        <f>uurtarief117</f>
        <v>0</v>
      </c>
      <c r="Q167" s="108" t="e">
        <f>IF(ISBLANK(N167),0,M167/ROUND(N167,4))</f>
        <v>#DIV/0!</v>
      </c>
      <c r="R167" s="28" t="e">
        <f>ROUND(P167,2)*Q167</f>
        <v>#DIV/0!</v>
      </c>
      <c r="S167" s="108" t="e">
        <f>Q167*dagenperjaar1</f>
        <v>#DIV/0!</v>
      </c>
      <c r="T167" s="29" t="e">
        <f>S167*ROUND(P167,2)</f>
        <v>#DIV/0!</v>
      </c>
    </row>
    <row r="168" spans="1:20" x14ac:dyDescent="0.2">
      <c r="A168" s="105" t="s">
        <v>321</v>
      </c>
      <c r="B168" s="106" t="s">
        <v>37</v>
      </c>
      <c r="C168" s="106" t="s">
        <v>506</v>
      </c>
      <c r="D168" s="106" t="s">
        <v>515</v>
      </c>
      <c r="E168" s="106" t="s">
        <v>37</v>
      </c>
      <c r="F168" s="107" t="s">
        <v>335</v>
      </c>
      <c r="G168" s="106" t="s">
        <v>325</v>
      </c>
      <c r="H168" s="106" t="s">
        <v>275</v>
      </c>
      <c r="I168" s="106" t="s">
        <v>10</v>
      </c>
      <c r="J168" s="106" t="s">
        <v>231</v>
      </c>
      <c r="K168" s="106"/>
      <c r="L168" s="108">
        <v>14.6</v>
      </c>
      <c r="M168" s="108">
        <f>L168*VLOOKUP(I168,dagsoorttabel1,2,FALSE)</f>
        <v>11.68</v>
      </c>
      <c r="N168" s="109">
        <f>prodnorm117</f>
        <v>0</v>
      </c>
      <c r="O168" s="106" t="s">
        <v>105</v>
      </c>
      <c r="P168" s="28">
        <f>uurtarief117</f>
        <v>0</v>
      </c>
      <c r="Q168" s="108" t="e">
        <f>IF(ISBLANK(N168),0,M168/ROUND(N168,4))</f>
        <v>#DIV/0!</v>
      </c>
      <c r="R168" s="28" t="e">
        <f>ROUND(P168,2)*Q168</f>
        <v>#DIV/0!</v>
      </c>
      <c r="S168" s="108" t="e">
        <f>Q168*dagenperjaar1</f>
        <v>#DIV/0!</v>
      </c>
      <c r="T168" s="29" t="e">
        <f>S168*ROUND(P168,2)</f>
        <v>#DIV/0!</v>
      </c>
    </row>
    <row r="169" spans="1:20" x14ac:dyDescent="0.2">
      <c r="A169" s="105" t="s">
        <v>321</v>
      </c>
      <c r="B169" s="106" t="s">
        <v>37</v>
      </c>
      <c r="C169" s="106" t="s">
        <v>506</v>
      </c>
      <c r="D169" s="106" t="s">
        <v>516</v>
      </c>
      <c r="E169" s="106" t="s">
        <v>37</v>
      </c>
      <c r="F169" s="107" t="s">
        <v>360</v>
      </c>
      <c r="G169" s="106" t="s">
        <v>346</v>
      </c>
      <c r="H169" s="106" t="s">
        <v>267</v>
      </c>
      <c r="I169" s="106" t="s">
        <v>10</v>
      </c>
      <c r="J169" s="106" t="s">
        <v>231</v>
      </c>
      <c r="K169" s="106"/>
      <c r="L169" s="108">
        <v>7.7</v>
      </c>
      <c r="M169" s="108">
        <f>L169*VLOOKUP(I169,dagsoorttabel1,2,FALSE)</f>
        <v>6.16</v>
      </c>
      <c r="N169" s="109">
        <f>prodnorm100</f>
        <v>0</v>
      </c>
      <c r="O169" s="106" t="s">
        <v>105</v>
      </c>
      <c r="P169" s="28">
        <f>uurtarief100</f>
        <v>0</v>
      </c>
      <c r="Q169" s="108" t="e">
        <f>IF(ISBLANK(N169),0,M169/ROUND(N169,4))</f>
        <v>#DIV/0!</v>
      </c>
      <c r="R169" s="28" t="e">
        <f>ROUND(P169,2)*Q169</f>
        <v>#DIV/0!</v>
      </c>
      <c r="S169" s="108" t="e">
        <f>Q169*dagenperjaar1</f>
        <v>#DIV/0!</v>
      </c>
      <c r="T169" s="29" t="e">
        <f>S169*ROUND(P169,2)</f>
        <v>#DIV/0!</v>
      </c>
    </row>
    <row r="170" spans="1:20" x14ac:dyDescent="0.2">
      <c r="A170" s="105" t="s">
        <v>321</v>
      </c>
      <c r="B170" s="106" t="s">
        <v>37</v>
      </c>
      <c r="C170" s="106" t="s">
        <v>506</v>
      </c>
      <c r="D170" s="106" t="s">
        <v>516</v>
      </c>
      <c r="E170" s="106" t="s">
        <v>37</v>
      </c>
      <c r="F170" s="107" t="s">
        <v>360</v>
      </c>
      <c r="G170" s="106" t="s">
        <v>346</v>
      </c>
      <c r="H170" s="106" t="s">
        <v>269</v>
      </c>
      <c r="I170" s="106" t="s">
        <v>10</v>
      </c>
      <c r="J170" s="106" t="s">
        <v>231</v>
      </c>
      <c r="K170" s="106"/>
      <c r="L170" s="108">
        <v>7.7</v>
      </c>
      <c r="M170" s="108">
        <f>L170*VLOOKUP(I170,dagsoorttabel1,2,FALSE)</f>
        <v>6.16</v>
      </c>
      <c r="N170" s="109">
        <f>prodnorm102</f>
        <v>0</v>
      </c>
      <c r="O170" s="106" t="s">
        <v>105</v>
      </c>
      <c r="P170" s="28">
        <f>uurtarief102</f>
        <v>0</v>
      </c>
      <c r="Q170" s="108" t="e">
        <f>IF(ISBLANK(N170),0,M170/ROUND(N170,4))</f>
        <v>#DIV/0!</v>
      </c>
      <c r="R170" s="28" t="e">
        <f>ROUND(P170,2)*Q170</f>
        <v>#DIV/0!</v>
      </c>
      <c r="S170" s="108" t="e">
        <f>Q170*dagenperjaar1</f>
        <v>#DIV/0!</v>
      </c>
      <c r="T170" s="29" t="e">
        <f>S170*ROUND(P170,2)</f>
        <v>#DIV/0!</v>
      </c>
    </row>
    <row r="171" spans="1:20" x14ac:dyDescent="0.2">
      <c r="A171" s="105" t="s">
        <v>321</v>
      </c>
      <c r="B171" s="106" t="s">
        <v>37</v>
      </c>
      <c r="C171" s="106" t="s">
        <v>506</v>
      </c>
      <c r="D171" s="106" t="s">
        <v>517</v>
      </c>
      <c r="E171" s="106" t="s">
        <v>37</v>
      </c>
      <c r="F171" s="107" t="s">
        <v>364</v>
      </c>
      <c r="G171" s="106" t="s">
        <v>346</v>
      </c>
      <c r="H171" s="106" t="s">
        <v>267</v>
      </c>
      <c r="I171" s="106" t="s">
        <v>10</v>
      </c>
      <c r="J171" s="106" t="s">
        <v>231</v>
      </c>
      <c r="K171" s="106"/>
      <c r="L171" s="108">
        <v>7.7</v>
      </c>
      <c r="M171" s="108">
        <f>L171*VLOOKUP(I171,dagsoorttabel1,2,FALSE)</f>
        <v>6.16</v>
      </c>
      <c r="N171" s="109">
        <f>prodnorm100</f>
        <v>0</v>
      </c>
      <c r="O171" s="106" t="s">
        <v>105</v>
      </c>
      <c r="P171" s="28">
        <f>uurtarief100</f>
        <v>0</v>
      </c>
      <c r="Q171" s="108" t="e">
        <f>IF(ISBLANK(N171),0,M171/ROUND(N171,4))</f>
        <v>#DIV/0!</v>
      </c>
      <c r="R171" s="28" t="e">
        <f>ROUND(P171,2)*Q171</f>
        <v>#DIV/0!</v>
      </c>
      <c r="S171" s="108" t="e">
        <f>Q171*dagenperjaar1</f>
        <v>#DIV/0!</v>
      </c>
      <c r="T171" s="29" t="e">
        <f>S171*ROUND(P171,2)</f>
        <v>#DIV/0!</v>
      </c>
    </row>
    <row r="172" spans="1:20" x14ac:dyDescent="0.2">
      <c r="A172" s="105" t="s">
        <v>321</v>
      </c>
      <c r="B172" s="106" t="s">
        <v>37</v>
      </c>
      <c r="C172" s="106" t="s">
        <v>506</v>
      </c>
      <c r="D172" s="106" t="s">
        <v>517</v>
      </c>
      <c r="E172" s="106" t="s">
        <v>37</v>
      </c>
      <c r="F172" s="107" t="s">
        <v>364</v>
      </c>
      <c r="G172" s="106" t="s">
        <v>346</v>
      </c>
      <c r="H172" s="106" t="s">
        <v>269</v>
      </c>
      <c r="I172" s="106" t="s">
        <v>10</v>
      </c>
      <c r="J172" s="106" t="s">
        <v>231</v>
      </c>
      <c r="K172" s="106"/>
      <c r="L172" s="108">
        <v>7.7</v>
      </c>
      <c r="M172" s="108">
        <f>L172*VLOOKUP(I172,dagsoorttabel1,2,FALSE)</f>
        <v>6.16</v>
      </c>
      <c r="N172" s="109">
        <f>prodnorm102</f>
        <v>0</v>
      </c>
      <c r="O172" s="106" t="s">
        <v>105</v>
      </c>
      <c r="P172" s="28">
        <f>uurtarief102</f>
        <v>0</v>
      </c>
      <c r="Q172" s="108" t="e">
        <f>IF(ISBLANK(N172),0,M172/ROUND(N172,4))</f>
        <v>#DIV/0!</v>
      </c>
      <c r="R172" s="28" t="e">
        <f>ROUND(P172,2)*Q172</f>
        <v>#DIV/0!</v>
      </c>
      <c r="S172" s="108" t="e">
        <f>Q172*dagenperjaar1</f>
        <v>#DIV/0!</v>
      </c>
      <c r="T172" s="29" t="e">
        <f>S172*ROUND(P172,2)</f>
        <v>#DIV/0!</v>
      </c>
    </row>
    <row r="173" spans="1:20" x14ac:dyDescent="0.2">
      <c r="A173" s="105" t="s">
        <v>321</v>
      </c>
      <c r="B173" s="106" t="s">
        <v>37</v>
      </c>
      <c r="C173" s="106" t="s">
        <v>506</v>
      </c>
      <c r="D173" s="106" t="s">
        <v>518</v>
      </c>
      <c r="E173" s="106" t="s">
        <v>37</v>
      </c>
      <c r="F173" s="107" t="s">
        <v>387</v>
      </c>
      <c r="G173" s="106" t="s">
        <v>325</v>
      </c>
      <c r="H173" s="106" t="s">
        <v>275</v>
      </c>
      <c r="I173" s="106" t="s">
        <v>10</v>
      </c>
      <c r="J173" s="106" t="s">
        <v>231</v>
      </c>
      <c r="K173" s="106"/>
      <c r="L173" s="108">
        <v>9.8000000000000007</v>
      </c>
      <c r="M173" s="108">
        <f>L173*VLOOKUP(I173,dagsoorttabel1,2,FALSE)</f>
        <v>7.8400000000000007</v>
      </c>
      <c r="N173" s="109">
        <f>prodnorm117</f>
        <v>0</v>
      </c>
      <c r="O173" s="106" t="s">
        <v>105</v>
      </c>
      <c r="P173" s="28">
        <f>uurtarief117</f>
        <v>0</v>
      </c>
      <c r="Q173" s="108" t="e">
        <f>IF(ISBLANK(N173),0,M173/ROUND(N173,4))</f>
        <v>#DIV/0!</v>
      </c>
      <c r="R173" s="28" t="e">
        <f>ROUND(P173,2)*Q173</f>
        <v>#DIV/0!</v>
      </c>
      <c r="S173" s="108" t="e">
        <f>Q173*dagenperjaar1</f>
        <v>#DIV/0!</v>
      </c>
      <c r="T173" s="29" t="e">
        <f>S173*ROUND(P173,2)</f>
        <v>#DIV/0!</v>
      </c>
    </row>
    <row r="174" spans="1:20" x14ac:dyDescent="0.2">
      <c r="A174" s="105" t="s">
        <v>321</v>
      </c>
      <c r="B174" s="106" t="s">
        <v>37</v>
      </c>
      <c r="C174" s="106" t="s">
        <v>506</v>
      </c>
      <c r="D174" s="106" t="s">
        <v>519</v>
      </c>
      <c r="E174" s="106" t="s">
        <v>37</v>
      </c>
      <c r="F174" s="107" t="s">
        <v>395</v>
      </c>
      <c r="G174" s="106" t="s">
        <v>325</v>
      </c>
      <c r="H174" s="106" t="s">
        <v>243</v>
      </c>
      <c r="I174" s="106" t="s">
        <v>10</v>
      </c>
      <c r="J174" s="106" t="s">
        <v>231</v>
      </c>
      <c r="K174" s="106"/>
      <c r="L174" s="108">
        <v>15.2</v>
      </c>
      <c r="M174" s="108">
        <f>L174*VLOOKUP(I174,dagsoorttabel1,2,FALSE)</f>
        <v>12.16</v>
      </c>
      <c r="N174" s="109">
        <f>prodnorm50</f>
        <v>0</v>
      </c>
      <c r="O174" s="106" t="s">
        <v>105</v>
      </c>
      <c r="P174" s="28">
        <f>uurtarief50</f>
        <v>0</v>
      </c>
      <c r="Q174" s="108" t="e">
        <f>IF(ISBLANK(N174),0,M174/ROUND(N174,4))</f>
        <v>#DIV/0!</v>
      </c>
      <c r="R174" s="28" t="e">
        <f>ROUND(P174,2)*Q174</f>
        <v>#DIV/0!</v>
      </c>
      <c r="S174" s="108" t="e">
        <f>Q174*dagenperjaar1</f>
        <v>#DIV/0!</v>
      </c>
      <c r="T174" s="29" t="e">
        <f>S174*ROUND(P174,2)</f>
        <v>#DIV/0!</v>
      </c>
    </row>
    <row r="175" spans="1:20" x14ac:dyDescent="0.2">
      <c r="A175" s="105" t="s">
        <v>321</v>
      </c>
      <c r="B175" s="106" t="s">
        <v>37</v>
      </c>
      <c r="C175" s="106" t="s">
        <v>506</v>
      </c>
      <c r="D175" s="106" t="s">
        <v>520</v>
      </c>
      <c r="E175" s="106" t="s">
        <v>37</v>
      </c>
      <c r="F175" s="107" t="s">
        <v>381</v>
      </c>
      <c r="G175" s="106" t="s">
        <v>325</v>
      </c>
      <c r="H175" s="106" t="s">
        <v>237</v>
      </c>
      <c r="I175" s="106" t="s">
        <v>10</v>
      </c>
      <c r="J175" s="106" t="s">
        <v>231</v>
      </c>
      <c r="K175" s="106"/>
      <c r="L175" s="108">
        <v>63.7</v>
      </c>
      <c r="M175" s="108">
        <f>L175*VLOOKUP(I175,dagsoorttabel1,2,FALSE)</f>
        <v>50.960000000000008</v>
      </c>
      <c r="N175" s="109">
        <f>prodnorm42</f>
        <v>0</v>
      </c>
      <c r="O175" s="106" t="s">
        <v>105</v>
      </c>
      <c r="P175" s="28">
        <f>uurtarief42</f>
        <v>0</v>
      </c>
      <c r="Q175" s="108" t="e">
        <f>IF(ISBLANK(N175),0,M175/ROUND(N175,4))</f>
        <v>#DIV/0!</v>
      </c>
      <c r="R175" s="28" t="e">
        <f>ROUND(P175,2)*Q175</f>
        <v>#DIV/0!</v>
      </c>
      <c r="S175" s="108" t="e">
        <f>Q175*dagenperjaar1</f>
        <v>#DIV/0!</v>
      </c>
      <c r="T175" s="29" t="e">
        <f>S175*ROUND(P175,2)</f>
        <v>#DIV/0!</v>
      </c>
    </row>
    <row r="176" spans="1:20" x14ac:dyDescent="0.2">
      <c r="A176" s="105" t="s">
        <v>321</v>
      </c>
      <c r="B176" s="106" t="s">
        <v>37</v>
      </c>
      <c r="C176" s="106" t="s">
        <v>506</v>
      </c>
      <c r="D176" s="106" t="s">
        <v>521</v>
      </c>
      <c r="E176" s="106" t="s">
        <v>37</v>
      </c>
      <c r="F176" s="107" t="s">
        <v>395</v>
      </c>
      <c r="G176" s="106" t="s">
        <v>325</v>
      </c>
      <c r="H176" s="106" t="s">
        <v>243</v>
      </c>
      <c r="I176" s="106" t="s">
        <v>10</v>
      </c>
      <c r="J176" s="106" t="s">
        <v>231</v>
      </c>
      <c r="K176" s="106"/>
      <c r="L176" s="108">
        <v>12.5</v>
      </c>
      <c r="M176" s="108">
        <f>L176*VLOOKUP(I176,dagsoorttabel1,2,FALSE)</f>
        <v>10</v>
      </c>
      <c r="N176" s="109">
        <f>prodnorm50</f>
        <v>0</v>
      </c>
      <c r="O176" s="106" t="s">
        <v>105</v>
      </c>
      <c r="P176" s="28">
        <f>uurtarief50</f>
        <v>0</v>
      </c>
      <c r="Q176" s="108" t="e">
        <f>IF(ISBLANK(N176),0,M176/ROUND(N176,4))</f>
        <v>#DIV/0!</v>
      </c>
      <c r="R176" s="28" t="e">
        <f>ROUND(P176,2)*Q176</f>
        <v>#DIV/0!</v>
      </c>
      <c r="S176" s="108" t="e">
        <f>Q176*dagenperjaar1</f>
        <v>#DIV/0!</v>
      </c>
      <c r="T176" s="29" t="e">
        <f>S176*ROUND(P176,2)</f>
        <v>#DIV/0!</v>
      </c>
    </row>
    <row r="177" spans="1:20" x14ac:dyDescent="0.2">
      <c r="A177" s="105" t="s">
        <v>321</v>
      </c>
      <c r="B177" s="106" t="s">
        <v>37</v>
      </c>
      <c r="C177" s="106" t="s">
        <v>506</v>
      </c>
      <c r="D177" s="106" t="s">
        <v>522</v>
      </c>
      <c r="E177" s="106" t="s">
        <v>37</v>
      </c>
      <c r="F177" s="107" t="s">
        <v>381</v>
      </c>
      <c r="G177" s="106" t="s">
        <v>325</v>
      </c>
      <c r="H177" s="106" t="s">
        <v>237</v>
      </c>
      <c r="I177" s="106" t="s">
        <v>10</v>
      </c>
      <c r="J177" s="106" t="s">
        <v>231</v>
      </c>
      <c r="K177" s="106"/>
      <c r="L177" s="108">
        <v>51.3</v>
      </c>
      <c r="M177" s="108">
        <f>L177*VLOOKUP(I177,dagsoorttabel1,2,FALSE)</f>
        <v>41.04</v>
      </c>
      <c r="N177" s="109">
        <f>prodnorm42</f>
        <v>0</v>
      </c>
      <c r="O177" s="106" t="s">
        <v>105</v>
      </c>
      <c r="P177" s="28">
        <f>uurtarief42</f>
        <v>0</v>
      </c>
      <c r="Q177" s="108" t="e">
        <f>IF(ISBLANK(N177),0,M177/ROUND(N177,4))</f>
        <v>#DIV/0!</v>
      </c>
      <c r="R177" s="28" t="e">
        <f>ROUND(P177,2)*Q177</f>
        <v>#DIV/0!</v>
      </c>
      <c r="S177" s="108" t="e">
        <f>Q177*dagenperjaar1</f>
        <v>#DIV/0!</v>
      </c>
      <c r="T177" s="29" t="e">
        <f>S177*ROUND(P177,2)</f>
        <v>#DIV/0!</v>
      </c>
    </row>
    <row r="178" spans="1:20" x14ac:dyDescent="0.2">
      <c r="A178" s="105" t="s">
        <v>321</v>
      </c>
      <c r="B178" s="106" t="s">
        <v>37</v>
      </c>
      <c r="C178" s="106" t="s">
        <v>506</v>
      </c>
      <c r="D178" s="106" t="s">
        <v>523</v>
      </c>
      <c r="E178" s="106" t="s">
        <v>37</v>
      </c>
      <c r="F178" s="107" t="s">
        <v>524</v>
      </c>
      <c r="G178" s="106" t="s">
        <v>525</v>
      </c>
      <c r="H178" s="106" t="s">
        <v>257</v>
      </c>
      <c r="I178" s="106" t="s">
        <v>10</v>
      </c>
      <c r="J178" s="106" t="s">
        <v>231</v>
      </c>
      <c r="K178" s="106"/>
      <c r="L178" s="108">
        <v>4.5999999999999996</v>
      </c>
      <c r="M178" s="108">
        <f>L178*VLOOKUP(I178,dagsoorttabel1,2,FALSE)</f>
        <v>3.6799999999999997</v>
      </c>
      <c r="N178" s="109">
        <f>prodnorm79</f>
        <v>0</v>
      </c>
      <c r="O178" s="106" t="s">
        <v>105</v>
      </c>
      <c r="P178" s="28">
        <f>uurtarief79</f>
        <v>0</v>
      </c>
      <c r="Q178" s="108" t="e">
        <f>IF(ISBLANK(N178),0,M178/ROUND(N178,4))</f>
        <v>#DIV/0!</v>
      </c>
      <c r="R178" s="28" t="e">
        <f>ROUND(P178,2)*Q178</f>
        <v>#DIV/0!</v>
      </c>
      <c r="S178" s="108" t="e">
        <f>Q178*dagenperjaar1</f>
        <v>#DIV/0!</v>
      </c>
      <c r="T178" s="29" t="e">
        <f>S178*ROUND(P178,2)</f>
        <v>#DIV/0!</v>
      </c>
    </row>
    <row r="179" spans="1:20" x14ac:dyDescent="0.2">
      <c r="A179" s="105" t="s">
        <v>321</v>
      </c>
      <c r="B179" s="106" t="s">
        <v>37</v>
      </c>
      <c r="C179" s="106" t="s">
        <v>506</v>
      </c>
      <c r="D179" s="106" t="s">
        <v>526</v>
      </c>
      <c r="E179" s="106" t="s">
        <v>37</v>
      </c>
      <c r="F179" s="107" t="s">
        <v>527</v>
      </c>
      <c r="G179" s="106" t="s">
        <v>525</v>
      </c>
      <c r="H179" s="106" t="s">
        <v>257</v>
      </c>
      <c r="I179" s="106" t="s">
        <v>10</v>
      </c>
      <c r="J179" s="106" t="s">
        <v>231</v>
      </c>
      <c r="K179" s="106"/>
      <c r="L179" s="108">
        <v>4.7</v>
      </c>
      <c r="M179" s="108">
        <f>L179*VLOOKUP(I179,dagsoorttabel1,2,FALSE)</f>
        <v>3.7600000000000002</v>
      </c>
      <c r="N179" s="109">
        <f>prodnorm79</f>
        <v>0</v>
      </c>
      <c r="O179" s="106" t="s">
        <v>105</v>
      </c>
      <c r="P179" s="28">
        <f>uurtarief79</f>
        <v>0</v>
      </c>
      <c r="Q179" s="108" t="e">
        <f>IF(ISBLANK(N179),0,M179/ROUND(N179,4))</f>
        <v>#DIV/0!</v>
      </c>
      <c r="R179" s="28" t="e">
        <f>ROUND(P179,2)*Q179</f>
        <v>#DIV/0!</v>
      </c>
      <c r="S179" s="108" t="e">
        <f>Q179*dagenperjaar1</f>
        <v>#DIV/0!</v>
      </c>
      <c r="T179" s="29" t="e">
        <f>S179*ROUND(P179,2)</f>
        <v>#DIV/0!</v>
      </c>
    </row>
    <row r="180" spans="1:20" x14ac:dyDescent="0.2">
      <c r="A180" s="105" t="s">
        <v>321</v>
      </c>
      <c r="B180" s="106" t="s">
        <v>37</v>
      </c>
      <c r="C180" s="106" t="s">
        <v>506</v>
      </c>
      <c r="D180" s="106" t="s">
        <v>528</v>
      </c>
      <c r="E180" s="106" t="s">
        <v>37</v>
      </c>
      <c r="F180" s="107" t="s">
        <v>381</v>
      </c>
      <c r="G180" s="106" t="s">
        <v>325</v>
      </c>
      <c r="H180" s="106" t="s">
        <v>237</v>
      </c>
      <c r="I180" s="106" t="s">
        <v>10</v>
      </c>
      <c r="J180" s="106" t="s">
        <v>231</v>
      </c>
      <c r="K180" s="106"/>
      <c r="L180" s="108">
        <v>85.86</v>
      </c>
      <c r="M180" s="108">
        <f>L180*VLOOKUP(I180,dagsoorttabel1,2,FALSE)</f>
        <v>68.688000000000002</v>
      </c>
      <c r="N180" s="109">
        <f>prodnorm42</f>
        <v>0</v>
      </c>
      <c r="O180" s="106" t="s">
        <v>105</v>
      </c>
      <c r="P180" s="28">
        <f>uurtarief42</f>
        <v>0</v>
      </c>
      <c r="Q180" s="108" t="e">
        <f>IF(ISBLANK(N180),0,M180/ROUND(N180,4))</f>
        <v>#DIV/0!</v>
      </c>
      <c r="R180" s="28" t="e">
        <f>ROUND(P180,2)*Q180</f>
        <v>#DIV/0!</v>
      </c>
      <c r="S180" s="108" t="e">
        <f>Q180*dagenperjaar1</f>
        <v>#DIV/0!</v>
      </c>
      <c r="T180" s="29" t="e">
        <f>S180*ROUND(P180,2)</f>
        <v>#DIV/0!</v>
      </c>
    </row>
    <row r="181" spans="1:20" x14ac:dyDescent="0.2">
      <c r="A181" s="105" t="s">
        <v>321</v>
      </c>
      <c r="B181" s="106" t="s">
        <v>37</v>
      </c>
      <c r="C181" s="106" t="s">
        <v>506</v>
      </c>
      <c r="D181" s="106" t="s">
        <v>529</v>
      </c>
      <c r="E181" s="106" t="s">
        <v>37</v>
      </c>
      <c r="F181" s="107" t="s">
        <v>384</v>
      </c>
      <c r="G181" s="106" t="s">
        <v>325</v>
      </c>
      <c r="H181" s="106" t="s">
        <v>237</v>
      </c>
      <c r="I181" s="106" t="s">
        <v>9</v>
      </c>
      <c r="J181" s="106" t="s">
        <v>231</v>
      </c>
      <c r="K181" s="106"/>
      <c r="L181" s="108">
        <v>3.07</v>
      </c>
      <c r="M181" s="108">
        <f>L181*VLOOKUP(I181,dagsoorttabel1,2,FALSE)</f>
        <v>3.07</v>
      </c>
      <c r="N181" s="109">
        <f>prodnorm43</f>
        <v>0</v>
      </c>
      <c r="O181" s="106" t="s">
        <v>105</v>
      </c>
      <c r="P181" s="28">
        <f>uurtarief43</f>
        <v>0</v>
      </c>
      <c r="Q181" s="108" t="e">
        <f>IF(ISBLANK(N181),0,M181/ROUND(N181,4))</f>
        <v>#DIV/0!</v>
      </c>
      <c r="R181" s="28" t="e">
        <f>ROUND(P181,2)*Q181</f>
        <v>#DIV/0!</v>
      </c>
      <c r="S181" s="108" t="e">
        <f>Q181*dagenperjaar1</f>
        <v>#DIV/0!</v>
      </c>
      <c r="T181" s="29" t="e">
        <f>S181*ROUND(P181,2)</f>
        <v>#DIV/0!</v>
      </c>
    </row>
    <row r="182" spans="1:20" x14ac:dyDescent="0.2">
      <c r="A182" s="105" t="s">
        <v>321</v>
      </c>
      <c r="B182" s="106" t="s">
        <v>37</v>
      </c>
      <c r="C182" s="106" t="s">
        <v>506</v>
      </c>
      <c r="D182" s="106" t="s">
        <v>530</v>
      </c>
      <c r="E182" s="106" t="s">
        <v>37</v>
      </c>
      <c r="F182" s="107" t="s">
        <v>384</v>
      </c>
      <c r="G182" s="106" t="s">
        <v>325</v>
      </c>
      <c r="H182" s="106" t="s">
        <v>237</v>
      </c>
      <c r="I182" s="106" t="s">
        <v>9</v>
      </c>
      <c r="J182" s="106" t="s">
        <v>231</v>
      </c>
      <c r="K182" s="106"/>
      <c r="L182" s="108">
        <v>3.07</v>
      </c>
      <c r="M182" s="108">
        <f>L182*VLOOKUP(I182,dagsoorttabel1,2,FALSE)</f>
        <v>3.07</v>
      </c>
      <c r="N182" s="109">
        <f>prodnorm43</f>
        <v>0</v>
      </c>
      <c r="O182" s="106" t="s">
        <v>105</v>
      </c>
      <c r="P182" s="28">
        <f>uurtarief43</f>
        <v>0</v>
      </c>
      <c r="Q182" s="108" t="e">
        <f>IF(ISBLANK(N182),0,M182/ROUND(N182,4))</f>
        <v>#DIV/0!</v>
      </c>
      <c r="R182" s="28" t="e">
        <f>ROUND(P182,2)*Q182</f>
        <v>#DIV/0!</v>
      </c>
      <c r="S182" s="108" t="e">
        <f>Q182*dagenperjaar1</f>
        <v>#DIV/0!</v>
      </c>
      <c r="T182" s="29" t="e">
        <f>S182*ROUND(P182,2)</f>
        <v>#DIV/0!</v>
      </c>
    </row>
    <row r="183" spans="1:20" x14ac:dyDescent="0.2">
      <c r="A183" s="105" t="s">
        <v>321</v>
      </c>
      <c r="B183" s="106" t="s">
        <v>37</v>
      </c>
      <c r="C183" s="106" t="s">
        <v>506</v>
      </c>
      <c r="D183" s="106" t="s">
        <v>531</v>
      </c>
      <c r="E183" s="106" t="s">
        <v>37</v>
      </c>
      <c r="F183" s="107" t="s">
        <v>387</v>
      </c>
      <c r="G183" s="106" t="s">
        <v>325</v>
      </c>
      <c r="H183" s="106" t="s">
        <v>275</v>
      </c>
      <c r="I183" s="106" t="s">
        <v>10</v>
      </c>
      <c r="J183" s="106" t="s">
        <v>231</v>
      </c>
      <c r="K183" s="106"/>
      <c r="L183" s="108">
        <v>9.5</v>
      </c>
      <c r="M183" s="108">
        <f>L183*VLOOKUP(I183,dagsoorttabel1,2,FALSE)</f>
        <v>7.6000000000000005</v>
      </c>
      <c r="N183" s="109">
        <f>prodnorm117</f>
        <v>0</v>
      </c>
      <c r="O183" s="106" t="s">
        <v>105</v>
      </c>
      <c r="P183" s="28">
        <f>uurtarief117</f>
        <v>0</v>
      </c>
      <c r="Q183" s="108" t="e">
        <f>IF(ISBLANK(N183),0,M183/ROUND(N183,4))</f>
        <v>#DIV/0!</v>
      </c>
      <c r="R183" s="28" t="e">
        <f>ROUND(P183,2)*Q183</f>
        <v>#DIV/0!</v>
      </c>
      <c r="S183" s="108" t="e">
        <f>Q183*dagenperjaar1</f>
        <v>#DIV/0!</v>
      </c>
      <c r="T183" s="29" t="e">
        <f>S183*ROUND(P183,2)</f>
        <v>#DIV/0!</v>
      </c>
    </row>
    <row r="184" spans="1:20" x14ac:dyDescent="0.2">
      <c r="A184" s="105" t="s">
        <v>321</v>
      </c>
      <c r="B184" s="106" t="s">
        <v>37</v>
      </c>
      <c r="C184" s="106" t="s">
        <v>506</v>
      </c>
      <c r="D184" s="106" t="s">
        <v>532</v>
      </c>
      <c r="E184" s="106" t="s">
        <v>37</v>
      </c>
      <c r="F184" s="107" t="s">
        <v>389</v>
      </c>
      <c r="G184" s="106" t="s">
        <v>325</v>
      </c>
      <c r="H184" s="106" t="s">
        <v>259</v>
      </c>
      <c r="I184" s="106" t="s">
        <v>10</v>
      </c>
      <c r="J184" s="106" t="s">
        <v>231</v>
      </c>
      <c r="K184" s="106"/>
      <c r="L184" s="108">
        <v>50</v>
      </c>
      <c r="M184" s="108">
        <f>L184*VLOOKUP(I184,dagsoorttabel1,2,FALSE)</f>
        <v>40</v>
      </c>
      <c r="N184" s="109">
        <f>prodnorm81</f>
        <v>0</v>
      </c>
      <c r="O184" s="106" t="s">
        <v>105</v>
      </c>
      <c r="P184" s="28">
        <f>uurtarief81</f>
        <v>0</v>
      </c>
      <c r="Q184" s="108" t="e">
        <f>IF(ISBLANK(N184),0,M184/ROUND(N184,4))</f>
        <v>#DIV/0!</v>
      </c>
      <c r="R184" s="28" t="e">
        <f>ROUND(P184,2)*Q184</f>
        <v>#DIV/0!</v>
      </c>
      <c r="S184" s="108" t="e">
        <f>Q184*dagenperjaar1</f>
        <v>#DIV/0!</v>
      </c>
      <c r="T184" s="29" t="e">
        <f>S184*ROUND(P184,2)</f>
        <v>#DIV/0!</v>
      </c>
    </row>
    <row r="185" spans="1:20" x14ac:dyDescent="0.2">
      <c r="A185" s="105" t="s">
        <v>321</v>
      </c>
      <c r="B185" s="106" t="s">
        <v>37</v>
      </c>
      <c r="C185" s="106" t="s">
        <v>506</v>
      </c>
      <c r="D185" s="106" t="s">
        <v>533</v>
      </c>
      <c r="E185" s="106" t="s">
        <v>37</v>
      </c>
      <c r="F185" s="107" t="s">
        <v>345</v>
      </c>
      <c r="G185" s="106" t="s">
        <v>358</v>
      </c>
      <c r="H185" s="106" t="s">
        <v>273</v>
      </c>
      <c r="I185" s="106" t="s">
        <v>10</v>
      </c>
      <c r="J185" s="106" t="s">
        <v>231</v>
      </c>
      <c r="K185" s="106"/>
      <c r="L185" s="108">
        <v>2</v>
      </c>
      <c r="M185" s="108">
        <f>L185*VLOOKUP(I185,dagsoorttabel1,2,FALSE)</f>
        <v>1.6</v>
      </c>
      <c r="N185" s="109">
        <f>prodnorm112</f>
        <v>0</v>
      </c>
      <c r="O185" s="106" t="s">
        <v>105</v>
      </c>
      <c r="P185" s="28">
        <f>uurtarief112</f>
        <v>0</v>
      </c>
      <c r="Q185" s="108" t="e">
        <f>IF(ISBLANK(N185),0,M185/ROUND(N185,4))</f>
        <v>#DIV/0!</v>
      </c>
      <c r="R185" s="28" t="e">
        <f>ROUND(P185,2)*Q185</f>
        <v>#DIV/0!</v>
      </c>
      <c r="S185" s="108" t="e">
        <f>Q185*dagenperjaar1</f>
        <v>#DIV/0!</v>
      </c>
      <c r="T185" s="29" t="e">
        <f>S185*ROUND(P185,2)</f>
        <v>#DIV/0!</v>
      </c>
    </row>
    <row r="186" spans="1:20" x14ac:dyDescent="0.2">
      <c r="A186" s="105" t="s">
        <v>321</v>
      </c>
      <c r="B186" s="106" t="s">
        <v>37</v>
      </c>
      <c r="C186" s="106" t="s">
        <v>506</v>
      </c>
      <c r="D186" s="106" t="s">
        <v>534</v>
      </c>
      <c r="E186" s="106" t="s">
        <v>37</v>
      </c>
      <c r="F186" s="107" t="s">
        <v>381</v>
      </c>
      <c r="G186" s="106" t="s">
        <v>325</v>
      </c>
      <c r="H186" s="106" t="s">
        <v>237</v>
      </c>
      <c r="I186" s="106" t="s">
        <v>10</v>
      </c>
      <c r="J186" s="106" t="s">
        <v>231</v>
      </c>
      <c r="K186" s="106"/>
      <c r="L186" s="108">
        <v>58.98</v>
      </c>
      <c r="M186" s="108">
        <f>L186*VLOOKUP(I186,dagsoorttabel1,2,FALSE)</f>
        <v>47.183999999999997</v>
      </c>
      <c r="N186" s="109">
        <f>prodnorm42</f>
        <v>0</v>
      </c>
      <c r="O186" s="106" t="s">
        <v>105</v>
      </c>
      <c r="P186" s="28">
        <f>uurtarief42</f>
        <v>0</v>
      </c>
      <c r="Q186" s="108" t="e">
        <f>IF(ISBLANK(N186),0,M186/ROUND(N186,4))</f>
        <v>#DIV/0!</v>
      </c>
      <c r="R186" s="28" t="e">
        <f>ROUND(P186,2)*Q186</f>
        <v>#DIV/0!</v>
      </c>
      <c r="S186" s="108" t="e">
        <f>Q186*dagenperjaar1</f>
        <v>#DIV/0!</v>
      </c>
      <c r="T186" s="29" t="e">
        <f>S186*ROUND(P186,2)</f>
        <v>#DIV/0!</v>
      </c>
    </row>
    <row r="187" spans="1:20" x14ac:dyDescent="0.2">
      <c r="A187" s="105" t="s">
        <v>321</v>
      </c>
      <c r="B187" s="106" t="s">
        <v>37</v>
      </c>
      <c r="C187" s="106" t="s">
        <v>506</v>
      </c>
      <c r="D187" s="106" t="s">
        <v>535</v>
      </c>
      <c r="E187" s="106" t="s">
        <v>37</v>
      </c>
      <c r="F187" s="107" t="s">
        <v>381</v>
      </c>
      <c r="G187" s="106" t="s">
        <v>325</v>
      </c>
      <c r="H187" s="106" t="s">
        <v>237</v>
      </c>
      <c r="I187" s="106" t="s">
        <v>9</v>
      </c>
      <c r="J187" s="106" t="s">
        <v>231</v>
      </c>
      <c r="K187" s="106"/>
      <c r="L187" s="108">
        <v>1.1200000000000001</v>
      </c>
      <c r="M187" s="108">
        <f>L187*VLOOKUP(I187,dagsoorttabel1,2,FALSE)</f>
        <v>1.1200000000000001</v>
      </c>
      <c r="N187" s="109">
        <f>prodnorm43</f>
        <v>0</v>
      </c>
      <c r="O187" s="106" t="s">
        <v>105</v>
      </c>
      <c r="P187" s="28">
        <f>uurtarief43</f>
        <v>0</v>
      </c>
      <c r="Q187" s="108" t="e">
        <f>IF(ISBLANK(N187),0,M187/ROUND(N187,4))</f>
        <v>#DIV/0!</v>
      </c>
      <c r="R187" s="28" t="e">
        <f>ROUND(P187,2)*Q187</f>
        <v>#DIV/0!</v>
      </c>
      <c r="S187" s="108" t="e">
        <f>Q187*dagenperjaar1</f>
        <v>#DIV/0!</v>
      </c>
      <c r="T187" s="29" t="e">
        <f>S187*ROUND(P187,2)</f>
        <v>#DIV/0!</v>
      </c>
    </row>
    <row r="188" spans="1:20" x14ac:dyDescent="0.2">
      <c r="A188" s="105" t="s">
        <v>321</v>
      </c>
      <c r="B188" s="106" t="s">
        <v>37</v>
      </c>
      <c r="C188" s="106" t="s">
        <v>506</v>
      </c>
      <c r="D188" s="106" t="s">
        <v>536</v>
      </c>
      <c r="E188" s="106" t="s">
        <v>37</v>
      </c>
      <c r="F188" s="107" t="s">
        <v>393</v>
      </c>
      <c r="G188" s="106" t="s">
        <v>325</v>
      </c>
      <c r="H188" s="106" t="s">
        <v>237</v>
      </c>
      <c r="I188" s="106" t="s">
        <v>10</v>
      </c>
      <c r="J188" s="106" t="s">
        <v>231</v>
      </c>
      <c r="K188" s="106"/>
      <c r="L188" s="108">
        <v>14.9</v>
      </c>
      <c r="M188" s="108">
        <f>L188*VLOOKUP(I188,dagsoorttabel1,2,FALSE)</f>
        <v>11.920000000000002</v>
      </c>
      <c r="N188" s="109">
        <f>prodnorm42</f>
        <v>0</v>
      </c>
      <c r="O188" s="106" t="s">
        <v>105</v>
      </c>
      <c r="P188" s="28">
        <f>uurtarief42</f>
        <v>0</v>
      </c>
      <c r="Q188" s="108" t="e">
        <f>IF(ISBLANK(N188),0,M188/ROUND(N188,4))</f>
        <v>#DIV/0!</v>
      </c>
      <c r="R188" s="28" t="e">
        <f>ROUND(P188,2)*Q188</f>
        <v>#DIV/0!</v>
      </c>
      <c r="S188" s="108" t="e">
        <f>Q188*dagenperjaar1</f>
        <v>#DIV/0!</v>
      </c>
      <c r="T188" s="29" t="e">
        <f>S188*ROUND(P188,2)</f>
        <v>#DIV/0!</v>
      </c>
    </row>
    <row r="189" spans="1:20" x14ac:dyDescent="0.2">
      <c r="A189" s="105" t="s">
        <v>321</v>
      </c>
      <c r="B189" s="106" t="s">
        <v>37</v>
      </c>
      <c r="C189" s="106" t="s">
        <v>506</v>
      </c>
      <c r="D189" s="106" t="s">
        <v>537</v>
      </c>
      <c r="E189" s="106" t="s">
        <v>37</v>
      </c>
      <c r="F189" s="107" t="s">
        <v>393</v>
      </c>
      <c r="G189" s="106" t="s">
        <v>325</v>
      </c>
      <c r="H189" s="106" t="s">
        <v>237</v>
      </c>
      <c r="I189" s="106" t="s">
        <v>10</v>
      </c>
      <c r="J189" s="106" t="s">
        <v>231</v>
      </c>
      <c r="K189" s="106"/>
      <c r="L189" s="108">
        <v>17.100000000000001</v>
      </c>
      <c r="M189" s="108">
        <f>L189*VLOOKUP(I189,dagsoorttabel1,2,FALSE)</f>
        <v>13.680000000000001</v>
      </c>
      <c r="N189" s="109">
        <f>prodnorm42</f>
        <v>0</v>
      </c>
      <c r="O189" s="106" t="s">
        <v>105</v>
      </c>
      <c r="P189" s="28">
        <f>uurtarief42</f>
        <v>0</v>
      </c>
      <c r="Q189" s="108" t="e">
        <f>IF(ISBLANK(N189),0,M189/ROUND(N189,4))</f>
        <v>#DIV/0!</v>
      </c>
      <c r="R189" s="28" t="e">
        <f>ROUND(P189,2)*Q189</f>
        <v>#DIV/0!</v>
      </c>
      <c r="S189" s="108" t="e">
        <f>Q189*dagenperjaar1</f>
        <v>#DIV/0!</v>
      </c>
      <c r="T189" s="29" t="e">
        <f>S189*ROUND(P189,2)</f>
        <v>#DIV/0!</v>
      </c>
    </row>
    <row r="190" spans="1:20" x14ac:dyDescent="0.2">
      <c r="A190" s="105" t="s">
        <v>321</v>
      </c>
      <c r="B190" s="106" t="s">
        <v>37</v>
      </c>
      <c r="C190" s="106" t="s">
        <v>506</v>
      </c>
      <c r="D190" s="106" t="s">
        <v>538</v>
      </c>
      <c r="E190" s="106" t="s">
        <v>37</v>
      </c>
      <c r="F190" s="107" t="s">
        <v>381</v>
      </c>
      <c r="G190" s="106" t="s">
        <v>325</v>
      </c>
      <c r="H190" s="106" t="s">
        <v>237</v>
      </c>
      <c r="I190" s="106" t="s">
        <v>10</v>
      </c>
      <c r="J190" s="106" t="s">
        <v>231</v>
      </c>
      <c r="K190" s="106"/>
      <c r="L190" s="108">
        <v>130.80000000000001</v>
      </c>
      <c r="M190" s="108">
        <f>L190*VLOOKUP(I190,dagsoorttabel1,2,FALSE)</f>
        <v>104.64000000000001</v>
      </c>
      <c r="N190" s="109">
        <f>prodnorm42</f>
        <v>0</v>
      </c>
      <c r="O190" s="106" t="s">
        <v>105</v>
      </c>
      <c r="P190" s="28">
        <f>uurtarief42</f>
        <v>0</v>
      </c>
      <c r="Q190" s="108" t="e">
        <f>IF(ISBLANK(N190),0,M190/ROUND(N190,4))</f>
        <v>#DIV/0!</v>
      </c>
      <c r="R190" s="28" t="e">
        <f>ROUND(P190,2)*Q190</f>
        <v>#DIV/0!</v>
      </c>
      <c r="S190" s="108" t="e">
        <f>Q190*dagenperjaar1</f>
        <v>#DIV/0!</v>
      </c>
      <c r="T190" s="29" t="e">
        <f>S190*ROUND(P190,2)</f>
        <v>#DIV/0!</v>
      </c>
    </row>
    <row r="191" spans="1:20" x14ac:dyDescent="0.2">
      <c r="A191" s="105" t="s">
        <v>321</v>
      </c>
      <c r="B191" s="106" t="s">
        <v>37</v>
      </c>
      <c r="C191" s="106" t="s">
        <v>506</v>
      </c>
      <c r="D191" s="106" t="s">
        <v>539</v>
      </c>
      <c r="E191" s="106" t="s">
        <v>37</v>
      </c>
      <c r="F191" s="107" t="s">
        <v>345</v>
      </c>
      <c r="G191" s="106" t="s">
        <v>379</v>
      </c>
      <c r="H191" s="106" t="s">
        <v>273</v>
      </c>
      <c r="I191" s="106" t="s">
        <v>10</v>
      </c>
      <c r="J191" s="106" t="s">
        <v>231</v>
      </c>
      <c r="K191" s="106"/>
      <c r="L191" s="108">
        <v>4.5</v>
      </c>
      <c r="M191" s="108">
        <f>L191*VLOOKUP(I191,dagsoorttabel1,2,FALSE)</f>
        <v>3.6</v>
      </c>
      <c r="N191" s="109">
        <f>prodnorm112</f>
        <v>0</v>
      </c>
      <c r="O191" s="106" t="s">
        <v>105</v>
      </c>
      <c r="P191" s="28">
        <f>uurtarief112</f>
        <v>0</v>
      </c>
      <c r="Q191" s="108" t="e">
        <f>IF(ISBLANK(N191),0,M191/ROUND(N191,4))</f>
        <v>#DIV/0!</v>
      </c>
      <c r="R191" s="28" t="e">
        <f>ROUND(P191,2)*Q191</f>
        <v>#DIV/0!</v>
      </c>
      <c r="S191" s="108" t="e">
        <f>Q191*dagenperjaar1</f>
        <v>#DIV/0!</v>
      </c>
      <c r="T191" s="29" t="e">
        <f>S191*ROUND(P191,2)</f>
        <v>#DIV/0!</v>
      </c>
    </row>
    <row r="192" spans="1:20" x14ac:dyDescent="0.2">
      <c r="A192" s="105" t="s">
        <v>321</v>
      </c>
      <c r="B192" s="106" t="s">
        <v>37</v>
      </c>
      <c r="C192" s="106" t="s">
        <v>506</v>
      </c>
      <c r="D192" s="106" t="s">
        <v>540</v>
      </c>
      <c r="E192" s="106" t="s">
        <v>37</v>
      </c>
      <c r="F192" s="107" t="s">
        <v>454</v>
      </c>
      <c r="G192" s="106" t="s">
        <v>325</v>
      </c>
      <c r="H192" s="106" t="s">
        <v>275</v>
      </c>
      <c r="I192" s="106" t="s">
        <v>10</v>
      </c>
      <c r="J192" s="106" t="s">
        <v>231</v>
      </c>
      <c r="K192" s="106"/>
      <c r="L192" s="108">
        <v>3.1</v>
      </c>
      <c r="M192" s="108">
        <f>L192*VLOOKUP(I192,dagsoorttabel1,2,FALSE)</f>
        <v>2.4800000000000004</v>
      </c>
      <c r="N192" s="109">
        <f>prodnorm117</f>
        <v>0</v>
      </c>
      <c r="O192" s="106" t="s">
        <v>105</v>
      </c>
      <c r="P192" s="28">
        <f>uurtarief117</f>
        <v>0</v>
      </c>
      <c r="Q192" s="108" t="e">
        <f>IF(ISBLANK(N192),0,M192/ROUND(N192,4))</f>
        <v>#DIV/0!</v>
      </c>
      <c r="R192" s="28" t="e">
        <f>ROUND(P192,2)*Q192</f>
        <v>#DIV/0!</v>
      </c>
      <c r="S192" s="108" t="e">
        <f>Q192*dagenperjaar1</f>
        <v>#DIV/0!</v>
      </c>
      <c r="T192" s="29" t="e">
        <f>S192*ROUND(P192,2)</f>
        <v>#DIV/0!</v>
      </c>
    </row>
    <row r="193" spans="1:20" x14ac:dyDescent="0.2">
      <c r="A193" s="105" t="s">
        <v>321</v>
      </c>
      <c r="B193" s="106" t="s">
        <v>37</v>
      </c>
      <c r="C193" s="106" t="s">
        <v>506</v>
      </c>
      <c r="D193" s="106" t="s">
        <v>541</v>
      </c>
      <c r="E193" s="106" t="s">
        <v>37</v>
      </c>
      <c r="F193" s="107" t="s">
        <v>360</v>
      </c>
      <c r="G193" s="106" t="s">
        <v>346</v>
      </c>
      <c r="H193" s="106" t="s">
        <v>267</v>
      </c>
      <c r="I193" s="106" t="s">
        <v>10</v>
      </c>
      <c r="J193" s="106" t="s">
        <v>231</v>
      </c>
      <c r="K193" s="106"/>
      <c r="L193" s="108">
        <v>6</v>
      </c>
      <c r="M193" s="108">
        <f>L193*VLOOKUP(I193,dagsoorttabel1,2,FALSE)</f>
        <v>4.8000000000000007</v>
      </c>
      <c r="N193" s="109">
        <f>prodnorm100</f>
        <v>0</v>
      </c>
      <c r="O193" s="106" t="s">
        <v>105</v>
      </c>
      <c r="P193" s="28">
        <f>uurtarief100</f>
        <v>0</v>
      </c>
      <c r="Q193" s="108" t="e">
        <f>IF(ISBLANK(N193),0,M193/ROUND(N193,4))</f>
        <v>#DIV/0!</v>
      </c>
      <c r="R193" s="28" t="e">
        <f>ROUND(P193,2)*Q193</f>
        <v>#DIV/0!</v>
      </c>
      <c r="S193" s="108" t="e">
        <f>Q193*dagenperjaar1</f>
        <v>#DIV/0!</v>
      </c>
      <c r="T193" s="29" t="e">
        <f>S193*ROUND(P193,2)</f>
        <v>#DIV/0!</v>
      </c>
    </row>
    <row r="194" spans="1:20" x14ac:dyDescent="0.2">
      <c r="A194" s="105" t="s">
        <v>321</v>
      </c>
      <c r="B194" s="106" t="s">
        <v>37</v>
      </c>
      <c r="C194" s="106" t="s">
        <v>506</v>
      </c>
      <c r="D194" s="106" t="s">
        <v>541</v>
      </c>
      <c r="E194" s="106" t="s">
        <v>37</v>
      </c>
      <c r="F194" s="107" t="s">
        <v>360</v>
      </c>
      <c r="G194" s="106" t="s">
        <v>346</v>
      </c>
      <c r="H194" s="106" t="s">
        <v>269</v>
      </c>
      <c r="I194" s="106" t="s">
        <v>10</v>
      </c>
      <c r="J194" s="106" t="s">
        <v>231</v>
      </c>
      <c r="K194" s="106"/>
      <c r="L194" s="108">
        <v>6</v>
      </c>
      <c r="M194" s="108">
        <f>L194*VLOOKUP(I194,dagsoorttabel1,2,FALSE)</f>
        <v>4.8000000000000007</v>
      </c>
      <c r="N194" s="109">
        <f>prodnorm102</f>
        <v>0</v>
      </c>
      <c r="O194" s="106" t="s">
        <v>105</v>
      </c>
      <c r="P194" s="28">
        <f>uurtarief102</f>
        <v>0</v>
      </c>
      <c r="Q194" s="108" t="e">
        <f>IF(ISBLANK(N194),0,M194/ROUND(N194,4))</f>
        <v>#DIV/0!</v>
      </c>
      <c r="R194" s="28" t="e">
        <f>ROUND(P194,2)*Q194</f>
        <v>#DIV/0!</v>
      </c>
      <c r="S194" s="108" t="e">
        <f>Q194*dagenperjaar1</f>
        <v>#DIV/0!</v>
      </c>
      <c r="T194" s="29" t="e">
        <f>S194*ROUND(P194,2)</f>
        <v>#DIV/0!</v>
      </c>
    </row>
    <row r="195" spans="1:20" x14ac:dyDescent="0.2">
      <c r="A195" s="105" t="s">
        <v>321</v>
      </c>
      <c r="B195" s="106" t="s">
        <v>37</v>
      </c>
      <c r="C195" s="106" t="s">
        <v>506</v>
      </c>
      <c r="D195" s="106" t="s">
        <v>542</v>
      </c>
      <c r="E195" s="106" t="s">
        <v>37</v>
      </c>
      <c r="F195" s="107" t="s">
        <v>364</v>
      </c>
      <c r="G195" s="106" t="s">
        <v>346</v>
      </c>
      <c r="H195" s="106" t="s">
        <v>267</v>
      </c>
      <c r="I195" s="106" t="s">
        <v>10</v>
      </c>
      <c r="J195" s="106" t="s">
        <v>231</v>
      </c>
      <c r="K195" s="106"/>
      <c r="L195" s="108">
        <v>6</v>
      </c>
      <c r="M195" s="108">
        <f>L195*VLOOKUP(I195,dagsoorttabel1,2,FALSE)</f>
        <v>4.8000000000000007</v>
      </c>
      <c r="N195" s="109">
        <f>prodnorm100</f>
        <v>0</v>
      </c>
      <c r="O195" s="106" t="s">
        <v>105</v>
      </c>
      <c r="P195" s="28">
        <f>uurtarief100</f>
        <v>0</v>
      </c>
      <c r="Q195" s="108" t="e">
        <f>IF(ISBLANK(N195),0,M195/ROUND(N195,4))</f>
        <v>#DIV/0!</v>
      </c>
      <c r="R195" s="28" t="e">
        <f>ROUND(P195,2)*Q195</f>
        <v>#DIV/0!</v>
      </c>
      <c r="S195" s="108" t="e">
        <f>Q195*dagenperjaar1</f>
        <v>#DIV/0!</v>
      </c>
      <c r="T195" s="29" t="e">
        <f>S195*ROUND(P195,2)</f>
        <v>#DIV/0!</v>
      </c>
    </row>
    <row r="196" spans="1:20" x14ac:dyDescent="0.2">
      <c r="A196" s="105" t="s">
        <v>321</v>
      </c>
      <c r="B196" s="106" t="s">
        <v>37</v>
      </c>
      <c r="C196" s="106" t="s">
        <v>506</v>
      </c>
      <c r="D196" s="106" t="s">
        <v>542</v>
      </c>
      <c r="E196" s="106" t="s">
        <v>37</v>
      </c>
      <c r="F196" s="107" t="s">
        <v>364</v>
      </c>
      <c r="G196" s="106" t="s">
        <v>346</v>
      </c>
      <c r="H196" s="106" t="s">
        <v>269</v>
      </c>
      <c r="I196" s="106" t="s">
        <v>10</v>
      </c>
      <c r="J196" s="106" t="s">
        <v>231</v>
      </c>
      <c r="K196" s="106"/>
      <c r="L196" s="108">
        <v>6</v>
      </c>
      <c r="M196" s="108">
        <f>L196*VLOOKUP(I196,dagsoorttabel1,2,FALSE)</f>
        <v>4.8000000000000007</v>
      </c>
      <c r="N196" s="109">
        <f>prodnorm102</f>
        <v>0</v>
      </c>
      <c r="O196" s="106" t="s">
        <v>105</v>
      </c>
      <c r="P196" s="28">
        <f>uurtarief102</f>
        <v>0</v>
      </c>
      <c r="Q196" s="108" t="e">
        <f>IF(ISBLANK(N196),0,M196/ROUND(N196,4))</f>
        <v>#DIV/0!</v>
      </c>
      <c r="R196" s="28" t="e">
        <f>ROUND(P196,2)*Q196</f>
        <v>#DIV/0!</v>
      </c>
      <c r="S196" s="108" t="e">
        <f>Q196*dagenperjaar1</f>
        <v>#DIV/0!</v>
      </c>
      <c r="T196" s="29" t="e">
        <f>S196*ROUND(P196,2)</f>
        <v>#DIV/0!</v>
      </c>
    </row>
    <row r="197" spans="1:20" x14ac:dyDescent="0.2">
      <c r="A197" s="105" t="s">
        <v>321</v>
      </c>
      <c r="B197" s="106" t="s">
        <v>37</v>
      </c>
      <c r="C197" s="106" t="s">
        <v>506</v>
      </c>
      <c r="D197" s="106" t="s">
        <v>543</v>
      </c>
      <c r="E197" s="106" t="s">
        <v>37</v>
      </c>
      <c r="F197" s="107" t="s">
        <v>381</v>
      </c>
      <c r="G197" s="106" t="s">
        <v>325</v>
      </c>
      <c r="H197" s="106" t="s">
        <v>237</v>
      </c>
      <c r="I197" s="106" t="s">
        <v>10</v>
      </c>
      <c r="J197" s="106" t="s">
        <v>231</v>
      </c>
      <c r="K197" s="106"/>
      <c r="L197" s="108">
        <v>52.1</v>
      </c>
      <c r="M197" s="108">
        <f>L197*VLOOKUP(I197,dagsoorttabel1,2,FALSE)</f>
        <v>41.680000000000007</v>
      </c>
      <c r="N197" s="109">
        <f>prodnorm42</f>
        <v>0</v>
      </c>
      <c r="O197" s="106" t="s">
        <v>105</v>
      </c>
      <c r="P197" s="28">
        <f>uurtarief42</f>
        <v>0</v>
      </c>
      <c r="Q197" s="108" t="e">
        <f>IF(ISBLANK(N197),0,M197/ROUND(N197,4))</f>
        <v>#DIV/0!</v>
      </c>
      <c r="R197" s="28" t="e">
        <f>ROUND(P197,2)*Q197</f>
        <v>#DIV/0!</v>
      </c>
      <c r="S197" s="108" t="e">
        <f>Q197*dagenperjaar1</f>
        <v>#DIV/0!</v>
      </c>
      <c r="T197" s="29" t="e">
        <f>S197*ROUND(P197,2)</f>
        <v>#DIV/0!</v>
      </c>
    </row>
    <row r="198" spans="1:20" x14ac:dyDescent="0.2">
      <c r="A198" s="110" t="s">
        <v>321</v>
      </c>
      <c r="B198" s="111" t="s">
        <v>37</v>
      </c>
      <c r="C198" s="111" t="s">
        <v>544</v>
      </c>
      <c r="D198" s="111" t="s">
        <v>37</v>
      </c>
      <c r="E198" s="111" t="s">
        <v>37</v>
      </c>
      <c r="F198" s="112" t="s">
        <v>545</v>
      </c>
      <c r="G198" s="111" t="s">
        <v>37</v>
      </c>
      <c r="H198" s="111" t="s">
        <v>302</v>
      </c>
      <c r="I198" s="111" t="s">
        <v>15</v>
      </c>
      <c r="J198" s="111" t="s">
        <v>299</v>
      </c>
      <c r="K198" s="111"/>
      <c r="L198" s="113">
        <v>6</v>
      </c>
      <c r="M198" s="113">
        <f>L198*VLOOKUP(I198,dagsoorttabel1,2,FALSE)</f>
        <v>0.28235294117647058</v>
      </c>
      <c r="N198" s="114">
        <f>prodnorm24</f>
        <v>0</v>
      </c>
      <c r="O198" s="111" t="s">
        <v>301</v>
      </c>
      <c r="P198" s="38">
        <f>uurtarief24</f>
        <v>0</v>
      </c>
      <c r="Q198" s="113">
        <f>M198*ROUND(N198,4)/60</f>
        <v>0</v>
      </c>
      <c r="R198" s="38">
        <f>ROUND(P198,2)*Q198</f>
        <v>0</v>
      </c>
      <c r="S198" s="113">
        <f>Q198*dagenperjaar1</f>
        <v>0</v>
      </c>
      <c r="T198" s="39">
        <f>S198*ROUND(P198,2)</f>
        <v>0</v>
      </c>
    </row>
    <row r="199" spans="1:20" x14ac:dyDescent="0.2">
      <c r="A199" s="115" t="s">
        <v>546</v>
      </c>
      <c r="B199" s="83"/>
      <c r="C199" s="83"/>
      <c r="D199" s="83"/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5" t="e">
        <f>IF(_xlfn.SINGLE(object1_urenjaar1)&gt;0,_xlfn.SINGLE(object1_prijsjaar1)/_xlfn.SINGLE(object1_urenjaar1),0)</f>
        <v>#DIV/0!</v>
      </c>
      <c r="Q199" s="84" t="e">
        <f>SUM(Q5:Q198)</f>
        <v>#DIV/0!</v>
      </c>
      <c r="R199" s="85" t="e">
        <f>SUM(R5:R198)</f>
        <v>#DIV/0!</v>
      </c>
      <c r="S199" s="84" t="e">
        <f>SUM(S5:S198)</f>
        <v>#DIV/0!</v>
      </c>
      <c r="T199" s="86" t="e">
        <f>SUM(T5:T198)</f>
        <v>#DIV/0!</v>
      </c>
    </row>
    <row r="200" spans="1:20" x14ac:dyDescent="0.2">
      <c r="A200" s="91" t="s">
        <v>547</v>
      </c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81"/>
    </row>
    <row r="201" spans="1:20" x14ac:dyDescent="0.2">
      <c r="A201" s="98" t="s">
        <v>548</v>
      </c>
      <c r="B201" s="99" t="s">
        <v>37</v>
      </c>
      <c r="C201" s="99" t="s">
        <v>322</v>
      </c>
      <c r="D201" s="99" t="s">
        <v>323</v>
      </c>
      <c r="E201" s="99" t="s">
        <v>37</v>
      </c>
      <c r="F201" s="100" t="s">
        <v>549</v>
      </c>
      <c r="G201" s="99" t="s">
        <v>325</v>
      </c>
      <c r="H201" s="99" t="s">
        <v>281</v>
      </c>
      <c r="I201" s="99" t="s">
        <v>10</v>
      </c>
      <c r="J201" s="99" t="s">
        <v>231</v>
      </c>
      <c r="K201" s="99"/>
      <c r="L201" s="101">
        <v>13.729999999999999</v>
      </c>
      <c r="M201" s="101">
        <f>L201*VLOOKUP(I201,dagsoorttabel1,2,FALSE)</f>
        <v>10.984</v>
      </c>
      <c r="N201" s="102">
        <f>prodnorm128</f>
        <v>0</v>
      </c>
      <c r="O201" s="99" t="s">
        <v>105</v>
      </c>
      <c r="P201" s="103">
        <f>uurtarief128</f>
        <v>0</v>
      </c>
      <c r="Q201" s="101" t="e">
        <f>IF(ISBLANK(N201),0,M201/ROUND(N201,4))</f>
        <v>#DIV/0!</v>
      </c>
      <c r="R201" s="103" t="e">
        <f>ROUND(P201,2)*Q201</f>
        <v>#DIV/0!</v>
      </c>
      <c r="S201" s="101" t="e">
        <f>Q201*dagenperjaar1</f>
        <v>#DIV/0!</v>
      </c>
      <c r="T201" s="104" t="e">
        <f>S201*ROUND(P201,2)</f>
        <v>#DIV/0!</v>
      </c>
    </row>
    <row r="202" spans="1:20" x14ac:dyDescent="0.2">
      <c r="A202" s="105" t="s">
        <v>548</v>
      </c>
      <c r="B202" s="106" t="s">
        <v>37</v>
      </c>
      <c r="C202" s="106" t="s">
        <v>322</v>
      </c>
      <c r="D202" s="106" t="s">
        <v>326</v>
      </c>
      <c r="E202" s="106" t="s">
        <v>37</v>
      </c>
      <c r="F202" s="107" t="s">
        <v>327</v>
      </c>
      <c r="G202" s="106" t="s">
        <v>325</v>
      </c>
      <c r="H202" s="106" t="s">
        <v>275</v>
      </c>
      <c r="I202" s="106" t="s">
        <v>10</v>
      </c>
      <c r="J202" s="106" t="s">
        <v>231</v>
      </c>
      <c r="K202" s="106"/>
      <c r="L202" s="108">
        <v>82.210000000000008</v>
      </c>
      <c r="M202" s="108">
        <f>L202*VLOOKUP(I202,dagsoorttabel1,2,FALSE)</f>
        <v>65.768000000000015</v>
      </c>
      <c r="N202" s="109">
        <f>prodnorm117</f>
        <v>0</v>
      </c>
      <c r="O202" s="106" t="s">
        <v>105</v>
      </c>
      <c r="P202" s="28">
        <f>uurtarief117</f>
        <v>0</v>
      </c>
      <c r="Q202" s="108" t="e">
        <f>IF(ISBLANK(N202),0,M202/ROUND(N202,4))</f>
        <v>#DIV/0!</v>
      </c>
      <c r="R202" s="28" t="e">
        <f>ROUND(P202,2)*Q202</f>
        <v>#DIV/0!</v>
      </c>
      <c r="S202" s="108" t="e">
        <f>Q202*dagenperjaar1</f>
        <v>#DIV/0!</v>
      </c>
      <c r="T202" s="29" t="e">
        <f>S202*ROUND(P202,2)</f>
        <v>#DIV/0!</v>
      </c>
    </row>
    <row r="203" spans="1:20" x14ac:dyDescent="0.2">
      <c r="A203" s="105" t="s">
        <v>548</v>
      </c>
      <c r="B203" s="106" t="s">
        <v>37</v>
      </c>
      <c r="C203" s="106" t="s">
        <v>322</v>
      </c>
      <c r="D203" s="106" t="s">
        <v>329</v>
      </c>
      <c r="E203" s="106" t="s">
        <v>37</v>
      </c>
      <c r="F203" s="107" t="s">
        <v>550</v>
      </c>
      <c r="G203" s="106" t="s">
        <v>325</v>
      </c>
      <c r="H203" s="106" t="s">
        <v>275</v>
      </c>
      <c r="I203" s="106" t="s">
        <v>10</v>
      </c>
      <c r="J203" s="106" t="s">
        <v>231</v>
      </c>
      <c r="K203" s="106"/>
      <c r="L203" s="108">
        <v>66.47</v>
      </c>
      <c r="M203" s="108">
        <f>L203*VLOOKUP(I203,dagsoorttabel1,2,FALSE)</f>
        <v>53.176000000000002</v>
      </c>
      <c r="N203" s="109">
        <f>prodnorm117</f>
        <v>0</v>
      </c>
      <c r="O203" s="106" t="s">
        <v>105</v>
      </c>
      <c r="P203" s="28">
        <f>uurtarief117</f>
        <v>0</v>
      </c>
      <c r="Q203" s="108" t="e">
        <f>IF(ISBLANK(N203),0,M203/ROUND(N203,4))</f>
        <v>#DIV/0!</v>
      </c>
      <c r="R203" s="28" t="e">
        <f>ROUND(P203,2)*Q203</f>
        <v>#DIV/0!</v>
      </c>
      <c r="S203" s="108" t="e">
        <f>Q203*dagenperjaar1</f>
        <v>#DIV/0!</v>
      </c>
      <c r="T203" s="29" t="e">
        <f>S203*ROUND(P203,2)</f>
        <v>#DIV/0!</v>
      </c>
    </row>
    <row r="204" spans="1:20" x14ac:dyDescent="0.2">
      <c r="A204" s="105" t="s">
        <v>548</v>
      </c>
      <c r="B204" s="106" t="s">
        <v>37</v>
      </c>
      <c r="C204" s="106" t="s">
        <v>322</v>
      </c>
      <c r="D204" s="106" t="s">
        <v>332</v>
      </c>
      <c r="E204" s="106" t="s">
        <v>37</v>
      </c>
      <c r="F204" s="107" t="s">
        <v>393</v>
      </c>
      <c r="G204" s="106" t="s">
        <v>325</v>
      </c>
      <c r="H204" s="106" t="s">
        <v>237</v>
      </c>
      <c r="I204" s="106" t="s">
        <v>10</v>
      </c>
      <c r="J204" s="106" t="s">
        <v>231</v>
      </c>
      <c r="K204" s="106"/>
      <c r="L204" s="108">
        <v>24.36</v>
      </c>
      <c r="M204" s="108">
        <f>L204*VLOOKUP(I204,dagsoorttabel1,2,FALSE)</f>
        <v>19.488</v>
      </c>
      <c r="N204" s="109">
        <f>prodnorm42</f>
        <v>0</v>
      </c>
      <c r="O204" s="106" t="s">
        <v>105</v>
      </c>
      <c r="P204" s="28">
        <f>uurtarief42</f>
        <v>0</v>
      </c>
      <c r="Q204" s="108" t="e">
        <f>IF(ISBLANK(N204),0,M204/ROUND(N204,4))</f>
        <v>#DIV/0!</v>
      </c>
      <c r="R204" s="28" t="e">
        <f>ROUND(P204,2)*Q204</f>
        <v>#DIV/0!</v>
      </c>
      <c r="S204" s="108" t="e">
        <f>Q204*dagenperjaar1</f>
        <v>#DIV/0!</v>
      </c>
      <c r="T204" s="29" t="e">
        <f>S204*ROUND(P204,2)</f>
        <v>#DIV/0!</v>
      </c>
    </row>
    <row r="205" spans="1:20" x14ac:dyDescent="0.2">
      <c r="A205" s="105" t="s">
        <v>548</v>
      </c>
      <c r="B205" s="106" t="s">
        <v>37</v>
      </c>
      <c r="C205" s="106" t="s">
        <v>322</v>
      </c>
      <c r="D205" s="106" t="s">
        <v>334</v>
      </c>
      <c r="E205" s="106" t="s">
        <v>37</v>
      </c>
      <c r="F205" s="107" t="s">
        <v>551</v>
      </c>
      <c r="G205" s="106" t="s">
        <v>331</v>
      </c>
      <c r="H205" s="106" t="s">
        <v>283</v>
      </c>
      <c r="I205" s="106" t="s">
        <v>10</v>
      </c>
      <c r="J205" s="106" t="s">
        <v>231</v>
      </c>
      <c r="K205" s="106"/>
      <c r="L205" s="108">
        <v>1.53</v>
      </c>
      <c r="M205" s="108">
        <f>L205*VLOOKUP(I205,dagsoorttabel1,2,FALSE)</f>
        <v>1.2240000000000002</v>
      </c>
      <c r="N205" s="109">
        <f>prodnorm130</f>
        <v>0</v>
      </c>
      <c r="O205" s="106" t="s">
        <v>105</v>
      </c>
      <c r="P205" s="28">
        <f>uurtarief130</f>
        <v>0</v>
      </c>
      <c r="Q205" s="108" t="e">
        <f>IF(ISBLANK(N205),0,M205/ROUND(N205,4))</f>
        <v>#DIV/0!</v>
      </c>
      <c r="R205" s="28" t="e">
        <f>ROUND(P205,2)*Q205</f>
        <v>#DIV/0!</v>
      </c>
      <c r="S205" s="108" t="e">
        <f>Q205*dagenperjaar1</f>
        <v>#DIV/0!</v>
      </c>
      <c r="T205" s="29" t="e">
        <f>S205*ROUND(P205,2)</f>
        <v>#DIV/0!</v>
      </c>
    </row>
    <row r="206" spans="1:20" x14ac:dyDescent="0.2">
      <c r="A206" s="105" t="s">
        <v>548</v>
      </c>
      <c r="B206" s="106" t="s">
        <v>37</v>
      </c>
      <c r="C206" s="106" t="s">
        <v>322</v>
      </c>
      <c r="D206" s="106" t="s">
        <v>339</v>
      </c>
      <c r="E206" s="106" t="s">
        <v>37</v>
      </c>
      <c r="F206" s="107" t="s">
        <v>371</v>
      </c>
      <c r="G206" s="106" t="s">
        <v>331</v>
      </c>
      <c r="H206" s="106" t="s">
        <v>253</v>
      </c>
      <c r="I206" s="106" t="s">
        <v>10</v>
      </c>
      <c r="J206" s="106" t="s">
        <v>231</v>
      </c>
      <c r="K206" s="106"/>
      <c r="L206" s="108">
        <v>6.3199999999999994</v>
      </c>
      <c r="M206" s="108">
        <f>L206*VLOOKUP(I206,dagsoorttabel1,2,FALSE)</f>
        <v>5.056</v>
      </c>
      <c r="N206" s="109">
        <f>prodnorm67</f>
        <v>0</v>
      </c>
      <c r="O206" s="106" t="s">
        <v>105</v>
      </c>
      <c r="P206" s="28">
        <f>uurtarief67</f>
        <v>0</v>
      </c>
      <c r="Q206" s="108" t="e">
        <f>IF(ISBLANK(N206),0,M206/ROUND(N206,4))</f>
        <v>#DIV/0!</v>
      </c>
      <c r="R206" s="28" t="e">
        <f>ROUND(P206,2)*Q206</f>
        <v>#DIV/0!</v>
      </c>
      <c r="S206" s="108" t="e">
        <f>Q206*dagenperjaar1</f>
        <v>#DIV/0!</v>
      </c>
      <c r="T206" s="29" t="e">
        <f>S206*ROUND(P206,2)</f>
        <v>#DIV/0!</v>
      </c>
    </row>
    <row r="207" spans="1:20" x14ac:dyDescent="0.2">
      <c r="A207" s="105" t="s">
        <v>548</v>
      </c>
      <c r="B207" s="106" t="s">
        <v>37</v>
      </c>
      <c r="C207" s="106" t="s">
        <v>322</v>
      </c>
      <c r="D207" s="106" t="s">
        <v>342</v>
      </c>
      <c r="E207" s="106" t="s">
        <v>37</v>
      </c>
      <c r="F207" s="107" t="s">
        <v>552</v>
      </c>
      <c r="G207" s="106" t="s">
        <v>553</v>
      </c>
      <c r="H207" s="106" t="s">
        <v>273</v>
      </c>
      <c r="I207" s="106" t="s">
        <v>10</v>
      </c>
      <c r="J207" s="106" t="s">
        <v>231</v>
      </c>
      <c r="K207" s="106"/>
      <c r="L207" s="108">
        <v>19.86</v>
      </c>
      <c r="M207" s="108">
        <f>L207*VLOOKUP(I207,dagsoorttabel1,2,FALSE)</f>
        <v>15.888</v>
      </c>
      <c r="N207" s="109">
        <f>prodnorm112</f>
        <v>0</v>
      </c>
      <c r="O207" s="106" t="s">
        <v>105</v>
      </c>
      <c r="P207" s="28">
        <f>uurtarief112</f>
        <v>0</v>
      </c>
      <c r="Q207" s="108" t="e">
        <f>IF(ISBLANK(N207),0,M207/ROUND(N207,4))</f>
        <v>#DIV/0!</v>
      </c>
      <c r="R207" s="28" t="e">
        <f>ROUND(P207,2)*Q207</f>
        <v>#DIV/0!</v>
      </c>
      <c r="S207" s="108" t="e">
        <f>Q207*dagenperjaar1</f>
        <v>#DIV/0!</v>
      </c>
      <c r="T207" s="29" t="e">
        <f>S207*ROUND(P207,2)</f>
        <v>#DIV/0!</v>
      </c>
    </row>
    <row r="208" spans="1:20" x14ac:dyDescent="0.2">
      <c r="A208" s="105" t="s">
        <v>548</v>
      </c>
      <c r="B208" s="106" t="s">
        <v>37</v>
      </c>
      <c r="C208" s="106" t="s">
        <v>322</v>
      </c>
      <c r="D208" s="106" t="s">
        <v>344</v>
      </c>
      <c r="E208" s="106" t="s">
        <v>37</v>
      </c>
      <c r="F208" s="107" t="s">
        <v>554</v>
      </c>
      <c r="G208" s="106" t="s">
        <v>325</v>
      </c>
      <c r="H208" s="106" t="s">
        <v>292</v>
      </c>
      <c r="I208" s="106" t="s">
        <v>10</v>
      </c>
      <c r="J208" s="106" t="s">
        <v>231</v>
      </c>
      <c r="K208" s="106"/>
      <c r="L208" s="108">
        <v>11.739999999999998</v>
      </c>
      <c r="M208" s="108">
        <f>L208*VLOOKUP(I208,dagsoorttabel1,2,FALSE)</f>
        <v>9.3919999999999995</v>
      </c>
      <c r="N208" s="109">
        <f>prodnorm149</f>
        <v>0</v>
      </c>
      <c r="O208" s="106" t="s">
        <v>105</v>
      </c>
      <c r="P208" s="28">
        <f>uurtarief149</f>
        <v>0</v>
      </c>
      <c r="Q208" s="108" t="e">
        <f>IF(ISBLANK(N208),0,M208/ROUND(N208,4))</f>
        <v>#DIV/0!</v>
      </c>
      <c r="R208" s="28" t="e">
        <f>ROUND(P208,2)*Q208</f>
        <v>#DIV/0!</v>
      </c>
      <c r="S208" s="108" t="e">
        <f>Q208*dagenperjaar1</f>
        <v>#DIV/0!</v>
      </c>
      <c r="T208" s="29" t="e">
        <f>S208*ROUND(P208,2)</f>
        <v>#DIV/0!</v>
      </c>
    </row>
    <row r="209" spans="1:20" x14ac:dyDescent="0.2">
      <c r="A209" s="105" t="s">
        <v>548</v>
      </c>
      <c r="B209" s="106" t="s">
        <v>37</v>
      </c>
      <c r="C209" s="106" t="s">
        <v>322</v>
      </c>
      <c r="D209" s="106" t="s">
        <v>347</v>
      </c>
      <c r="E209" s="106" t="s">
        <v>37</v>
      </c>
      <c r="F209" s="107" t="s">
        <v>555</v>
      </c>
      <c r="G209" s="106" t="s">
        <v>369</v>
      </c>
      <c r="H209" s="106" t="s">
        <v>267</v>
      </c>
      <c r="I209" s="106" t="s">
        <v>10</v>
      </c>
      <c r="J209" s="106" t="s">
        <v>231</v>
      </c>
      <c r="K209" s="106"/>
      <c r="L209" s="108">
        <v>6.46</v>
      </c>
      <c r="M209" s="108">
        <f>L209*VLOOKUP(I209,dagsoorttabel1,2,FALSE)</f>
        <v>5.1680000000000001</v>
      </c>
      <c r="N209" s="109">
        <f>prodnorm100</f>
        <v>0</v>
      </c>
      <c r="O209" s="106" t="s">
        <v>105</v>
      </c>
      <c r="P209" s="28">
        <f>uurtarief100</f>
        <v>0</v>
      </c>
      <c r="Q209" s="108" t="e">
        <f>IF(ISBLANK(N209),0,M209/ROUND(N209,4))</f>
        <v>#DIV/0!</v>
      </c>
      <c r="R209" s="28" t="e">
        <f>ROUND(P209,2)*Q209</f>
        <v>#DIV/0!</v>
      </c>
      <c r="S209" s="108" t="e">
        <f>Q209*dagenperjaar1</f>
        <v>#DIV/0!</v>
      </c>
      <c r="T209" s="29" t="e">
        <f>S209*ROUND(P209,2)</f>
        <v>#DIV/0!</v>
      </c>
    </row>
    <row r="210" spans="1:20" x14ac:dyDescent="0.2">
      <c r="A210" s="105" t="s">
        <v>548</v>
      </c>
      <c r="B210" s="106" t="s">
        <v>37</v>
      </c>
      <c r="C210" s="106" t="s">
        <v>322</v>
      </c>
      <c r="D210" s="106" t="s">
        <v>349</v>
      </c>
      <c r="E210" s="106" t="s">
        <v>37</v>
      </c>
      <c r="F210" s="107" t="s">
        <v>556</v>
      </c>
      <c r="G210" s="106" t="s">
        <v>369</v>
      </c>
      <c r="H210" s="106" t="s">
        <v>267</v>
      </c>
      <c r="I210" s="106" t="s">
        <v>10</v>
      </c>
      <c r="J210" s="106" t="s">
        <v>231</v>
      </c>
      <c r="K210" s="106"/>
      <c r="L210" s="108">
        <v>8.3800000000000008</v>
      </c>
      <c r="M210" s="108">
        <f>L210*VLOOKUP(I210,dagsoorttabel1,2,FALSE)</f>
        <v>6.7040000000000006</v>
      </c>
      <c r="N210" s="109">
        <f>prodnorm100</f>
        <v>0</v>
      </c>
      <c r="O210" s="106" t="s">
        <v>105</v>
      </c>
      <c r="P210" s="28">
        <f>uurtarief100</f>
        <v>0</v>
      </c>
      <c r="Q210" s="108" t="e">
        <f>IF(ISBLANK(N210),0,M210/ROUND(N210,4))</f>
        <v>#DIV/0!</v>
      </c>
      <c r="R210" s="28" t="e">
        <f>ROUND(P210,2)*Q210</f>
        <v>#DIV/0!</v>
      </c>
      <c r="S210" s="108" t="e">
        <f>Q210*dagenperjaar1</f>
        <v>#DIV/0!</v>
      </c>
      <c r="T210" s="29" t="e">
        <f>S210*ROUND(P210,2)</f>
        <v>#DIV/0!</v>
      </c>
    </row>
    <row r="211" spans="1:20" x14ac:dyDescent="0.2">
      <c r="A211" s="105" t="s">
        <v>548</v>
      </c>
      <c r="B211" s="106" t="s">
        <v>37</v>
      </c>
      <c r="C211" s="106" t="s">
        <v>322</v>
      </c>
      <c r="D211" s="106" t="s">
        <v>350</v>
      </c>
      <c r="E211" s="106" t="s">
        <v>37</v>
      </c>
      <c r="F211" s="107" t="s">
        <v>557</v>
      </c>
      <c r="G211" s="106" t="s">
        <v>325</v>
      </c>
      <c r="H211" s="106" t="s">
        <v>292</v>
      </c>
      <c r="I211" s="106" t="s">
        <v>10</v>
      </c>
      <c r="J211" s="106" t="s">
        <v>231</v>
      </c>
      <c r="K211" s="106"/>
      <c r="L211" s="108">
        <v>11</v>
      </c>
      <c r="M211" s="108">
        <f>L211*VLOOKUP(I211,dagsoorttabel1,2,FALSE)</f>
        <v>8.8000000000000007</v>
      </c>
      <c r="N211" s="109">
        <f>prodnorm149</f>
        <v>0</v>
      </c>
      <c r="O211" s="106" t="s">
        <v>105</v>
      </c>
      <c r="P211" s="28">
        <f>uurtarief149</f>
        <v>0</v>
      </c>
      <c r="Q211" s="108" t="e">
        <f>IF(ISBLANK(N211),0,M211/ROUND(N211,4))</f>
        <v>#DIV/0!</v>
      </c>
      <c r="R211" s="28" t="e">
        <f>ROUND(P211,2)*Q211</f>
        <v>#DIV/0!</v>
      </c>
      <c r="S211" s="108" t="e">
        <f>Q211*dagenperjaar1</f>
        <v>#DIV/0!</v>
      </c>
      <c r="T211" s="29" t="e">
        <f>S211*ROUND(P211,2)</f>
        <v>#DIV/0!</v>
      </c>
    </row>
    <row r="212" spans="1:20" x14ac:dyDescent="0.2">
      <c r="A212" s="105" t="s">
        <v>548</v>
      </c>
      <c r="B212" s="106" t="s">
        <v>37</v>
      </c>
      <c r="C212" s="106" t="s">
        <v>322</v>
      </c>
      <c r="D212" s="106" t="s">
        <v>353</v>
      </c>
      <c r="E212" s="106" t="s">
        <v>37</v>
      </c>
      <c r="F212" s="107" t="s">
        <v>558</v>
      </c>
      <c r="G212" s="106" t="s">
        <v>325</v>
      </c>
      <c r="H212" s="106" t="s">
        <v>237</v>
      </c>
      <c r="I212" s="106" t="s">
        <v>10</v>
      </c>
      <c r="J212" s="106" t="s">
        <v>231</v>
      </c>
      <c r="K212" s="106"/>
      <c r="L212" s="108">
        <v>3.4299999999999997</v>
      </c>
      <c r="M212" s="108">
        <f>L212*VLOOKUP(I212,dagsoorttabel1,2,FALSE)</f>
        <v>2.7439999999999998</v>
      </c>
      <c r="N212" s="109">
        <f>prodnorm42</f>
        <v>0</v>
      </c>
      <c r="O212" s="106" t="s">
        <v>105</v>
      </c>
      <c r="P212" s="28">
        <f>uurtarief42</f>
        <v>0</v>
      </c>
      <c r="Q212" s="108" t="e">
        <f>IF(ISBLANK(N212),0,M212/ROUND(N212,4))</f>
        <v>#DIV/0!</v>
      </c>
      <c r="R212" s="28" t="e">
        <f>ROUND(P212,2)*Q212</f>
        <v>#DIV/0!</v>
      </c>
      <c r="S212" s="108" t="e">
        <f>Q212*dagenperjaar1</f>
        <v>#DIV/0!</v>
      </c>
      <c r="T212" s="29" t="e">
        <f>S212*ROUND(P212,2)</f>
        <v>#DIV/0!</v>
      </c>
    </row>
    <row r="213" spans="1:20" x14ac:dyDescent="0.2">
      <c r="A213" s="105" t="s">
        <v>548</v>
      </c>
      <c r="B213" s="106" t="s">
        <v>37</v>
      </c>
      <c r="C213" s="106" t="s">
        <v>322</v>
      </c>
      <c r="D213" s="106" t="s">
        <v>356</v>
      </c>
      <c r="E213" s="106" t="s">
        <v>37</v>
      </c>
      <c r="F213" s="107" t="s">
        <v>559</v>
      </c>
      <c r="G213" s="106" t="s">
        <v>553</v>
      </c>
      <c r="H213" s="106" t="s">
        <v>273</v>
      </c>
      <c r="I213" s="106" t="s">
        <v>10</v>
      </c>
      <c r="J213" s="106" t="s">
        <v>231</v>
      </c>
      <c r="K213" s="106"/>
      <c r="L213" s="108">
        <v>12</v>
      </c>
      <c r="M213" s="108">
        <f>L213*VLOOKUP(I213,dagsoorttabel1,2,FALSE)</f>
        <v>9.6000000000000014</v>
      </c>
      <c r="N213" s="109">
        <f>prodnorm112</f>
        <v>0</v>
      </c>
      <c r="O213" s="106" t="s">
        <v>105</v>
      </c>
      <c r="P213" s="28">
        <f>uurtarief112</f>
        <v>0</v>
      </c>
      <c r="Q213" s="108" t="e">
        <f>IF(ISBLANK(N213),0,M213/ROUND(N213,4))</f>
        <v>#DIV/0!</v>
      </c>
      <c r="R213" s="28" t="e">
        <f>ROUND(P213,2)*Q213</f>
        <v>#DIV/0!</v>
      </c>
      <c r="S213" s="108" t="e">
        <f>Q213*dagenperjaar1</f>
        <v>#DIV/0!</v>
      </c>
      <c r="T213" s="29" t="e">
        <f>S213*ROUND(P213,2)</f>
        <v>#DIV/0!</v>
      </c>
    </row>
    <row r="214" spans="1:20" x14ac:dyDescent="0.2">
      <c r="A214" s="105" t="s">
        <v>548</v>
      </c>
      <c r="B214" s="106" t="s">
        <v>37</v>
      </c>
      <c r="C214" s="106" t="s">
        <v>322</v>
      </c>
      <c r="D214" s="106" t="s">
        <v>357</v>
      </c>
      <c r="E214" s="106" t="s">
        <v>37</v>
      </c>
      <c r="F214" s="107" t="s">
        <v>393</v>
      </c>
      <c r="G214" s="106" t="s">
        <v>325</v>
      </c>
      <c r="H214" s="106" t="s">
        <v>237</v>
      </c>
      <c r="I214" s="106" t="s">
        <v>10</v>
      </c>
      <c r="J214" s="106" t="s">
        <v>231</v>
      </c>
      <c r="K214" s="106"/>
      <c r="L214" s="108">
        <v>24</v>
      </c>
      <c r="M214" s="108">
        <f>L214*VLOOKUP(I214,dagsoorttabel1,2,FALSE)</f>
        <v>19.200000000000003</v>
      </c>
      <c r="N214" s="109">
        <f>prodnorm42</f>
        <v>0</v>
      </c>
      <c r="O214" s="106" t="s">
        <v>105</v>
      </c>
      <c r="P214" s="28">
        <f>uurtarief42</f>
        <v>0</v>
      </c>
      <c r="Q214" s="108" t="e">
        <f>IF(ISBLANK(N214),0,M214/ROUND(N214,4))</f>
        <v>#DIV/0!</v>
      </c>
      <c r="R214" s="28" t="e">
        <f>ROUND(P214,2)*Q214</f>
        <v>#DIV/0!</v>
      </c>
      <c r="S214" s="108" t="e">
        <f>Q214*dagenperjaar1</f>
        <v>#DIV/0!</v>
      </c>
      <c r="T214" s="29" t="e">
        <f>S214*ROUND(P214,2)</f>
        <v>#DIV/0!</v>
      </c>
    </row>
    <row r="215" spans="1:20" x14ac:dyDescent="0.2">
      <c r="A215" s="105" t="s">
        <v>548</v>
      </c>
      <c r="B215" s="106" t="s">
        <v>37</v>
      </c>
      <c r="C215" s="106" t="s">
        <v>322</v>
      </c>
      <c r="D215" s="106" t="s">
        <v>359</v>
      </c>
      <c r="E215" s="106" t="s">
        <v>37</v>
      </c>
      <c r="F215" s="107" t="s">
        <v>335</v>
      </c>
      <c r="G215" s="106" t="s">
        <v>553</v>
      </c>
      <c r="H215" s="106" t="s">
        <v>273</v>
      </c>
      <c r="I215" s="106" t="s">
        <v>10</v>
      </c>
      <c r="J215" s="106" t="s">
        <v>231</v>
      </c>
      <c r="K215" s="106"/>
      <c r="L215" s="108">
        <v>20</v>
      </c>
      <c r="M215" s="108">
        <f>L215*VLOOKUP(I215,dagsoorttabel1,2,FALSE)</f>
        <v>16</v>
      </c>
      <c r="N215" s="109">
        <f>prodnorm112</f>
        <v>0</v>
      </c>
      <c r="O215" s="106" t="s">
        <v>105</v>
      </c>
      <c r="P215" s="28">
        <f>uurtarief112</f>
        <v>0</v>
      </c>
      <c r="Q215" s="108" t="e">
        <f>IF(ISBLANK(N215),0,M215/ROUND(N215,4))</f>
        <v>#DIV/0!</v>
      </c>
      <c r="R215" s="28" t="e">
        <f>ROUND(P215,2)*Q215</f>
        <v>#DIV/0!</v>
      </c>
      <c r="S215" s="108" t="e">
        <f>Q215*dagenperjaar1</f>
        <v>#DIV/0!</v>
      </c>
      <c r="T215" s="29" t="e">
        <f>S215*ROUND(P215,2)</f>
        <v>#DIV/0!</v>
      </c>
    </row>
    <row r="216" spans="1:20" x14ac:dyDescent="0.2">
      <c r="A216" s="105" t="s">
        <v>548</v>
      </c>
      <c r="B216" s="106" t="s">
        <v>37</v>
      </c>
      <c r="C216" s="106" t="s">
        <v>322</v>
      </c>
      <c r="D216" s="106" t="s">
        <v>361</v>
      </c>
      <c r="E216" s="106" t="s">
        <v>37</v>
      </c>
      <c r="F216" s="107" t="s">
        <v>362</v>
      </c>
      <c r="G216" s="106" t="s">
        <v>553</v>
      </c>
      <c r="H216" s="106" t="s">
        <v>273</v>
      </c>
      <c r="I216" s="106" t="s">
        <v>10</v>
      </c>
      <c r="J216" s="106" t="s">
        <v>231</v>
      </c>
      <c r="K216" s="106"/>
      <c r="L216" s="108">
        <v>1.5</v>
      </c>
      <c r="M216" s="108">
        <f>L216*VLOOKUP(I216,dagsoorttabel1,2,FALSE)</f>
        <v>1.2000000000000002</v>
      </c>
      <c r="N216" s="109">
        <f>prodnorm112</f>
        <v>0</v>
      </c>
      <c r="O216" s="106" t="s">
        <v>105</v>
      </c>
      <c r="P216" s="28">
        <f>uurtarief112</f>
        <v>0</v>
      </c>
      <c r="Q216" s="108" t="e">
        <f>IF(ISBLANK(N216),0,M216/ROUND(N216,4))</f>
        <v>#DIV/0!</v>
      </c>
      <c r="R216" s="28" t="e">
        <f>ROUND(P216,2)*Q216</f>
        <v>#DIV/0!</v>
      </c>
      <c r="S216" s="108" t="e">
        <f>Q216*dagenperjaar1</f>
        <v>#DIV/0!</v>
      </c>
      <c r="T216" s="29" t="e">
        <f>S216*ROUND(P216,2)</f>
        <v>#DIV/0!</v>
      </c>
    </row>
    <row r="217" spans="1:20" x14ac:dyDescent="0.2">
      <c r="A217" s="105" t="s">
        <v>548</v>
      </c>
      <c r="B217" s="106" t="s">
        <v>37</v>
      </c>
      <c r="C217" s="106" t="s">
        <v>415</v>
      </c>
      <c r="D217" s="106" t="s">
        <v>416</v>
      </c>
      <c r="E217" s="106" t="s">
        <v>37</v>
      </c>
      <c r="F217" s="107" t="s">
        <v>393</v>
      </c>
      <c r="G217" s="106" t="s">
        <v>325</v>
      </c>
      <c r="H217" s="106" t="s">
        <v>237</v>
      </c>
      <c r="I217" s="106" t="s">
        <v>10</v>
      </c>
      <c r="J217" s="106" t="s">
        <v>231</v>
      </c>
      <c r="K217" s="106"/>
      <c r="L217" s="108">
        <v>22</v>
      </c>
      <c r="M217" s="108">
        <f>L217*VLOOKUP(I217,dagsoorttabel1,2,FALSE)</f>
        <v>17.600000000000001</v>
      </c>
      <c r="N217" s="109">
        <f>prodnorm42</f>
        <v>0</v>
      </c>
      <c r="O217" s="106" t="s">
        <v>105</v>
      </c>
      <c r="P217" s="28">
        <f>uurtarief42</f>
        <v>0</v>
      </c>
      <c r="Q217" s="108" t="e">
        <f>IF(ISBLANK(N217),0,M217/ROUND(N217,4))</f>
        <v>#DIV/0!</v>
      </c>
      <c r="R217" s="28" t="e">
        <f>ROUND(P217,2)*Q217</f>
        <v>#DIV/0!</v>
      </c>
      <c r="S217" s="108" t="e">
        <f>Q217*dagenperjaar1</f>
        <v>#DIV/0!</v>
      </c>
      <c r="T217" s="29" t="e">
        <f>S217*ROUND(P217,2)</f>
        <v>#DIV/0!</v>
      </c>
    </row>
    <row r="218" spans="1:20" x14ac:dyDescent="0.2">
      <c r="A218" s="105" t="s">
        <v>548</v>
      </c>
      <c r="B218" s="106" t="s">
        <v>37</v>
      </c>
      <c r="C218" s="106" t="s">
        <v>415</v>
      </c>
      <c r="D218" s="106" t="s">
        <v>417</v>
      </c>
      <c r="E218" s="106" t="s">
        <v>37</v>
      </c>
      <c r="F218" s="107" t="s">
        <v>393</v>
      </c>
      <c r="G218" s="106" t="s">
        <v>325</v>
      </c>
      <c r="H218" s="106" t="s">
        <v>237</v>
      </c>
      <c r="I218" s="106" t="s">
        <v>10</v>
      </c>
      <c r="J218" s="106" t="s">
        <v>231</v>
      </c>
      <c r="K218" s="106"/>
      <c r="L218" s="108">
        <v>23</v>
      </c>
      <c r="M218" s="108">
        <f>L218*VLOOKUP(I218,dagsoorttabel1,2,FALSE)</f>
        <v>18.400000000000002</v>
      </c>
      <c r="N218" s="109">
        <f>prodnorm42</f>
        <v>0</v>
      </c>
      <c r="O218" s="106" t="s">
        <v>105</v>
      </c>
      <c r="P218" s="28">
        <f>uurtarief42</f>
        <v>0</v>
      </c>
      <c r="Q218" s="108" t="e">
        <f>IF(ISBLANK(N218),0,M218/ROUND(N218,4))</f>
        <v>#DIV/0!</v>
      </c>
      <c r="R218" s="28" t="e">
        <f>ROUND(P218,2)*Q218</f>
        <v>#DIV/0!</v>
      </c>
      <c r="S218" s="108" t="e">
        <f>Q218*dagenperjaar1</f>
        <v>#DIV/0!</v>
      </c>
      <c r="T218" s="29" t="e">
        <f>S218*ROUND(P218,2)</f>
        <v>#DIV/0!</v>
      </c>
    </row>
    <row r="219" spans="1:20" x14ac:dyDescent="0.2">
      <c r="A219" s="105" t="s">
        <v>548</v>
      </c>
      <c r="B219" s="106" t="s">
        <v>37</v>
      </c>
      <c r="C219" s="106" t="s">
        <v>415</v>
      </c>
      <c r="D219" s="106" t="s">
        <v>419</v>
      </c>
      <c r="E219" s="106" t="s">
        <v>37</v>
      </c>
      <c r="F219" s="107" t="s">
        <v>393</v>
      </c>
      <c r="G219" s="106" t="s">
        <v>325</v>
      </c>
      <c r="H219" s="106" t="s">
        <v>237</v>
      </c>
      <c r="I219" s="106" t="s">
        <v>10</v>
      </c>
      <c r="J219" s="106" t="s">
        <v>231</v>
      </c>
      <c r="K219" s="106"/>
      <c r="L219" s="108">
        <v>36</v>
      </c>
      <c r="M219" s="108">
        <f>L219*VLOOKUP(I219,dagsoorttabel1,2,FALSE)</f>
        <v>28.8</v>
      </c>
      <c r="N219" s="109">
        <f>prodnorm42</f>
        <v>0</v>
      </c>
      <c r="O219" s="106" t="s">
        <v>105</v>
      </c>
      <c r="P219" s="28">
        <f>uurtarief42</f>
        <v>0</v>
      </c>
      <c r="Q219" s="108" t="e">
        <f>IF(ISBLANK(N219),0,M219/ROUND(N219,4))</f>
        <v>#DIV/0!</v>
      </c>
      <c r="R219" s="28" t="e">
        <f>ROUND(P219,2)*Q219</f>
        <v>#DIV/0!</v>
      </c>
      <c r="S219" s="108" t="e">
        <f>Q219*dagenperjaar1</f>
        <v>#DIV/0!</v>
      </c>
      <c r="T219" s="29" t="e">
        <f>S219*ROUND(P219,2)</f>
        <v>#DIV/0!</v>
      </c>
    </row>
    <row r="220" spans="1:20" x14ac:dyDescent="0.2">
      <c r="A220" s="105" t="s">
        <v>548</v>
      </c>
      <c r="B220" s="106" t="s">
        <v>37</v>
      </c>
      <c r="C220" s="106" t="s">
        <v>415</v>
      </c>
      <c r="D220" s="106" t="s">
        <v>420</v>
      </c>
      <c r="E220" s="106" t="s">
        <v>37</v>
      </c>
      <c r="F220" s="107" t="s">
        <v>393</v>
      </c>
      <c r="G220" s="106" t="s">
        <v>325</v>
      </c>
      <c r="H220" s="106" t="s">
        <v>237</v>
      </c>
      <c r="I220" s="106" t="s">
        <v>10</v>
      </c>
      <c r="J220" s="106" t="s">
        <v>231</v>
      </c>
      <c r="K220" s="106"/>
      <c r="L220" s="108">
        <v>22</v>
      </c>
      <c r="M220" s="108">
        <f>L220*VLOOKUP(I220,dagsoorttabel1,2,FALSE)</f>
        <v>17.600000000000001</v>
      </c>
      <c r="N220" s="109">
        <f>prodnorm42</f>
        <v>0</v>
      </c>
      <c r="O220" s="106" t="s">
        <v>105</v>
      </c>
      <c r="P220" s="28">
        <f>uurtarief42</f>
        <v>0</v>
      </c>
      <c r="Q220" s="108" t="e">
        <f>IF(ISBLANK(N220),0,M220/ROUND(N220,4))</f>
        <v>#DIV/0!</v>
      </c>
      <c r="R220" s="28" t="e">
        <f>ROUND(P220,2)*Q220</f>
        <v>#DIV/0!</v>
      </c>
      <c r="S220" s="108" t="e">
        <f>Q220*dagenperjaar1</f>
        <v>#DIV/0!</v>
      </c>
      <c r="T220" s="29" t="e">
        <f>S220*ROUND(P220,2)</f>
        <v>#DIV/0!</v>
      </c>
    </row>
    <row r="221" spans="1:20" x14ac:dyDescent="0.2">
      <c r="A221" s="105" t="s">
        <v>548</v>
      </c>
      <c r="B221" s="106" t="s">
        <v>37</v>
      </c>
      <c r="C221" s="106" t="s">
        <v>415</v>
      </c>
      <c r="D221" s="106" t="s">
        <v>421</v>
      </c>
      <c r="E221" s="106" t="s">
        <v>37</v>
      </c>
      <c r="F221" s="107" t="s">
        <v>393</v>
      </c>
      <c r="G221" s="106" t="s">
        <v>325</v>
      </c>
      <c r="H221" s="106" t="s">
        <v>237</v>
      </c>
      <c r="I221" s="106" t="s">
        <v>10</v>
      </c>
      <c r="J221" s="106" t="s">
        <v>231</v>
      </c>
      <c r="K221" s="106"/>
      <c r="L221" s="108">
        <v>23</v>
      </c>
      <c r="M221" s="108">
        <f>L221*VLOOKUP(I221,dagsoorttabel1,2,FALSE)</f>
        <v>18.400000000000002</v>
      </c>
      <c r="N221" s="109">
        <f>prodnorm42</f>
        <v>0</v>
      </c>
      <c r="O221" s="106" t="s">
        <v>105</v>
      </c>
      <c r="P221" s="28">
        <f>uurtarief42</f>
        <v>0</v>
      </c>
      <c r="Q221" s="108" t="e">
        <f>IF(ISBLANK(N221),0,M221/ROUND(N221,4))</f>
        <v>#DIV/0!</v>
      </c>
      <c r="R221" s="28" t="e">
        <f>ROUND(P221,2)*Q221</f>
        <v>#DIV/0!</v>
      </c>
      <c r="S221" s="108" t="e">
        <f>Q221*dagenperjaar1</f>
        <v>#DIV/0!</v>
      </c>
      <c r="T221" s="29" t="e">
        <f>S221*ROUND(P221,2)</f>
        <v>#DIV/0!</v>
      </c>
    </row>
    <row r="222" spans="1:20" x14ac:dyDescent="0.2">
      <c r="A222" s="105" t="s">
        <v>548</v>
      </c>
      <c r="B222" s="106" t="s">
        <v>37</v>
      </c>
      <c r="C222" s="106" t="s">
        <v>415</v>
      </c>
      <c r="D222" s="106" t="s">
        <v>422</v>
      </c>
      <c r="E222" s="106" t="s">
        <v>37</v>
      </c>
      <c r="F222" s="107" t="s">
        <v>393</v>
      </c>
      <c r="G222" s="106" t="s">
        <v>325</v>
      </c>
      <c r="H222" s="106" t="s">
        <v>237</v>
      </c>
      <c r="I222" s="106" t="s">
        <v>10</v>
      </c>
      <c r="J222" s="106" t="s">
        <v>231</v>
      </c>
      <c r="K222" s="106"/>
      <c r="L222" s="108">
        <v>25</v>
      </c>
      <c r="M222" s="108">
        <f>L222*VLOOKUP(I222,dagsoorttabel1,2,FALSE)</f>
        <v>20</v>
      </c>
      <c r="N222" s="109">
        <f>prodnorm42</f>
        <v>0</v>
      </c>
      <c r="O222" s="106" t="s">
        <v>105</v>
      </c>
      <c r="P222" s="28">
        <f>uurtarief42</f>
        <v>0</v>
      </c>
      <c r="Q222" s="108" t="e">
        <f>IF(ISBLANK(N222),0,M222/ROUND(N222,4))</f>
        <v>#DIV/0!</v>
      </c>
      <c r="R222" s="28" t="e">
        <f>ROUND(P222,2)*Q222</f>
        <v>#DIV/0!</v>
      </c>
      <c r="S222" s="108" t="e">
        <f>Q222*dagenperjaar1</f>
        <v>#DIV/0!</v>
      </c>
      <c r="T222" s="29" t="e">
        <f>S222*ROUND(P222,2)</f>
        <v>#DIV/0!</v>
      </c>
    </row>
    <row r="223" spans="1:20" x14ac:dyDescent="0.2">
      <c r="A223" s="105" t="s">
        <v>548</v>
      </c>
      <c r="B223" s="106" t="s">
        <v>37</v>
      </c>
      <c r="C223" s="106" t="s">
        <v>415</v>
      </c>
      <c r="D223" s="106" t="s">
        <v>424</v>
      </c>
      <c r="E223" s="106" t="s">
        <v>37</v>
      </c>
      <c r="F223" s="107" t="s">
        <v>393</v>
      </c>
      <c r="G223" s="106" t="s">
        <v>325</v>
      </c>
      <c r="H223" s="106" t="s">
        <v>237</v>
      </c>
      <c r="I223" s="106" t="s">
        <v>10</v>
      </c>
      <c r="J223" s="106" t="s">
        <v>231</v>
      </c>
      <c r="K223" s="106"/>
      <c r="L223" s="108">
        <v>37</v>
      </c>
      <c r="M223" s="108">
        <f>L223*VLOOKUP(I223,dagsoorttabel1,2,FALSE)</f>
        <v>29.6</v>
      </c>
      <c r="N223" s="109">
        <f>prodnorm42</f>
        <v>0</v>
      </c>
      <c r="O223" s="106" t="s">
        <v>105</v>
      </c>
      <c r="P223" s="28">
        <f>uurtarief42</f>
        <v>0</v>
      </c>
      <c r="Q223" s="108" t="e">
        <f>IF(ISBLANK(N223),0,M223/ROUND(N223,4))</f>
        <v>#DIV/0!</v>
      </c>
      <c r="R223" s="28" t="e">
        <f>ROUND(P223,2)*Q223</f>
        <v>#DIV/0!</v>
      </c>
      <c r="S223" s="108" t="e">
        <f>Q223*dagenperjaar1</f>
        <v>#DIV/0!</v>
      </c>
      <c r="T223" s="29" t="e">
        <f>S223*ROUND(P223,2)</f>
        <v>#DIV/0!</v>
      </c>
    </row>
    <row r="224" spans="1:20" x14ac:dyDescent="0.2">
      <c r="A224" s="105" t="s">
        <v>548</v>
      </c>
      <c r="B224" s="106" t="s">
        <v>37</v>
      </c>
      <c r="C224" s="106" t="s">
        <v>415</v>
      </c>
      <c r="D224" s="106" t="s">
        <v>425</v>
      </c>
      <c r="E224" s="106" t="s">
        <v>37</v>
      </c>
      <c r="F224" s="107" t="s">
        <v>393</v>
      </c>
      <c r="G224" s="106" t="s">
        <v>325</v>
      </c>
      <c r="H224" s="106" t="s">
        <v>237</v>
      </c>
      <c r="I224" s="106" t="s">
        <v>10</v>
      </c>
      <c r="J224" s="106" t="s">
        <v>231</v>
      </c>
      <c r="K224" s="106"/>
      <c r="L224" s="108">
        <v>33.5</v>
      </c>
      <c r="M224" s="108">
        <f>L224*VLOOKUP(I224,dagsoorttabel1,2,FALSE)</f>
        <v>26.8</v>
      </c>
      <c r="N224" s="109">
        <f>prodnorm42</f>
        <v>0</v>
      </c>
      <c r="O224" s="106" t="s">
        <v>105</v>
      </c>
      <c r="P224" s="28">
        <f>uurtarief42</f>
        <v>0</v>
      </c>
      <c r="Q224" s="108" t="e">
        <f>IF(ISBLANK(N224),0,M224/ROUND(N224,4))</f>
        <v>#DIV/0!</v>
      </c>
      <c r="R224" s="28" t="e">
        <f>ROUND(P224,2)*Q224</f>
        <v>#DIV/0!</v>
      </c>
      <c r="S224" s="108" t="e">
        <f>Q224*dagenperjaar1</f>
        <v>#DIV/0!</v>
      </c>
      <c r="T224" s="29" t="e">
        <f>S224*ROUND(P224,2)</f>
        <v>#DIV/0!</v>
      </c>
    </row>
    <row r="225" spans="1:20" x14ac:dyDescent="0.2">
      <c r="A225" s="105" t="s">
        <v>548</v>
      </c>
      <c r="B225" s="106" t="s">
        <v>37</v>
      </c>
      <c r="C225" s="106" t="s">
        <v>415</v>
      </c>
      <c r="D225" s="106" t="s">
        <v>426</v>
      </c>
      <c r="E225" s="106" t="s">
        <v>37</v>
      </c>
      <c r="F225" s="107" t="s">
        <v>393</v>
      </c>
      <c r="G225" s="106" t="s">
        <v>325</v>
      </c>
      <c r="H225" s="106" t="s">
        <v>237</v>
      </c>
      <c r="I225" s="106" t="s">
        <v>10</v>
      </c>
      <c r="J225" s="106" t="s">
        <v>231</v>
      </c>
      <c r="K225" s="106"/>
      <c r="L225" s="108">
        <v>29</v>
      </c>
      <c r="M225" s="108">
        <f>L225*VLOOKUP(I225,dagsoorttabel1,2,FALSE)</f>
        <v>23.200000000000003</v>
      </c>
      <c r="N225" s="109">
        <f>prodnorm42</f>
        <v>0</v>
      </c>
      <c r="O225" s="106" t="s">
        <v>105</v>
      </c>
      <c r="P225" s="28">
        <f>uurtarief42</f>
        <v>0</v>
      </c>
      <c r="Q225" s="108" t="e">
        <f>IF(ISBLANK(N225),0,M225/ROUND(N225,4))</f>
        <v>#DIV/0!</v>
      </c>
      <c r="R225" s="28" t="e">
        <f>ROUND(P225,2)*Q225</f>
        <v>#DIV/0!</v>
      </c>
      <c r="S225" s="108" t="e">
        <f>Q225*dagenperjaar1</f>
        <v>#DIV/0!</v>
      </c>
      <c r="T225" s="29" t="e">
        <f>S225*ROUND(P225,2)</f>
        <v>#DIV/0!</v>
      </c>
    </row>
    <row r="226" spans="1:20" x14ac:dyDescent="0.2">
      <c r="A226" s="105" t="s">
        <v>548</v>
      </c>
      <c r="B226" s="106" t="s">
        <v>37</v>
      </c>
      <c r="C226" s="106" t="s">
        <v>415</v>
      </c>
      <c r="D226" s="106" t="s">
        <v>427</v>
      </c>
      <c r="E226" s="106" t="s">
        <v>37</v>
      </c>
      <c r="F226" s="107" t="s">
        <v>393</v>
      </c>
      <c r="G226" s="106" t="s">
        <v>325</v>
      </c>
      <c r="H226" s="106" t="s">
        <v>237</v>
      </c>
      <c r="I226" s="106" t="s">
        <v>10</v>
      </c>
      <c r="J226" s="106" t="s">
        <v>231</v>
      </c>
      <c r="K226" s="106"/>
      <c r="L226" s="108">
        <v>36</v>
      </c>
      <c r="M226" s="108">
        <f>L226*VLOOKUP(I226,dagsoorttabel1,2,FALSE)</f>
        <v>28.8</v>
      </c>
      <c r="N226" s="109">
        <f>prodnorm42</f>
        <v>0</v>
      </c>
      <c r="O226" s="106" t="s">
        <v>105</v>
      </c>
      <c r="P226" s="28">
        <f>uurtarief42</f>
        <v>0</v>
      </c>
      <c r="Q226" s="108" t="e">
        <f>IF(ISBLANK(N226),0,M226/ROUND(N226,4))</f>
        <v>#DIV/0!</v>
      </c>
      <c r="R226" s="28" t="e">
        <f>ROUND(P226,2)*Q226</f>
        <v>#DIV/0!</v>
      </c>
      <c r="S226" s="108" t="e">
        <f>Q226*dagenperjaar1</f>
        <v>#DIV/0!</v>
      </c>
      <c r="T226" s="29" t="e">
        <f>S226*ROUND(P226,2)</f>
        <v>#DIV/0!</v>
      </c>
    </row>
    <row r="227" spans="1:20" x14ac:dyDescent="0.2">
      <c r="A227" s="105" t="s">
        <v>548</v>
      </c>
      <c r="B227" s="106" t="s">
        <v>37</v>
      </c>
      <c r="C227" s="106" t="s">
        <v>415</v>
      </c>
      <c r="D227" s="106" t="s">
        <v>430</v>
      </c>
      <c r="E227" s="106" t="s">
        <v>37</v>
      </c>
      <c r="F227" s="107" t="s">
        <v>355</v>
      </c>
      <c r="G227" s="106" t="s">
        <v>553</v>
      </c>
      <c r="H227" s="106" t="s">
        <v>273</v>
      </c>
      <c r="I227" s="106" t="s">
        <v>10</v>
      </c>
      <c r="J227" s="106" t="s">
        <v>231</v>
      </c>
      <c r="K227" s="106"/>
      <c r="L227" s="108">
        <v>11</v>
      </c>
      <c r="M227" s="108">
        <f>L227*VLOOKUP(I227,dagsoorttabel1,2,FALSE)</f>
        <v>8.8000000000000007</v>
      </c>
      <c r="N227" s="109">
        <f>prodnorm112</f>
        <v>0</v>
      </c>
      <c r="O227" s="106" t="s">
        <v>105</v>
      </c>
      <c r="P227" s="28">
        <f>uurtarief112</f>
        <v>0</v>
      </c>
      <c r="Q227" s="108" t="e">
        <f>IF(ISBLANK(N227),0,M227/ROUND(N227,4))</f>
        <v>#DIV/0!</v>
      </c>
      <c r="R227" s="28" t="e">
        <f>ROUND(P227,2)*Q227</f>
        <v>#DIV/0!</v>
      </c>
      <c r="S227" s="108" t="e">
        <f>Q227*dagenperjaar1</f>
        <v>#DIV/0!</v>
      </c>
      <c r="T227" s="29" t="e">
        <f>S227*ROUND(P227,2)</f>
        <v>#DIV/0!</v>
      </c>
    </row>
    <row r="228" spans="1:20" x14ac:dyDescent="0.2">
      <c r="A228" s="105" t="s">
        <v>548</v>
      </c>
      <c r="B228" s="106" t="s">
        <v>37</v>
      </c>
      <c r="C228" s="106" t="s">
        <v>415</v>
      </c>
      <c r="D228" s="106" t="s">
        <v>431</v>
      </c>
      <c r="E228" s="106" t="s">
        <v>37</v>
      </c>
      <c r="F228" s="107" t="s">
        <v>560</v>
      </c>
      <c r="G228" s="106" t="s">
        <v>325</v>
      </c>
      <c r="H228" s="106" t="s">
        <v>292</v>
      </c>
      <c r="I228" s="106" t="s">
        <v>10</v>
      </c>
      <c r="J228" s="106" t="s">
        <v>231</v>
      </c>
      <c r="K228" s="106"/>
      <c r="L228" s="108">
        <v>13.5</v>
      </c>
      <c r="M228" s="108">
        <f>L228*VLOOKUP(I228,dagsoorttabel1,2,FALSE)</f>
        <v>10.8</v>
      </c>
      <c r="N228" s="109">
        <f>prodnorm149</f>
        <v>0</v>
      </c>
      <c r="O228" s="106" t="s">
        <v>105</v>
      </c>
      <c r="P228" s="28">
        <f>uurtarief149</f>
        <v>0</v>
      </c>
      <c r="Q228" s="108" t="e">
        <f>IF(ISBLANK(N228),0,M228/ROUND(N228,4))</f>
        <v>#DIV/0!</v>
      </c>
      <c r="R228" s="28" t="e">
        <f>ROUND(P228,2)*Q228</f>
        <v>#DIV/0!</v>
      </c>
      <c r="S228" s="108" t="e">
        <f>Q228*dagenperjaar1</f>
        <v>#DIV/0!</v>
      </c>
      <c r="T228" s="29" t="e">
        <f>S228*ROUND(P228,2)</f>
        <v>#DIV/0!</v>
      </c>
    </row>
    <row r="229" spans="1:20" x14ac:dyDescent="0.2">
      <c r="A229" s="105" t="s">
        <v>548</v>
      </c>
      <c r="B229" s="106" t="s">
        <v>37</v>
      </c>
      <c r="C229" s="106" t="s">
        <v>415</v>
      </c>
      <c r="D229" s="106" t="s">
        <v>433</v>
      </c>
      <c r="E229" s="106" t="s">
        <v>37</v>
      </c>
      <c r="F229" s="107" t="s">
        <v>561</v>
      </c>
      <c r="G229" s="106" t="s">
        <v>325</v>
      </c>
      <c r="H229" s="106" t="s">
        <v>275</v>
      </c>
      <c r="I229" s="106" t="s">
        <v>10</v>
      </c>
      <c r="J229" s="106" t="s">
        <v>231</v>
      </c>
      <c r="K229" s="106"/>
      <c r="L229" s="108">
        <v>3</v>
      </c>
      <c r="M229" s="108">
        <f>L229*VLOOKUP(I229,dagsoorttabel1,2,FALSE)</f>
        <v>2.4000000000000004</v>
      </c>
      <c r="N229" s="109">
        <f>prodnorm117</f>
        <v>0</v>
      </c>
      <c r="O229" s="106" t="s">
        <v>105</v>
      </c>
      <c r="P229" s="28">
        <f>uurtarief117</f>
        <v>0</v>
      </c>
      <c r="Q229" s="108" t="e">
        <f>IF(ISBLANK(N229),0,M229/ROUND(N229,4))</f>
        <v>#DIV/0!</v>
      </c>
      <c r="R229" s="28" t="e">
        <f>ROUND(P229,2)*Q229</f>
        <v>#DIV/0!</v>
      </c>
      <c r="S229" s="108" t="e">
        <f>Q229*dagenperjaar1</f>
        <v>#DIV/0!</v>
      </c>
      <c r="T229" s="29" t="e">
        <f>S229*ROUND(P229,2)</f>
        <v>#DIV/0!</v>
      </c>
    </row>
    <row r="230" spans="1:20" x14ac:dyDescent="0.2">
      <c r="A230" s="105" t="s">
        <v>548</v>
      </c>
      <c r="B230" s="106" t="s">
        <v>37</v>
      </c>
      <c r="C230" s="106" t="s">
        <v>415</v>
      </c>
      <c r="D230" s="106" t="s">
        <v>434</v>
      </c>
      <c r="E230" s="106" t="s">
        <v>37</v>
      </c>
      <c r="F230" s="107" t="s">
        <v>562</v>
      </c>
      <c r="G230" s="106" t="s">
        <v>563</v>
      </c>
      <c r="H230" s="106" t="s">
        <v>267</v>
      </c>
      <c r="I230" s="106" t="s">
        <v>10</v>
      </c>
      <c r="J230" s="106" t="s">
        <v>231</v>
      </c>
      <c r="K230" s="106"/>
      <c r="L230" s="108">
        <v>6.5</v>
      </c>
      <c r="M230" s="108">
        <f>L230*VLOOKUP(I230,dagsoorttabel1,2,FALSE)</f>
        <v>5.2</v>
      </c>
      <c r="N230" s="109">
        <f>prodnorm100</f>
        <v>0</v>
      </c>
      <c r="O230" s="106" t="s">
        <v>105</v>
      </c>
      <c r="P230" s="28">
        <f>uurtarief100</f>
        <v>0</v>
      </c>
      <c r="Q230" s="108" t="e">
        <f>IF(ISBLANK(N230),0,M230/ROUND(N230,4))</f>
        <v>#DIV/0!</v>
      </c>
      <c r="R230" s="28" t="e">
        <f>ROUND(P230,2)*Q230</f>
        <v>#DIV/0!</v>
      </c>
      <c r="S230" s="108" t="e">
        <f>Q230*dagenperjaar1</f>
        <v>#DIV/0!</v>
      </c>
      <c r="T230" s="29" t="e">
        <f>S230*ROUND(P230,2)</f>
        <v>#DIV/0!</v>
      </c>
    </row>
    <row r="231" spans="1:20" x14ac:dyDescent="0.2">
      <c r="A231" s="105" t="s">
        <v>548</v>
      </c>
      <c r="B231" s="106" t="s">
        <v>37</v>
      </c>
      <c r="C231" s="106" t="s">
        <v>415</v>
      </c>
      <c r="D231" s="106" t="s">
        <v>436</v>
      </c>
      <c r="E231" s="106" t="s">
        <v>37</v>
      </c>
      <c r="F231" s="107" t="s">
        <v>564</v>
      </c>
      <c r="G231" s="106" t="s">
        <v>325</v>
      </c>
      <c r="H231" s="106" t="s">
        <v>275</v>
      </c>
      <c r="I231" s="106" t="s">
        <v>10</v>
      </c>
      <c r="J231" s="106" t="s">
        <v>231</v>
      </c>
      <c r="K231" s="106"/>
      <c r="L231" s="108">
        <v>3.5</v>
      </c>
      <c r="M231" s="108">
        <f>L231*VLOOKUP(I231,dagsoorttabel1,2,FALSE)</f>
        <v>2.8000000000000003</v>
      </c>
      <c r="N231" s="109">
        <f>prodnorm117</f>
        <v>0</v>
      </c>
      <c r="O231" s="106" t="s">
        <v>105</v>
      </c>
      <c r="P231" s="28">
        <f>uurtarief117</f>
        <v>0</v>
      </c>
      <c r="Q231" s="108" t="e">
        <f>IF(ISBLANK(N231),0,M231/ROUND(N231,4))</f>
        <v>#DIV/0!</v>
      </c>
      <c r="R231" s="28" t="e">
        <f>ROUND(P231,2)*Q231</f>
        <v>#DIV/0!</v>
      </c>
      <c r="S231" s="108" t="e">
        <f>Q231*dagenperjaar1</f>
        <v>#DIV/0!</v>
      </c>
      <c r="T231" s="29" t="e">
        <f>S231*ROUND(P231,2)</f>
        <v>#DIV/0!</v>
      </c>
    </row>
    <row r="232" spans="1:20" x14ac:dyDescent="0.2">
      <c r="A232" s="105" t="s">
        <v>548</v>
      </c>
      <c r="B232" s="106" t="s">
        <v>37</v>
      </c>
      <c r="C232" s="106" t="s">
        <v>415</v>
      </c>
      <c r="D232" s="106" t="s">
        <v>437</v>
      </c>
      <c r="E232" s="106" t="s">
        <v>37</v>
      </c>
      <c r="F232" s="107" t="s">
        <v>565</v>
      </c>
      <c r="G232" s="106" t="s">
        <v>563</v>
      </c>
      <c r="H232" s="106" t="s">
        <v>267</v>
      </c>
      <c r="I232" s="106" t="s">
        <v>10</v>
      </c>
      <c r="J232" s="106" t="s">
        <v>231</v>
      </c>
      <c r="K232" s="106"/>
      <c r="L232" s="108">
        <v>6.5</v>
      </c>
      <c r="M232" s="108">
        <f>L232*VLOOKUP(I232,dagsoorttabel1,2,FALSE)</f>
        <v>5.2</v>
      </c>
      <c r="N232" s="109">
        <f>prodnorm100</f>
        <v>0</v>
      </c>
      <c r="O232" s="106" t="s">
        <v>105</v>
      </c>
      <c r="P232" s="28">
        <f>uurtarief100</f>
        <v>0</v>
      </c>
      <c r="Q232" s="108" t="e">
        <f>IF(ISBLANK(N232),0,M232/ROUND(N232,4))</f>
        <v>#DIV/0!</v>
      </c>
      <c r="R232" s="28" t="e">
        <f>ROUND(P232,2)*Q232</f>
        <v>#DIV/0!</v>
      </c>
      <c r="S232" s="108" t="e">
        <f>Q232*dagenperjaar1</f>
        <v>#DIV/0!</v>
      </c>
      <c r="T232" s="29" t="e">
        <f>S232*ROUND(P232,2)</f>
        <v>#DIV/0!</v>
      </c>
    </row>
    <row r="233" spans="1:20" x14ac:dyDescent="0.2">
      <c r="A233" s="105" t="s">
        <v>548</v>
      </c>
      <c r="B233" s="106" t="s">
        <v>37</v>
      </c>
      <c r="C233" s="106" t="s">
        <v>415</v>
      </c>
      <c r="D233" s="106" t="s">
        <v>440</v>
      </c>
      <c r="E233" s="106" t="s">
        <v>37</v>
      </c>
      <c r="F233" s="107" t="s">
        <v>560</v>
      </c>
      <c r="G233" s="106" t="s">
        <v>325</v>
      </c>
      <c r="H233" s="106" t="s">
        <v>292</v>
      </c>
      <c r="I233" s="106" t="s">
        <v>10</v>
      </c>
      <c r="J233" s="106" t="s">
        <v>231</v>
      </c>
      <c r="K233" s="106"/>
      <c r="L233" s="108">
        <v>13.5</v>
      </c>
      <c r="M233" s="108">
        <f>L233*VLOOKUP(I233,dagsoorttabel1,2,FALSE)</f>
        <v>10.8</v>
      </c>
      <c r="N233" s="109">
        <f>prodnorm149</f>
        <v>0</v>
      </c>
      <c r="O233" s="106" t="s">
        <v>105</v>
      </c>
      <c r="P233" s="28">
        <f>uurtarief149</f>
        <v>0</v>
      </c>
      <c r="Q233" s="108" t="e">
        <f>IF(ISBLANK(N233),0,M233/ROUND(N233,4))</f>
        <v>#DIV/0!</v>
      </c>
      <c r="R233" s="28" t="e">
        <f>ROUND(P233,2)*Q233</f>
        <v>#DIV/0!</v>
      </c>
      <c r="S233" s="108" t="e">
        <f>Q233*dagenperjaar1</f>
        <v>#DIV/0!</v>
      </c>
      <c r="T233" s="29" t="e">
        <f>S233*ROUND(P233,2)</f>
        <v>#DIV/0!</v>
      </c>
    </row>
    <row r="234" spans="1:20" x14ac:dyDescent="0.2">
      <c r="A234" s="105" t="s">
        <v>548</v>
      </c>
      <c r="B234" s="106" t="s">
        <v>37</v>
      </c>
      <c r="C234" s="106" t="s">
        <v>415</v>
      </c>
      <c r="D234" s="106" t="s">
        <v>443</v>
      </c>
      <c r="E234" s="106" t="s">
        <v>37</v>
      </c>
      <c r="F234" s="107" t="s">
        <v>335</v>
      </c>
      <c r="G234" s="106" t="s">
        <v>325</v>
      </c>
      <c r="H234" s="106" t="s">
        <v>275</v>
      </c>
      <c r="I234" s="106" t="s">
        <v>10</v>
      </c>
      <c r="J234" s="106" t="s">
        <v>231</v>
      </c>
      <c r="K234" s="106"/>
      <c r="L234" s="108">
        <v>54</v>
      </c>
      <c r="M234" s="108">
        <f>L234*VLOOKUP(I234,dagsoorttabel1,2,FALSE)</f>
        <v>43.2</v>
      </c>
      <c r="N234" s="109">
        <f>prodnorm117</f>
        <v>0</v>
      </c>
      <c r="O234" s="106" t="s">
        <v>105</v>
      </c>
      <c r="P234" s="28">
        <f>uurtarief117</f>
        <v>0</v>
      </c>
      <c r="Q234" s="108" t="e">
        <f>IF(ISBLANK(N234),0,M234/ROUND(N234,4))</f>
        <v>#DIV/0!</v>
      </c>
      <c r="R234" s="28" t="e">
        <f>ROUND(P234,2)*Q234</f>
        <v>#DIV/0!</v>
      </c>
      <c r="S234" s="108" t="e">
        <f>Q234*dagenperjaar1</f>
        <v>#DIV/0!</v>
      </c>
      <c r="T234" s="29" t="e">
        <f>S234*ROUND(P234,2)</f>
        <v>#DIV/0!</v>
      </c>
    </row>
    <row r="235" spans="1:20" x14ac:dyDescent="0.2">
      <c r="A235" s="105" t="s">
        <v>548</v>
      </c>
      <c r="B235" s="106" t="s">
        <v>37</v>
      </c>
      <c r="C235" s="106" t="s">
        <v>462</v>
      </c>
      <c r="D235" s="106" t="s">
        <v>463</v>
      </c>
      <c r="E235" s="106" t="s">
        <v>37</v>
      </c>
      <c r="F235" s="107" t="s">
        <v>393</v>
      </c>
      <c r="G235" s="106" t="s">
        <v>325</v>
      </c>
      <c r="H235" s="106" t="s">
        <v>237</v>
      </c>
      <c r="I235" s="106" t="s">
        <v>10</v>
      </c>
      <c r="J235" s="106" t="s">
        <v>231</v>
      </c>
      <c r="K235" s="106"/>
      <c r="L235" s="108">
        <v>13</v>
      </c>
      <c r="M235" s="108">
        <f>L235*VLOOKUP(I235,dagsoorttabel1,2,FALSE)</f>
        <v>10.4</v>
      </c>
      <c r="N235" s="109">
        <f>prodnorm42</f>
        <v>0</v>
      </c>
      <c r="O235" s="106" t="s">
        <v>105</v>
      </c>
      <c r="P235" s="28">
        <f>uurtarief42</f>
        <v>0</v>
      </c>
      <c r="Q235" s="108" t="e">
        <f>IF(ISBLANK(N235),0,M235/ROUND(N235,4))</f>
        <v>#DIV/0!</v>
      </c>
      <c r="R235" s="28" t="e">
        <f>ROUND(P235,2)*Q235</f>
        <v>#DIV/0!</v>
      </c>
      <c r="S235" s="108" t="e">
        <f>Q235*dagenperjaar1</f>
        <v>#DIV/0!</v>
      </c>
      <c r="T235" s="29" t="e">
        <f>S235*ROUND(P235,2)</f>
        <v>#DIV/0!</v>
      </c>
    </row>
    <row r="236" spans="1:20" x14ac:dyDescent="0.2">
      <c r="A236" s="105" t="s">
        <v>548</v>
      </c>
      <c r="B236" s="106" t="s">
        <v>37</v>
      </c>
      <c r="C236" s="106" t="s">
        <v>462</v>
      </c>
      <c r="D236" s="106" t="s">
        <v>464</v>
      </c>
      <c r="E236" s="106" t="s">
        <v>37</v>
      </c>
      <c r="F236" s="107" t="s">
        <v>393</v>
      </c>
      <c r="G236" s="106" t="s">
        <v>325</v>
      </c>
      <c r="H236" s="106" t="s">
        <v>237</v>
      </c>
      <c r="I236" s="106" t="s">
        <v>10</v>
      </c>
      <c r="J236" s="106" t="s">
        <v>231</v>
      </c>
      <c r="K236" s="106"/>
      <c r="L236" s="108">
        <v>41</v>
      </c>
      <c r="M236" s="108">
        <f>L236*VLOOKUP(I236,dagsoorttabel1,2,FALSE)</f>
        <v>32.800000000000004</v>
      </c>
      <c r="N236" s="109">
        <f>prodnorm42</f>
        <v>0</v>
      </c>
      <c r="O236" s="106" t="s">
        <v>105</v>
      </c>
      <c r="P236" s="28">
        <f>uurtarief42</f>
        <v>0</v>
      </c>
      <c r="Q236" s="108" t="e">
        <f>IF(ISBLANK(N236),0,M236/ROUND(N236,4))</f>
        <v>#DIV/0!</v>
      </c>
      <c r="R236" s="28" t="e">
        <f>ROUND(P236,2)*Q236</f>
        <v>#DIV/0!</v>
      </c>
      <c r="S236" s="108" t="e">
        <f>Q236*dagenperjaar1</f>
        <v>#DIV/0!</v>
      </c>
      <c r="T236" s="29" t="e">
        <f>S236*ROUND(P236,2)</f>
        <v>#DIV/0!</v>
      </c>
    </row>
    <row r="237" spans="1:20" x14ac:dyDescent="0.2">
      <c r="A237" s="105" t="s">
        <v>548</v>
      </c>
      <c r="B237" s="106" t="s">
        <v>37</v>
      </c>
      <c r="C237" s="106" t="s">
        <v>462</v>
      </c>
      <c r="D237" s="106" t="s">
        <v>466</v>
      </c>
      <c r="E237" s="106" t="s">
        <v>37</v>
      </c>
      <c r="F237" s="107" t="s">
        <v>393</v>
      </c>
      <c r="G237" s="106" t="s">
        <v>325</v>
      </c>
      <c r="H237" s="106" t="s">
        <v>237</v>
      </c>
      <c r="I237" s="106" t="s">
        <v>10</v>
      </c>
      <c r="J237" s="106" t="s">
        <v>231</v>
      </c>
      <c r="K237" s="106"/>
      <c r="L237" s="108">
        <v>47</v>
      </c>
      <c r="M237" s="108">
        <f>L237*VLOOKUP(I237,dagsoorttabel1,2,FALSE)</f>
        <v>37.6</v>
      </c>
      <c r="N237" s="109">
        <f>prodnorm42</f>
        <v>0</v>
      </c>
      <c r="O237" s="106" t="s">
        <v>105</v>
      </c>
      <c r="P237" s="28">
        <f>uurtarief42</f>
        <v>0</v>
      </c>
      <c r="Q237" s="108" t="e">
        <f>IF(ISBLANK(N237),0,M237/ROUND(N237,4))</f>
        <v>#DIV/0!</v>
      </c>
      <c r="R237" s="28" t="e">
        <f>ROUND(P237,2)*Q237</f>
        <v>#DIV/0!</v>
      </c>
      <c r="S237" s="108" t="e">
        <f>Q237*dagenperjaar1</f>
        <v>#DIV/0!</v>
      </c>
      <c r="T237" s="29" t="e">
        <f>S237*ROUND(P237,2)</f>
        <v>#DIV/0!</v>
      </c>
    </row>
    <row r="238" spans="1:20" x14ac:dyDescent="0.2">
      <c r="A238" s="105" t="s">
        <v>548</v>
      </c>
      <c r="B238" s="106" t="s">
        <v>37</v>
      </c>
      <c r="C238" s="106" t="s">
        <v>462</v>
      </c>
      <c r="D238" s="106" t="s">
        <v>467</v>
      </c>
      <c r="E238" s="106" t="s">
        <v>37</v>
      </c>
      <c r="F238" s="107" t="s">
        <v>393</v>
      </c>
      <c r="G238" s="106" t="s">
        <v>325</v>
      </c>
      <c r="H238" s="106" t="s">
        <v>237</v>
      </c>
      <c r="I238" s="106" t="s">
        <v>10</v>
      </c>
      <c r="J238" s="106" t="s">
        <v>231</v>
      </c>
      <c r="K238" s="106"/>
      <c r="L238" s="108">
        <v>34</v>
      </c>
      <c r="M238" s="108">
        <f>L238*VLOOKUP(I238,dagsoorttabel1,2,FALSE)</f>
        <v>27.200000000000003</v>
      </c>
      <c r="N238" s="109">
        <f>prodnorm42</f>
        <v>0</v>
      </c>
      <c r="O238" s="106" t="s">
        <v>105</v>
      </c>
      <c r="P238" s="28">
        <f>uurtarief42</f>
        <v>0</v>
      </c>
      <c r="Q238" s="108" t="e">
        <f>IF(ISBLANK(N238),0,M238/ROUND(N238,4))</f>
        <v>#DIV/0!</v>
      </c>
      <c r="R238" s="28" t="e">
        <f>ROUND(P238,2)*Q238</f>
        <v>#DIV/0!</v>
      </c>
      <c r="S238" s="108" t="e">
        <f>Q238*dagenperjaar1</f>
        <v>#DIV/0!</v>
      </c>
      <c r="T238" s="29" t="e">
        <f>S238*ROUND(P238,2)</f>
        <v>#DIV/0!</v>
      </c>
    </row>
    <row r="239" spans="1:20" x14ac:dyDescent="0.2">
      <c r="A239" s="105" t="s">
        <v>548</v>
      </c>
      <c r="B239" s="106" t="s">
        <v>37</v>
      </c>
      <c r="C239" s="106" t="s">
        <v>462</v>
      </c>
      <c r="D239" s="106" t="s">
        <v>468</v>
      </c>
      <c r="E239" s="106" t="s">
        <v>37</v>
      </c>
      <c r="F239" s="107" t="s">
        <v>393</v>
      </c>
      <c r="G239" s="106" t="s">
        <v>325</v>
      </c>
      <c r="H239" s="106" t="s">
        <v>237</v>
      </c>
      <c r="I239" s="106" t="s">
        <v>10</v>
      </c>
      <c r="J239" s="106" t="s">
        <v>231</v>
      </c>
      <c r="K239" s="106"/>
      <c r="L239" s="108">
        <v>38</v>
      </c>
      <c r="M239" s="108">
        <f>L239*VLOOKUP(I239,dagsoorttabel1,2,FALSE)</f>
        <v>30.400000000000002</v>
      </c>
      <c r="N239" s="109">
        <f>prodnorm42</f>
        <v>0</v>
      </c>
      <c r="O239" s="106" t="s">
        <v>105</v>
      </c>
      <c r="P239" s="28">
        <f>uurtarief42</f>
        <v>0</v>
      </c>
      <c r="Q239" s="108" t="e">
        <f>IF(ISBLANK(N239),0,M239/ROUND(N239,4))</f>
        <v>#DIV/0!</v>
      </c>
      <c r="R239" s="28" t="e">
        <f>ROUND(P239,2)*Q239</f>
        <v>#DIV/0!</v>
      </c>
      <c r="S239" s="108" t="e">
        <f>Q239*dagenperjaar1</f>
        <v>#DIV/0!</v>
      </c>
      <c r="T239" s="29" t="e">
        <f>S239*ROUND(P239,2)</f>
        <v>#DIV/0!</v>
      </c>
    </row>
    <row r="240" spans="1:20" x14ac:dyDescent="0.2">
      <c r="A240" s="105" t="s">
        <v>548</v>
      </c>
      <c r="B240" s="106" t="s">
        <v>37</v>
      </c>
      <c r="C240" s="106" t="s">
        <v>462</v>
      </c>
      <c r="D240" s="106" t="s">
        <v>469</v>
      </c>
      <c r="E240" s="106" t="s">
        <v>37</v>
      </c>
      <c r="F240" s="107" t="s">
        <v>393</v>
      </c>
      <c r="G240" s="106" t="s">
        <v>325</v>
      </c>
      <c r="H240" s="106" t="s">
        <v>237</v>
      </c>
      <c r="I240" s="106" t="s">
        <v>10</v>
      </c>
      <c r="J240" s="106" t="s">
        <v>231</v>
      </c>
      <c r="K240" s="106"/>
      <c r="L240" s="108">
        <v>25</v>
      </c>
      <c r="M240" s="108">
        <f>L240*VLOOKUP(I240,dagsoorttabel1,2,FALSE)</f>
        <v>20</v>
      </c>
      <c r="N240" s="109">
        <f>prodnorm42</f>
        <v>0</v>
      </c>
      <c r="O240" s="106" t="s">
        <v>105</v>
      </c>
      <c r="P240" s="28">
        <f>uurtarief42</f>
        <v>0</v>
      </c>
      <c r="Q240" s="108" t="e">
        <f>IF(ISBLANK(N240),0,M240/ROUND(N240,4))</f>
        <v>#DIV/0!</v>
      </c>
      <c r="R240" s="28" t="e">
        <f>ROUND(P240,2)*Q240</f>
        <v>#DIV/0!</v>
      </c>
      <c r="S240" s="108" t="e">
        <f>Q240*dagenperjaar1</f>
        <v>#DIV/0!</v>
      </c>
      <c r="T240" s="29" t="e">
        <f>S240*ROUND(P240,2)</f>
        <v>#DIV/0!</v>
      </c>
    </row>
    <row r="241" spans="1:20" x14ac:dyDescent="0.2">
      <c r="A241" s="105" t="s">
        <v>548</v>
      </c>
      <c r="B241" s="106" t="s">
        <v>37</v>
      </c>
      <c r="C241" s="106" t="s">
        <v>462</v>
      </c>
      <c r="D241" s="106" t="s">
        <v>470</v>
      </c>
      <c r="E241" s="106" t="s">
        <v>37</v>
      </c>
      <c r="F241" s="107" t="s">
        <v>393</v>
      </c>
      <c r="G241" s="106" t="s">
        <v>325</v>
      </c>
      <c r="H241" s="106" t="s">
        <v>237</v>
      </c>
      <c r="I241" s="106" t="s">
        <v>10</v>
      </c>
      <c r="J241" s="106" t="s">
        <v>231</v>
      </c>
      <c r="K241" s="106"/>
      <c r="L241" s="108">
        <v>74</v>
      </c>
      <c r="M241" s="108">
        <f>L241*VLOOKUP(I241,dagsoorttabel1,2,FALSE)</f>
        <v>59.2</v>
      </c>
      <c r="N241" s="109">
        <f>prodnorm42</f>
        <v>0</v>
      </c>
      <c r="O241" s="106" t="s">
        <v>105</v>
      </c>
      <c r="P241" s="28">
        <f>uurtarief42</f>
        <v>0</v>
      </c>
      <c r="Q241" s="108" t="e">
        <f>IF(ISBLANK(N241),0,M241/ROUND(N241,4))</f>
        <v>#DIV/0!</v>
      </c>
      <c r="R241" s="28" t="e">
        <f>ROUND(P241,2)*Q241</f>
        <v>#DIV/0!</v>
      </c>
      <c r="S241" s="108" t="e">
        <f>Q241*dagenperjaar1</f>
        <v>#DIV/0!</v>
      </c>
      <c r="T241" s="29" t="e">
        <f>S241*ROUND(P241,2)</f>
        <v>#DIV/0!</v>
      </c>
    </row>
    <row r="242" spans="1:20" x14ac:dyDescent="0.2">
      <c r="A242" s="105" t="s">
        <v>548</v>
      </c>
      <c r="B242" s="106" t="s">
        <v>37</v>
      </c>
      <c r="C242" s="106" t="s">
        <v>462</v>
      </c>
      <c r="D242" s="106" t="s">
        <v>473</v>
      </c>
      <c r="E242" s="106" t="s">
        <v>37</v>
      </c>
      <c r="F242" s="107" t="s">
        <v>355</v>
      </c>
      <c r="G242" s="106" t="s">
        <v>553</v>
      </c>
      <c r="H242" s="106" t="s">
        <v>273</v>
      </c>
      <c r="I242" s="106" t="s">
        <v>10</v>
      </c>
      <c r="J242" s="106" t="s">
        <v>231</v>
      </c>
      <c r="K242" s="106"/>
      <c r="L242" s="108">
        <v>6</v>
      </c>
      <c r="M242" s="108">
        <f>L242*VLOOKUP(I242,dagsoorttabel1,2,FALSE)</f>
        <v>4.8000000000000007</v>
      </c>
      <c r="N242" s="109">
        <f>prodnorm112</f>
        <v>0</v>
      </c>
      <c r="O242" s="106" t="s">
        <v>105</v>
      </c>
      <c r="P242" s="28">
        <f>uurtarief112</f>
        <v>0</v>
      </c>
      <c r="Q242" s="108" t="e">
        <f>IF(ISBLANK(N242),0,M242/ROUND(N242,4))</f>
        <v>#DIV/0!</v>
      </c>
      <c r="R242" s="28" t="e">
        <f>ROUND(P242,2)*Q242</f>
        <v>#DIV/0!</v>
      </c>
      <c r="S242" s="108" t="e">
        <f>Q242*dagenperjaar1</f>
        <v>#DIV/0!</v>
      </c>
      <c r="T242" s="29" t="e">
        <f>S242*ROUND(P242,2)</f>
        <v>#DIV/0!</v>
      </c>
    </row>
    <row r="243" spans="1:20" x14ac:dyDescent="0.2">
      <c r="A243" s="105" t="s">
        <v>548</v>
      </c>
      <c r="B243" s="106" t="s">
        <v>37</v>
      </c>
      <c r="C243" s="106" t="s">
        <v>462</v>
      </c>
      <c r="D243" s="106" t="s">
        <v>474</v>
      </c>
      <c r="E243" s="106" t="s">
        <v>37</v>
      </c>
      <c r="F243" s="107" t="s">
        <v>393</v>
      </c>
      <c r="G243" s="106" t="s">
        <v>325</v>
      </c>
      <c r="H243" s="106" t="s">
        <v>237</v>
      </c>
      <c r="I243" s="106" t="s">
        <v>10</v>
      </c>
      <c r="J243" s="106" t="s">
        <v>231</v>
      </c>
      <c r="K243" s="106"/>
      <c r="L243" s="108">
        <v>35</v>
      </c>
      <c r="M243" s="108">
        <f>L243*VLOOKUP(I243,dagsoorttabel1,2,FALSE)</f>
        <v>28</v>
      </c>
      <c r="N243" s="109">
        <f>prodnorm42</f>
        <v>0</v>
      </c>
      <c r="O243" s="106" t="s">
        <v>105</v>
      </c>
      <c r="P243" s="28">
        <f>uurtarief42</f>
        <v>0</v>
      </c>
      <c r="Q243" s="108" t="e">
        <f>IF(ISBLANK(N243),0,M243/ROUND(N243,4))</f>
        <v>#DIV/0!</v>
      </c>
      <c r="R243" s="28" t="e">
        <f>ROUND(P243,2)*Q243</f>
        <v>#DIV/0!</v>
      </c>
      <c r="S243" s="108" t="e">
        <f>Q243*dagenperjaar1</f>
        <v>#DIV/0!</v>
      </c>
      <c r="T243" s="29" t="e">
        <f>S243*ROUND(P243,2)</f>
        <v>#DIV/0!</v>
      </c>
    </row>
    <row r="244" spans="1:20" x14ac:dyDescent="0.2">
      <c r="A244" s="105" t="s">
        <v>548</v>
      </c>
      <c r="B244" s="106" t="s">
        <v>37</v>
      </c>
      <c r="C244" s="106" t="s">
        <v>462</v>
      </c>
      <c r="D244" s="106" t="s">
        <v>476</v>
      </c>
      <c r="E244" s="106" t="s">
        <v>37</v>
      </c>
      <c r="F244" s="107" t="s">
        <v>566</v>
      </c>
      <c r="G244" s="106" t="s">
        <v>325</v>
      </c>
      <c r="H244" s="106" t="s">
        <v>292</v>
      </c>
      <c r="I244" s="106" t="s">
        <v>10</v>
      </c>
      <c r="J244" s="106" t="s">
        <v>231</v>
      </c>
      <c r="K244" s="106"/>
      <c r="L244" s="108">
        <v>4.5</v>
      </c>
      <c r="M244" s="108">
        <f>L244*VLOOKUP(I244,dagsoorttabel1,2,FALSE)</f>
        <v>3.6</v>
      </c>
      <c r="N244" s="109">
        <f>prodnorm149</f>
        <v>0</v>
      </c>
      <c r="O244" s="106" t="s">
        <v>105</v>
      </c>
      <c r="P244" s="28">
        <f>uurtarief149</f>
        <v>0</v>
      </c>
      <c r="Q244" s="108" t="e">
        <f>IF(ISBLANK(N244),0,M244/ROUND(N244,4))</f>
        <v>#DIV/0!</v>
      </c>
      <c r="R244" s="28" t="e">
        <f>ROUND(P244,2)*Q244</f>
        <v>#DIV/0!</v>
      </c>
      <c r="S244" s="108" t="e">
        <f>Q244*dagenperjaar1</f>
        <v>#DIV/0!</v>
      </c>
      <c r="T244" s="29" t="e">
        <f>S244*ROUND(P244,2)</f>
        <v>#DIV/0!</v>
      </c>
    </row>
    <row r="245" spans="1:20" x14ac:dyDescent="0.2">
      <c r="A245" s="105" t="s">
        <v>548</v>
      </c>
      <c r="B245" s="106" t="s">
        <v>37</v>
      </c>
      <c r="C245" s="106" t="s">
        <v>462</v>
      </c>
      <c r="D245" s="106" t="s">
        <v>478</v>
      </c>
      <c r="E245" s="106" t="s">
        <v>37</v>
      </c>
      <c r="F245" s="107" t="s">
        <v>564</v>
      </c>
      <c r="G245" s="106" t="s">
        <v>325</v>
      </c>
      <c r="H245" s="106" t="s">
        <v>275</v>
      </c>
      <c r="I245" s="106" t="s">
        <v>10</v>
      </c>
      <c r="J245" s="106" t="s">
        <v>231</v>
      </c>
      <c r="K245" s="106"/>
      <c r="L245" s="108">
        <v>3</v>
      </c>
      <c r="M245" s="108">
        <f>L245*VLOOKUP(I245,dagsoorttabel1,2,FALSE)</f>
        <v>2.4000000000000004</v>
      </c>
      <c r="N245" s="109">
        <f>prodnorm117</f>
        <v>0</v>
      </c>
      <c r="O245" s="106" t="s">
        <v>105</v>
      </c>
      <c r="P245" s="28">
        <f>uurtarief117</f>
        <v>0</v>
      </c>
      <c r="Q245" s="108" t="e">
        <f>IF(ISBLANK(N245),0,M245/ROUND(N245,4))</f>
        <v>#DIV/0!</v>
      </c>
      <c r="R245" s="28" t="e">
        <f>ROUND(P245,2)*Q245</f>
        <v>#DIV/0!</v>
      </c>
      <c r="S245" s="108" t="e">
        <f>Q245*dagenperjaar1</f>
        <v>#DIV/0!</v>
      </c>
      <c r="T245" s="29" t="e">
        <f>S245*ROUND(P245,2)</f>
        <v>#DIV/0!</v>
      </c>
    </row>
    <row r="246" spans="1:20" x14ac:dyDescent="0.2">
      <c r="A246" s="105" t="s">
        <v>548</v>
      </c>
      <c r="B246" s="106" t="s">
        <v>37</v>
      </c>
      <c r="C246" s="106" t="s">
        <v>462</v>
      </c>
      <c r="D246" s="106" t="s">
        <v>480</v>
      </c>
      <c r="E246" s="106" t="s">
        <v>37</v>
      </c>
      <c r="F246" s="107" t="s">
        <v>562</v>
      </c>
      <c r="G246" s="106" t="s">
        <v>563</v>
      </c>
      <c r="H246" s="106" t="s">
        <v>267</v>
      </c>
      <c r="I246" s="106" t="s">
        <v>10</v>
      </c>
      <c r="J246" s="106" t="s">
        <v>231</v>
      </c>
      <c r="K246" s="106"/>
      <c r="L246" s="108">
        <v>6.5</v>
      </c>
      <c r="M246" s="108">
        <f>L246*VLOOKUP(I246,dagsoorttabel1,2,FALSE)</f>
        <v>5.2</v>
      </c>
      <c r="N246" s="109">
        <f>prodnorm100</f>
        <v>0</v>
      </c>
      <c r="O246" s="106" t="s">
        <v>105</v>
      </c>
      <c r="P246" s="28">
        <f>uurtarief100</f>
        <v>0</v>
      </c>
      <c r="Q246" s="108" t="e">
        <f>IF(ISBLANK(N246),0,M246/ROUND(N246,4))</f>
        <v>#DIV/0!</v>
      </c>
      <c r="R246" s="28" t="e">
        <f>ROUND(P246,2)*Q246</f>
        <v>#DIV/0!</v>
      </c>
      <c r="S246" s="108" t="e">
        <f>Q246*dagenperjaar1</f>
        <v>#DIV/0!</v>
      </c>
      <c r="T246" s="29" t="e">
        <f>S246*ROUND(P246,2)</f>
        <v>#DIV/0!</v>
      </c>
    </row>
    <row r="247" spans="1:20" x14ac:dyDescent="0.2">
      <c r="A247" s="105" t="s">
        <v>548</v>
      </c>
      <c r="B247" s="106" t="s">
        <v>37</v>
      </c>
      <c r="C247" s="106" t="s">
        <v>462</v>
      </c>
      <c r="D247" s="106" t="s">
        <v>481</v>
      </c>
      <c r="E247" s="106" t="s">
        <v>37</v>
      </c>
      <c r="F247" s="107" t="s">
        <v>564</v>
      </c>
      <c r="G247" s="106" t="s">
        <v>325</v>
      </c>
      <c r="H247" s="106" t="s">
        <v>275</v>
      </c>
      <c r="I247" s="106" t="s">
        <v>10</v>
      </c>
      <c r="J247" s="106" t="s">
        <v>231</v>
      </c>
      <c r="K247" s="106"/>
      <c r="L247" s="108">
        <v>3</v>
      </c>
      <c r="M247" s="108">
        <f>L247*VLOOKUP(I247,dagsoorttabel1,2,FALSE)</f>
        <v>2.4000000000000004</v>
      </c>
      <c r="N247" s="109">
        <f>prodnorm117</f>
        <v>0</v>
      </c>
      <c r="O247" s="106" t="s">
        <v>105</v>
      </c>
      <c r="P247" s="28">
        <f>uurtarief117</f>
        <v>0</v>
      </c>
      <c r="Q247" s="108" t="e">
        <f>IF(ISBLANK(N247),0,M247/ROUND(N247,4))</f>
        <v>#DIV/0!</v>
      </c>
      <c r="R247" s="28" t="e">
        <f>ROUND(P247,2)*Q247</f>
        <v>#DIV/0!</v>
      </c>
      <c r="S247" s="108" t="e">
        <f>Q247*dagenperjaar1</f>
        <v>#DIV/0!</v>
      </c>
      <c r="T247" s="29" t="e">
        <f>S247*ROUND(P247,2)</f>
        <v>#DIV/0!</v>
      </c>
    </row>
    <row r="248" spans="1:20" x14ac:dyDescent="0.2">
      <c r="A248" s="105" t="s">
        <v>548</v>
      </c>
      <c r="B248" s="106" t="s">
        <v>37</v>
      </c>
      <c r="C248" s="106" t="s">
        <v>462</v>
      </c>
      <c r="D248" s="106" t="s">
        <v>482</v>
      </c>
      <c r="E248" s="106" t="s">
        <v>37</v>
      </c>
      <c r="F248" s="107" t="s">
        <v>565</v>
      </c>
      <c r="G248" s="106" t="s">
        <v>563</v>
      </c>
      <c r="H248" s="106" t="s">
        <v>267</v>
      </c>
      <c r="I248" s="106" t="s">
        <v>10</v>
      </c>
      <c r="J248" s="106" t="s">
        <v>231</v>
      </c>
      <c r="K248" s="106"/>
      <c r="L248" s="108">
        <v>6.5</v>
      </c>
      <c r="M248" s="108">
        <f>L248*VLOOKUP(I248,dagsoorttabel1,2,FALSE)</f>
        <v>5.2</v>
      </c>
      <c r="N248" s="109">
        <f>prodnorm100</f>
        <v>0</v>
      </c>
      <c r="O248" s="106" t="s">
        <v>105</v>
      </c>
      <c r="P248" s="28">
        <f>uurtarief100</f>
        <v>0</v>
      </c>
      <c r="Q248" s="108" t="e">
        <f>IF(ISBLANK(N248),0,M248/ROUND(N248,4))</f>
        <v>#DIV/0!</v>
      </c>
      <c r="R248" s="28" t="e">
        <f>ROUND(P248,2)*Q248</f>
        <v>#DIV/0!</v>
      </c>
      <c r="S248" s="108" t="e">
        <f>Q248*dagenperjaar1</f>
        <v>#DIV/0!</v>
      </c>
      <c r="T248" s="29" t="e">
        <f>S248*ROUND(P248,2)</f>
        <v>#DIV/0!</v>
      </c>
    </row>
    <row r="249" spans="1:20" x14ac:dyDescent="0.2">
      <c r="A249" s="105" t="s">
        <v>548</v>
      </c>
      <c r="B249" s="106" t="s">
        <v>37</v>
      </c>
      <c r="C249" s="106" t="s">
        <v>462</v>
      </c>
      <c r="D249" s="106" t="s">
        <v>483</v>
      </c>
      <c r="E249" s="106" t="s">
        <v>37</v>
      </c>
      <c r="F249" s="107" t="s">
        <v>566</v>
      </c>
      <c r="G249" s="106" t="s">
        <v>325</v>
      </c>
      <c r="H249" s="106" t="s">
        <v>292</v>
      </c>
      <c r="I249" s="106" t="s">
        <v>10</v>
      </c>
      <c r="J249" s="106" t="s">
        <v>231</v>
      </c>
      <c r="K249" s="106"/>
      <c r="L249" s="108">
        <v>3</v>
      </c>
      <c r="M249" s="108">
        <f>L249*VLOOKUP(I249,dagsoorttabel1,2,FALSE)</f>
        <v>2.4000000000000004</v>
      </c>
      <c r="N249" s="109">
        <f>prodnorm149</f>
        <v>0</v>
      </c>
      <c r="O249" s="106" t="s">
        <v>105</v>
      </c>
      <c r="P249" s="28">
        <f>uurtarief149</f>
        <v>0</v>
      </c>
      <c r="Q249" s="108" t="e">
        <f>IF(ISBLANK(N249),0,M249/ROUND(N249,4))</f>
        <v>#DIV/0!</v>
      </c>
      <c r="R249" s="28" t="e">
        <f>ROUND(P249,2)*Q249</f>
        <v>#DIV/0!</v>
      </c>
      <c r="S249" s="108" t="e">
        <f>Q249*dagenperjaar1</f>
        <v>#DIV/0!</v>
      </c>
      <c r="T249" s="29" t="e">
        <f>S249*ROUND(P249,2)</f>
        <v>#DIV/0!</v>
      </c>
    </row>
    <row r="250" spans="1:20" x14ac:dyDescent="0.2">
      <c r="A250" s="110" t="s">
        <v>548</v>
      </c>
      <c r="B250" s="111" t="s">
        <v>37</v>
      </c>
      <c r="C250" s="111" t="s">
        <v>462</v>
      </c>
      <c r="D250" s="111" t="s">
        <v>486</v>
      </c>
      <c r="E250" s="111" t="s">
        <v>37</v>
      </c>
      <c r="F250" s="112" t="s">
        <v>335</v>
      </c>
      <c r="G250" s="111" t="s">
        <v>325</v>
      </c>
      <c r="H250" s="111" t="s">
        <v>275</v>
      </c>
      <c r="I250" s="111" t="s">
        <v>10</v>
      </c>
      <c r="J250" s="111" t="s">
        <v>231</v>
      </c>
      <c r="K250" s="111"/>
      <c r="L250" s="113">
        <v>50</v>
      </c>
      <c r="M250" s="113">
        <f>L250*VLOOKUP(I250,dagsoorttabel1,2,FALSE)</f>
        <v>40</v>
      </c>
      <c r="N250" s="114">
        <f>prodnorm117</f>
        <v>0</v>
      </c>
      <c r="O250" s="111" t="s">
        <v>105</v>
      </c>
      <c r="P250" s="38">
        <f>uurtarief117</f>
        <v>0</v>
      </c>
      <c r="Q250" s="113" t="e">
        <f>IF(ISBLANK(N250),0,M250/ROUND(N250,4))</f>
        <v>#DIV/0!</v>
      </c>
      <c r="R250" s="38" t="e">
        <f>ROUND(P250,2)*Q250</f>
        <v>#DIV/0!</v>
      </c>
      <c r="S250" s="113" t="e">
        <f>Q250*dagenperjaar1</f>
        <v>#DIV/0!</v>
      </c>
      <c r="T250" s="39" t="e">
        <f>S250*ROUND(P250,2)</f>
        <v>#DIV/0!</v>
      </c>
    </row>
    <row r="251" spans="1:20" x14ac:dyDescent="0.2">
      <c r="A251" s="115" t="s">
        <v>546</v>
      </c>
      <c r="B251" s="83"/>
      <c r="C251" s="83"/>
      <c r="D251" s="83"/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5" t="e">
        <f>IF(_xlfn.SINGLE(object2_urenjaar1)&gt;0,_xlfn.SINGLE(object2_prijsjaar1)/_xlfn.SINGLE(object2_urenjaar1),0)</f>
        <v>#DIV/0!</v>
      </c>
      <c r="Q251" s="84" t="e">
        <f>SUM(Q201:Q250)</f>
        <v>#DIV/0!</v>
      </c>
      <c r="R251" s="85" t="e">
        <f>SUM(R201:R250)</f>
        <v>#DIV/0!</v>
      </c>
      <c r="S251" s="84" t="e">
        <f>SUM(S201:S250)</f>
        <v>#DIV/0!</v>
      </c>
      <c r="T251" s="86" t="e">
        <f>SUM(T201:T250)</f>
        <v>#DIV/0!</v>
      </c>
    </row>
    <row r="252" spans="1:20" x14ac:dyDescent="0.2">
      <c r="A252" s="91" t="s">
        <v>567</v>
      </c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81"/>
    </row>
    <row r="253" spans="1:20" x14ac:dyDescent="0.2">
      <c r="A253" s="98" t="s">
        <v>568</v>
      </c>
      <c r="B253" s="99" t="s">
        <v>37</v>
      </c>
      <c r="C253" s="99" t="s">
        <v>322</v>
      </c>
      <c r="D253" s="99" t="s">
        <v>569</v>
      </c>
      <c r="E253" s="99" t="s">
        <v>37</v>
      </c>
      <c r="F253" s="100" t="s">
        <v>570</v>
      </c>
      <c r="G253" s="99" t="s">
        <v>331</v>
      </c>
      <c r="H253" s="99" t="s">
        <v>251</v>
      </c>
      <c r="I253" s="99" t="s">
        <v>15</v>
      </c>
      <c r="J253" s="99" t="s">
        <v>231</v>
      </c>
      <c r="K253" s="99"/>
      <c r="L253" s="101">
        <v>7.2</v>
      </c>
      <c r="M253" s="101">
        <f>L253*VLOOKUP(I253,dagsoorttabel1,2,FALSE)</f>
        <v>0.33882352941176469</v>
      </c>
      <c r="N253" s="102">
        <f>prodnorm59</f>
        <v>0</v>
      </c>
      <c r="O253" s="99" t="s">
        <v>105</v>
      </c>
      <c r="P253" s="103">
        <f>uurtarief59</f>
        <v>0</v>
      </c>
      <c r="Q253" s="101" t="e">
        <f>IF(ISBLANK(N253),0,M253/ROUND(N253,4))</f>
        <v>#DIV/0!</v>
      </c>
      <c r="R253" s="103" t="e">
        <f>ROUND(P253,2)*Q253</f>
        <v>#DIV/0!</v>
      </c>
      <c r="S253" s="101" t="e">
        <f>Q253*dagenperjaar1</f>
        <v>#DIV/0!</v>
      </c>
      <c r="T253" s="104" t="e">
        <f>S253*ROUND(P253,2)</f>
        <v>#DIV/0!</v>
      </c>
    </row>
    <row r="254" spans="1:20" x14ac:dyDescent="0.2">
      <c r="A254" s="105" t="s">
        <v>568</v>
      </c>
      <c r="B254" s="106" t="s">
        <v>37</v>
      </c>
      <c r="C254" s="106" t="s">
        <v>322</v>
      </c>
      <c r="D254" s="106" t="s">
        <v>571</v>
      </c>
      <c r="E254" s="106" t="s">
        <v>37</v>
      </c>
      <c r="F254" s="107" t="s">
        <v>572</v>
      </c>
      <c r="G254" s="106" t="s">
        <v>331</v>
      </c>
      <c r="H254" s="106" t="s">
        <v>245</v>
      </c>
      <c r="I254" s="106" t="s">
        <v>9</v>
      </c>
      <c r="J254" s="106" t="s">
        <v>231</v>
      </c>
      <c r="K254" s="106"/>
      <c r="L254" s="108">
        <v>26.4</v>
      </c>
      <c r="M254" s="108">
        <f>L254*VLOOKUP(I254,dagsoorttabel1,2,FALSE)</f>
        <v>26.4</v>
      </c>
      <c r="N254" s="109">
        <f>prodnorm53</f>
        <v>0</v>
      </c>
      <c r="O254" s="106" t="s">
        <v>105</v>
      </c>
      <c r="P254" s="28">
        <f>uurtarief53</f>
        <v>0</v>
      </c>
      <c r="Q254" s="108" t="e">
        <f>IF(ISBLANK(N254),0,M254/ROUND(N254,4))</f>
        <v>#DIV/0!</v>
      </c>
      <c r="R254" s="28" t="e">
        <f>ROUND(P254,2)*Q254</f>
        <v>#DIV/0!</v>
      </c>
      <c r="S254" s="108" t="e">
        <f>Q254*dagenperjaar1</f>
        <v>#DIV/0!</v>
      </c>
      <c r="T254" s="29" t="e">
        <f>S254*ROUND(P254,2)</f>
        <v>#DIV/0!</v>
      </c>
    </row>
    <row r="255" spans="1:20" x14ac:dyDescent="0.2">
      <c r="A255" s="105" t="s">
        <v>568</v>
      </c>
      <c r="B255" s="106" t="s">
        <v>37</v>
      </c>
      <c r="C255" s="106" t="s">
        <v>322</v>
      </c>
      <c r="D255" s="106" t="s">
        <v>573</v>
      </c>
      <c r="E255" s="106" t="s">
        <v>37</v>
      </c>
      <c r="F255" s="107" t="s">
        <v>574</v>
      </c>
      <c r="G255" s="106" t="s">
        <v>331</v>
      </c>
      <c r="H255" s="106" t="s">
        <v>575</v>
      </c>
      <c r="I255" s="106" t="s">
        <v>9</v>
      </c>
      <c r="J255" s="106" t="s">
        <v>299</v>
      </c>
      <c r="K255" s="106"/>
      <c r="L255" s="108">
        <v>0</v>
      </c>
      <c r="M255" s="108">
        <f>L255*VLOOKUP(I255,dagsoorttabel1,2,FALSE)</f>
        <v>0</v>
      </c>
      <c r="N255" s="109"/>
      <c r="O255" s="106" t="s">
        <v>105</v>
      </c>
      <c r="P255" s="28"/>
      <c r="Q255" s="108">
        <f>IF(ISBLANK(N255),0,M255/ROUND(N255,4))</f>
        <v>0</v>
      </c>
      <c r="R255" s="28">
        <f>ROUND(P255,2)*Q255</f>
        <v>0</v>
      </c>
      <c r="S255" s="108">
        <f>Q255*dagenperjaar1</f>
        <v>0</v>
      </c>
      <c r="T255" s="29">
        <f>S255*ROUND(P255,2)</f>
        <v>0</v>
      </c>
    </row>
    <row r="256" spans="1:20" x14ac:dyDescent="0.2">
      <c r="A256" s="105" t="s">
        <v>568</v>
      </c>
      <c r="B256" s="106" t="s">
        <v>37</v>
      </c>
      <c r="C256" s="106" t="s">
        <v>322</v>
      </c>
      <c r="D256" s="106" t="s">
        <v>576</v>
      </c>
      <c r="E256" s="106" t="s">
        <v>37</v>
      </c>
      <c r="F256" s="107" t="s">
        <v>577</v>
      </c>
      <c r="G256" s="106" t="s">
        <v>331</v>
      </c>
      <c r="H256" s="106" t="s">
        <v>235</v>
      </c>
      <c r="I256" s="106" t="s">
        <v>9</v>
      </c>
      <c r="J256" s="106" t="s">
        <v>231</v>
      </c>
      <c r="K256" s="106"/>
      <c r="L256" s="108">
        <v>10.8</v>
      </c>
      <c r="M256" s="108">
        <f>L256*VLOOKUP(I256,dagsoorttabel1,2,FALSE)</f>
        <v>10.8</v>
      </c>
      <c r="N256" s="109">
        <f>prodnorm39</f>
        <v>0</v>
      </c>
      <c r="O256" s="106" t="s">
        <v>105</v>
      </c>
      <c r="P256" s="28">
        <f>uurtarief39</f>
        <v>0</v>
      </c>
      <c r="Q256" s="108" t="e">
        <f>IF(ISBLANK(N256),0,M256/ROUND(N256,4))</f>
        <v>#DIV/0!</v>
      </c>
      <c r="R256" s="28" t="e">
        <f>ROUND(P256,2)*Q256</f>
        <v>#DIV/0!</v>
      </c>
      <c r="S256" s="108" t="e">
        <f>Q256*dagenperjaar1</f>
        <v>#DIV/0!</v>
      </c>
      <c r="T256" s="29" t="e">
        <f>S256*ROUND(P256,2)</f>
        <v>#DIV/0!</v>
      </c>
    </row>
    <row r="257" spans="1:20" x14ac:dyDescent="0.2">
      <c r="A257" s="105" t="s">
        <v>568</v>
      </c>
      <c r="B257" s="106" t="s">
        <v>37</v>
      </c>
      <c r="C257" s="106" t="s">
        <v>322</v>
      </c>
      <c r="D257" s="106" t="s">
        <v>578</v>
      </c>
      <c r="E257" s="106" t="s">
        <v>37</v>
      </c>
      <c r="F257" s="107" t="s">
        <v>579</v>
      </c>
      <c r="G257" s="106" t="s">
        <v>369</v>
      </c>
      <c r="H257" s="106" t="s">
        <v>257</v>
      </c>
      <c r="I257" s="106" t="s">
        <v>9</v>
      </c>
      <c r="J257" s="106" t="s">
        <v>231</v>
      </c>
      <c r="K257" s="106"/>
      <c r="L257" s="108">
        <v>40</v>
      </c>
      <c r="M257" s="108">
        <f>L257*VLOOKUP(I257,dagsoorttabel1,2,FALSE)</f>
        <v>40</v>
      </c>
      <c r="N257" s="109">
        <f>prodnorm80</f>
        <v>0</v>
      </c>
      <c r="O257" s="106" t="s">
        <v>105</v>
      </c>
      <c r="P257" s="28">
        <f>uurtarief80</f>
        <v>0</v>
      </c>
      <c r="Q257" s="108" t="e">
        <f>IF(ISBLANK(N257),0,M257/ROUND(N257,4))</f>
        <v>#DIV/0!</v>
      </c>
      <c r="R257" s="28" t="e">
        <f>ROUND(P257,2)*Q257</f>
        <v>#DIV/0!</v>
      </c>
      <c r="S257" s="108" t="e">
        <f>Q257*dagenperjaar1</f>
        <v>#DIV/0!</v>
      </c>
      <c r="T257" s="29" t="e">
        <f>S257*ROUND(P257,2)</f>
        <v>#DIV/0!</v>
      </c>
    </row>
    <row r="258" spans="1:20" x14ac:dyDescent="0.2">
      <c r="A258" s="105" t="s">
        <v>568</v>
      </c>
      <c r="B258" s="106" t="s">
        <v>37</v>
      </c>
      <c r="C258" s="106" t="s">
        <v>322</v>
      </c>
      <c r="D258" s="106" t="s">
        <v>580</v>
      </c>
      <c r="E258" s="106" t="s">
        <v>37</v>
      </c>
      <c r="F258" s="107" t="s">
        <v>371</v>
      </c>
      <c r="G258" s="106" t="s">
        <v>369</v>
      </c>
      <c r="H258" s="106" t="s">
        <v>253</v>
      </c>
      <c r="I258" s="106" t="s">
        <v>9</v>
      </c>
      <c r="J258" s="106" t="s">
        <v>231</v>
      </c>
      <c r="K258" s="106"/>
      <c r="L258" s="108">
        <v>10.3</v>
      </c>
      <c r="M258" s="108">
        <f>L258*VLOOKUP(I258,dagsoorttabel1,2,FALSE)</f>
        <v>10.3</v>
      </c>
      <c r="N258" s="109">
        <f>prodnorm68</f>
        <v>0</v>
      </c>
      <c r="O258" s="106" t="s">
        <v>105</v>
      </c>
      <c r="P258" s="28">
        <f>uurtarief68</f>
        <v>0</v>
      </c>
      <c r="Q258" s="108" t="e">
        <f>IF(ISBLANK(N258),0,M258/ROUND(N258,4))</f>
        <v>#DIV/0!</v>
      </c>
      <c r="R258" s="28" t="e">
        <f>ROUND(P258,2)*Q258</f>
        <v>#DIV/0!</v>
      </c>
      <c r="S258" s="108" t="e">
        <f>Q258*dagenperjaar1</f>
        <v>#DIV/0!</v>
      </c>
      <c r="T258" s="29" t="e">
        <f>S258*ROUND(P258,2)</f>
        <v>#DIV/0!</v>
      </c>
    </row>
    <row r="259" spans="1:20" x14ac:dyDescent="0.2">
      <c r="A259" s="105" t="s">
        <v>568</v>
      </c>
      <c r="B259" s="106" t="s">
        <v>37</v>
      </c>
      <c r="C259" s="106" t="s">
        <v>322</v>
      </c>
      <c r="D259" s="106" t="s">
        <v>581</v>
      </c>
      <c r="E259" s="106" t="s">
        <v>37</v>
      </c>
      <c r="F259" s="107" t="s">
        <v>582</v>
      </c>
      <c r="G259" s="106" t="s">
        <v>369</v>
      </c>
      <c r="H259" s="106" t="s">
        <v>267</v>
      </c>
      <c r="I259" s="106" t="s">
        <v>9</v>
      </c>
      <c r="J259" s="106" t="s">
        <v>231</v>
      </c>
      <c r="K259" s="106"/>
      <c r="L259" s="108">
        <v>3</v>
      </c>
      <c r="M259" s="108">
        <f>L259*VLOOKUP(I259,dagsoorttabel1,2,FALSE)</f>
        <v>3</v>
      </c>
      <c r="N259" s="109">
        <f>prodnorm101</f>
        <v>0</v>
      </c>
      <c r="O259" s="106" t="s">
        <v>105</v>
      </c>
      <c r="P259" s="28">
        <f>uurtarief101</f>
        <v>0</v>
      </c>
      <c r="Q259" s="108" t="e">
        <f>IF(ISBLANK(N259),0,M259/ROUND(N259,4))</f>
        <v>#DIV/0!</v>
      </c>
      <c r="R259" s="28" t="e">
        <f>ROUND(P259,2)*Q259</f>
        <v>#DIV/0!</v>
      </c>
      <c r="S259" s="108" t="e">
        <f>Q259*dagenperjaar1</f>
        <v>#DIV/0!</v>
      </c>
      <c r="T259" s="29" t="e">
        <f>S259*ROUND(P259,2)</f>
        <v>#DIV/0!</v>
      </c>
    </row>
    <row r="260" spans="1:20" x14ac:dyDescent="0.2">
      <c r="A260" s="105" t="s">
        <v>568</v>
      </c>
      <c r="B260" s="106" t="s">
        <v>37</v>
      </c>
      <c r="C260" s="106" t="s">
        <v>322</v>
      </c>
      <c r="D260" s="106" t="s">
        <v>583</v>
      </c>
      <c r="E260" s="106" t="s">
        <v>37</v>
      </c>
      <c r="F260" s="107" t="s">
        <v>582</v>
      </c>
      <c r="G260" s="106" t="s">
        <v>369</v>
      </c>
      <c r="H260" s="106" t="s">
        <v>267</v>
      </c>
      <c r="I260" s="106" t="s">
        <v>9</v>
      </c>
      <c r="J260" s="106" t="s">
        <v>231</v>
      </c>
      <c r="K260" s="106"/>
      <c r="L260" s="108">
        <v>6.4</v>
      </c>
      <c r="M260" s="108">
        <f>L260*VLOOKUP(I260,dagsoorttabel1,2,FALSE)</f>
        <v>6.4</v>
      </c>
      <c r="N260" s="109">
        <f>prodnorm101</f>
        <v>0</v>
      </c>
      <c r="O260" s="106" t="s">
        <v>105</v>
      </c>
      <c r="P260" s="28">
        <f>uurtarief101</f>
        <v>0</v>
      </c>
      <c r="Q260" s="108" t="e">
        <f>IF(ISBLANK(N260),0,M260/ROUND(N260,4))</f>
        <v>#DIV/0!</v>
      </c>
      <c r="R260" s="28" t="e">
        <f>ROUND(P260,2)*Q260</f>
        <v>#DIV/0!</v>
      </c>
      <c r="S260" s="108" t="e">
        <f>Q260*dagenperjaar1</f>
        <v>#DIV/0!</v>
      </c>
      <c r="T260" s="29" t="e">
        <f>S260*ROUND(P260,2)</f>
        <v>#DIV/0!</v>
      </c>
    </row>
    <row r="261" spans="1:20" x14ac:dyDescent="0.2">
      <c r="A261" s="105" t="s">
        <v>568</v>
      </c>
      <c r="B261" s="106" t="s">
        <v>37</v>
      </c>
      <c r="C261" s="106" t="s">
        <v>322</v>
      </c>
      <c r="D261" s="106" t="s">
        <v>584</v>
      </c>
      <c r="E261" s="106" t="s">
        <v>37</v>
      </c>
      <c r="F261" s="107" t="s">
        <v>366</v>
      </c>
      <c r="G261" s="106" t="s">
        <v>369</v>
      </c>
      <c r="H261" s="106" t="s">
        <v>267</v>
      </c>
      <c r="I261" s="106" t="s">
        <v>9</v>
      </c>
      <c r="J261" s="106" t="s">
        <v>231</v>
      </c>
      <c r="K261" s="106"/>
      <c r="L261" s="108">
        <v>5.3</v>
      </c>
      <c r="M261" s="108">
        <f>L261*VLOOKUP(I261,dagsoorttabel1,2,FALSE)</f>
        <v>5.3</v>
      </c>
      <c r="N261" s="109">
        <f>prodnorm101</f>
        <v>0</v>
      </c>
      <c r="O261" s="106" t="s">
        <v>105</v>
      </c>
      <c r="P261" s="28">
        <f>uurtarief101</f>
        <v>0</v>
      </c>
      <c r="Q261" s="108" t="e">
        <f>IF(ISBLANK(N261),0,M261/ROUND(N261,4))</f>
        <v>#DIV/0!</v>
      </c>
      <c r="R261" s="28" t="e">
        <f>ROUND(P261,2)*Q261</f>
        <v>#DIV/0!</v>
      </c>
      <c r="S261" s="108" t="e">
        <f>Q261*dagenperjaar1</f>
        <v>#DIV/0!</v>
      </c>
      <c r="T261" s="29" t="e">
        <f>S261*ROUND(P261,2)</f>
        <v>#DIV/0!</v>
      </c>
    </row>
    <row r="262" spans="1:20" x14ac:dyDescent="0.2">
      <c r="A262" s="105" t="s">
        <v>568</v>
      </c>
      <c r="B262" s="106" t="s">
        <v>37</v>
      </c>
      <c r="C262" s="106" t="s">
        <v>322</v>
      </c>
      <c r="D262" s="106" t="s">
        <v>585</v>
      </c>
      <c r="E262" s="106" t="s">
        <v>37</v>
      </c>
      <c r="F262" s="107" t="s">
        <v>586</v>
      </c>
      <c r="G262" s="106" t="s">
        <v>369</v>
      </c>
      <c r="H262" s="106" t="s">
        <v>267</v>
      </c>
      <c r="I262" s="106" t="s">
        <v>9</v>
      </c>
      <c r="J262" s="106" t="s">
        <v>231</v>
      </c>
      <c r="K262" s="106"/>
      <c r="L262" s="108">
        <v>13.4</v>
      </c>
      <c r="M262" s="108">
        <f>L262*VLOOKUP(I262,dagsoorttabel1,2,FALSE)</f>
        <v>13.4</v>
      </c>
      <c r="N262" s="109">
        <f>prodnorm101</f>
        <v>0</v>
      </c>
      <c r="O262" s="106" t="s">
        <v>105</v>
      </c>
      <c r="P262" s="28">
        <f>uurtarief101</f>
        <v>0</v>
      </c>
      <c r="Q262" s="108" t="e">
        <f>IF(ISBLANK(N262),0,M262/ROUND(N262,4))</f>
        <v>#DIV/0!</v>
      </c>
      <c r="R262" s="28" t="e">
        <f>ROUND(P262,2)*Q262</f>
        <v>#DIV/0!</v>
      </c>
      <c r="S262" s="108" t="e">
        <f>Q262*dagenperjaar1</f>
        <v>#DIV/0!</v>
      </c>
      <c r="T262" s="29" t="e">
        <f>S262*ROUND(P262,2)</f>
        <v>#DIV/0!</v>
      </c>
    </row>
    <row r="263" spans="1:20" x14ac:dyDescent="0.2">
      <c r="A263" s="105" t="s">
        <v>568</v>
      </c>
      <c r="B263" s="106" t="s">
        <v>37</v>
      </c>
      <c r="C263" s="106" t="s">
        <v>322</v>
      </c>
      <c r="D263" s="106" t="s">
        <v>587</v>
      </c>
      <c r="E263" s="106" t="s">
        <v>37</v>
      </c>
      <c r="F263" s="107" t="s">
        <v>588</v>
      </c>
      <c r="G263" s="106" t="s">
        <v>369</v>
      </c>
      <c r="H263" s="106" t="s">
        <v>265</v>
      </c>
      <c r="I263" s="106" t="s">
        <v>9</v>
      </c>
      <c r="J263" s="106" t="s">
        <v>231</v>
      </c>
      <c r="K263" s="106"/>
      <c r="L263" s="108">
        <v>41.6</v>
      </c>
      <c r="M263" s="108">
        <f>L263*VLOOKUP(I263,dagsoorttabel1,2,FALSE)</f>
        <v>41.6</v>
      </c>
      <c r="N263" s="109">
        <f>prodnorm92</f>
        <v>0</v>
      </c>
      <c r="O263" s="106" t="s">
        <v>105</v>
      </c>
      <c r="P263" s="28">
        <f>uurtarief92</f>
        <v>0</v>
      </c>
      <c r="Q263" s="108" t="e">
        <f>IF(ISBLANK(N263),0,M263/ROUND(N263,4))</f>
        <v>#DIV/0!</v>
      </c>
      <c r="R263" s="28" t="e">
        <f>ROUND(P263,2)*Q263</f>
        <v>#DIV/0!</v>
      </c>
      <c r="S263" s="108" t="e">
        <f>Q263*dagenperjaar1</f>
        <v>#DIV/0!</v>
      </c>
      <c r="T263" s="29" t="e">
        <f>S263*ROUND(P263,2)</f>
        <v>#DIV/0!</v>
      </c>
    </row>
    <row r="264" spans="1:20" x14ac:dyDescent="0.2">
      <c r="A264" s="105" t="s">
        <v>568</v>
      </c>
      <c r="B264" s="106" t="s">
        <v>37</v>
      </c>
      <c r="C264" s="106" t="s">
        <v>322</v>
      </c>
      <c r="D264" s="106" t="s">
        <v>589</v>
      </c>
      <c r="E264" s="106" t="s">
        <v>37</v>
      </c>
      <c r="F264" s="107" t="s">
        <v>590</v>
      </c>
      <c r="G264" s="106" t="s">
        <v>369</v>
      </c>
      <c r="H264" s="106" t="s">
        <v>265</v>
      </c>
      <c r="I264" s="106" t="s">
        <v>9</v>
      </c>
      <c r="J264" s="106" t="s">
        <v>231</v>
      </c>
      <c r="K264" s="106"/>
      <c r="L264" s="108">
        <v>9.9</v>
      </c>
      <c r="M264" s="108">
        <f>L264*VLOOKUP(I264,dagsoorttabel1,2,FALSE)</f>
        <v>9.9</v>
      </c>
      <c r="N264" s="109">
        <f>prodnorm92</f>
        <v>0</v>
      </c>
      <c r="O264" s="106" t="s">
        <v>105</v>
      </c>
      <c r="P264" s="28">
        <f>uurtarief92</f>
        <v>0</v>
      </c>
      <c r="Q264" s="108" t="e">
        <f>IF(ISBLANK(N264),0,M264/ROUND(N264,4))</f>
        <v>#DIV/0!</v>
      </c>
      <c r="R264" s="28" t="e">
        <f>ROUND(P264,2)*Q264</f>
        <v>#DIV/0!</v>
      </c>
      <c r="S264" s="108" t="e">
        <f>Q264*dagenperjaar1</f>
        <v>#DIV/0!</v>
      </c>
      <c r="T264" s="29" t="e">
        <f>S264*ROUND(P264,2)</f>
        <v>#DIV/0!</v>
      </c>
    </row>
    <row r="265" spans="1:20" x14ac:dyDescent="0.2">
      <c r="A265" s="105" t="s">
        <v>568</v>
      </c>
      <c r="B265" s="106" t="s">
        <v>37</v>
      </c>
      <c r="C265" s="106" t="s">
        <v>322</v>
      </c>
      <c r="D265" s="106" t="s">
        <v>591</v>
      </c>
      <c r="E265" s="106" t="s">
        <v>37</v>
      </c>
      <c r="F265" s="107" t="s">
        <v>592</v>
      </c>
      <c r="G265" s="106" t="s">
        <v>593</v>
      </c>
      <c r="H265" s="106" t="s">
        <v>281</v>
      </c>
      <c r="I265" s="106" t="s">
        <v>9</v>
      </c>
      <c r="J265" s="106" t="s">
        <v>231</v>
      </c>
      <c r="K265" s="106"/>
      <c r="L265" s="108">
        <v>5.5</v>
      </c>
      <c r="M265" s="108">
        <f>L265*VLOOKUP(I265,dagsoorttabel1,2,FALSE)</f>
        <v>5.5</v>
      </c>
      <c r="N265" s="109">
        <f>prodnorm129</f>
        <v>0</v>
      </c>
      <c r="O265" s="106" t="s">
        <v>105</v>
      </c>
      <c r="P265" s="28">
        <f>uurtarief129</f>
        <v>0</v>
      </c>
      <c r="Q265" s="108" t="e">
        <f>IF(ISBLANK(N265),0,M265/ROUND(N265,4))</f>
        <v>#DIV/0!</v>
      </c>
      <c r="R265" s="28" t="e">
        <f>ROUND(P265,2)*Q265</f>
        <v>#DIV/0!</v>
      </c>
      <c r="S265" s="108" t="e">
        <f>Q265*dagenperjaar1</f>
        <v>#DIV/0!</v>
      </c>
      <c r="T265" s="29" t="e">
        <f>S265*ROUND(P265,2)</f>
        <v>#DIV/0!</v>
      </c>
    </row>
    <row r="266" spans="1:20" x14ac:dyDescent="0.2">
      <c r="A266" s="105" t="s">
        <v>568</v>
      </c>
      <c r="B266" s="106" t="s">
        <v>37</v>
      </c>
      <c r="C266" s="106" t="s">
        <v>322</v>
      </c>
      <c r="D266" s="106" t="s">
        <v>594</v>
      </c>
      <c r="E266" s="106" t="s">
        <v>37</v>
      </c>
      <c r="F266" s="107" t="s">
        <v>454</v>
      </c>
      <c r="G266" s="106" t="s">
        <v>369</v>
      </c>
      <c r="H266" s="106" t="s">
        <v>273</v>
      </c>
      <c r="I266" s="106" t="s">
        <v>9</v>
      </c>
      <c r="J266" s="106" t="s">
        <v>231</v>
      </c>
      <c r="K266" s="106"/>
      <c r="L266" s="108">
        <v>46.6</v>
      </c>
      <c r="M266" s="108">
        <f>L266*VLOOKUP(I266,dagsoorttabel1,2,FALSE)</f>
        <v>46.6</v>
      </c>
      <c r="N266" s="109">
        <f>prodnorm113</f>
        <v>0</v>
      </c>
      <c r="O266" s="106" t="s">
        <v>105</v>
      </c>
      <c r="P266" s="28">
        <f>uurtarief113</f>
        <v>0</v>
      </c>
      <c r="Q266" s="108" t="e">
        <f>IF(ISBLANK(N266),0,M266/ROUND(N266,4))</f>
        <v>#DIV/0!</v>
      </c>
      <c r="R266" s="28" t="e">
        <f>ROUND(P266,2)*Q266</f>
        <v>#DIV/0!</v>
      </c>
      <c r="S266" s="108" t="e">
        <f>Q266*dagenperjaar1</f>
        <v>#DIV/0!</v>
      </c>
      <c r="T266" s="29" t="e">
        <f>S266*ROUND(P266,2)</f>
        <v>#DIV/0!</v>
      </c>
    </row>
    <row r="267" spans="1:20" x14ac:dyDescent="0.2">
      <c r="A267" s="105" t="s">
        <v>568</v>
      </c>
      <c r="B267" s="106" t="s">
        <v>37</v>
      </c>
      <c r="C267" s="106" t="s">
        <v>322</v>
      </c>
      <c r="D267" s="106" t="s">
        <v>595</v>
      </c>
      <c r="E267" s="106" t="s">
        <v>37</v>
      </c>
      <c r="F267" s="107" t="s">
        <v>596</v>
      </c>
      <c r="G267" s="106" t="s">
        <v>597</v>
      </c>
      <c r="H267" s="106" t="s">
        <v>290</v>
      </c>
      <c r="I267" s="106" t="s">
        <v>9</v>
      </c>
      <c r="J267" s="106" t="s">
        <v>231</v>
      </c>
      <c r="K267" s="106"/>
      <c r="L267" s="108">
        <v>12.5</v>
      </c>
      <c r="M267" s="108">
        <f>L267*VLOOKUP(I267,dagsoorttabel1,2,FALSE)</f>
        <v>12.5</v>
      </c>
      <c r="N267" s="109">
        <f>prodnorm146</f>
        <v>0</v>
      </c>
      <c r="O267" s="106" t="s">
        <v>105</v>
      </c>
      <c r="P267" s="28">
        <f>uurtarief146</f>
        <v>0</v>
      </c>
      <c r="Q267" s="108" t="e">
        <f>IF(ISBLANK(N267),0,M267/ROUND(N267,4))</f>
        <v>#DIV/0!</v>
      </c>
      <c r="R267" s="28" t="e">
        <f>ROUND(P267,2)*Q267</f>
        <v>#DIV/0!</v>
      </c>
      <c r="S267" s="108" t="e">
        <f>Q267*dagenperjaar1</f>
        <v>#DIV/0!</v>
      </c>
      <c r="T267" s="29" t="e">
        <f>S267*ROUND(P267,2)</f>
        <v>#DIV/0!</v>
      </c>
    </row>
    <row r="268" spans="1:20" x14ac:dyDescent="0.2">
      <c r="A268" s="105" t="s">
        <v>568</v>
      </c>
      <c r="B268" s="106" t="s">
        <v>37</v>
      </c>
      <c r="C268" s="106" t="s">
        <v>322</v>
      </c>
      <c r="D268" s="106" t="s">
        <v>598</v>
      </c>
      <c r="E268" s="106" t="s">
        <v>37</v>
      </c>
      <c r="F268" s="107" t="s">
        <v>335</v>
      </c>
      <c r="G268" s="106" t="s">
        <v>331</v>
      </c>
      <c r="H268" s="106" t="s">
        <v>273</v>
      </c>
      <c r="I268" s="106" t="s">
        <v>9</v>
      </c>
      <c r="J268" s="106" t="s">
        <v>231</v>
      </c>
      <c r="K268" s="106"/>
      <c r="L268" s="108">
        <v>11.9</v>
      </c>
      <c r="M268" s="108">
        <f>L268*VLOOKUP(I268,dagsoorttabel1,2,FALSE)</f>
        <v>11.9</v>
      </c>
      <c r="N268" s="109">
        <f>prodnorm113</f>
        <v>0</v>
      </c>
      <c r="O268" s="106" t="s">
        <v>105</v>
      </c>
      <c r="P268" s="28">
        <f>uurtarief113</f>
        <v>0</v>
      </c>
      <c r="Q268" s="108" t="e">
        <f>IF(ISBLANK(N268),0,M268/ROUND(N268,4))</f>
        <v>#DIV/0!</v>
      </c>
      <c r="R268" s="28" t="e">
        <f>ROUND(P268,2)*Q268</f>
        <v>#DIV/0!</v>
      </c>
      <c r="S268" s="108" t="e">
        <f>Q268*dagenperjaar1</f>
        <v>#DIV/0!</v>
      </c>
      <c r="T268" s="29" t="e">
        <f>S268*ROUND(P268,2)</f>
        <v>#DIV/0!</v>
      </c>
    </row>
    <row r="269" spans="1:20" x14ac:dyDescent="0.2">
      <c r="A269" s="105" t="s">
        <v>568</v>
      </c>
      <c r="B269" s="106" t="s">
        <v>37</v>
      </c>
      <c r="C269" s="106" t="s">
        <v>322</v>
      </c>
      <c r="D269" s="106" t="s">
        <v>599</v>
      </c>
      <c r="E269" s="106" t="s">
        <v>37</v>
      </c>
      <c r="F269" s="107" t="s">
        <v>335</v>
      </c>
      <c r="G269" s="106" t="s">
        <v>369</v>
      </c>
      <c r="H269" s="106" t="s">
        <v>273</v>
      </c>
      <c r="I269" s="106" t="s">
        <v>9</v>
      </c>
      <c r="J269" s="106" t="s">
        <v>231</v>
      </c>
      <c r="K269" s="106"/>
      <c r="L269" s="108">
        <v>16</v>
      </c>
      <c r="M269" s="108">
        <f>L269*VLOOKUP(I269,dagsoorttabel1,2,FALSE)</f>
        <v>16</v>
      </c>
      <c r="N269" s="109">
        <f>prodnorm113</f>
        <v>0</v>
      </c>
      <c r="O269" s="106" t="s">
        <v>105</v>
      </c>
      <c r="P269" s="28">
        <f>uurtarief113</f>
        <v>0</v>
      </c>
      <c r="Q269" s="108" t="e">
        <f>IF(ISBLANK(N269),0,M269/ROUND(N269,4))</f>
        <v>#DIV/0!</v>
      </c>
      <c r="R269" s="28" t="e">
        <f>ROUND(P269,2)*Q269</f>
        <v>#DIV/0!</v>
      </c>
      <c r="S269" s="108" t="e">
        <f>Q269*dagenperjaar1</f>
        <v>#DIV/0!</v>
      </c>
      <c r="T269" s="29" t="e">
        <f>S269*ROUND(P269,2)</f>
        <v>#DIV/0!</v>
      </c>
    </row>
    <row r="270" spans="1:20" x14ac:dyDescent="0.2">
      <c r="A270" s="105" t="s">
        <v>568</v>
      </c>
      <c r="B270" s="106" t="s">
        <v>37</v>
      </c>
      <c r="C270" s="106" t="s">
        <v>415</v>
      </c>
      <c r="D270" s="106" t="s">
        <v>600</v>
      </c>
      <c r="E270" s="106" t="s">
        <v>37</v>
      </c>
      <c r="F270" s="107" t="s">
        <v>601</v>
      </c>
      <c r="G270" s="106" t="s">
        <v>369</v>
      </c>
      <c r="H270" s="106" t="s">
        <v>257</v>
      </c>
      <c r="I270" s="106" t="s">
        <v>9</v>
      </c>
      <c r="J270" s="106" t="s">
        <v>231</v>
      </c>
      <c r="K270" s="106"/>
      <c r="L270" s="108">
        <v>72.599999999999994</v>
      </c>
      <c r="M270" s="108">
        <f>L270*VLOOKUP(I270,dagsoorttabel1,2,FALSE)</f>
        <v>72.599999999999994</v>
      </c>
      <c r="N270" s="109">
        <f>prodnorm80</f>
        <v>0</v>
      </c>
      <c r="O270" s="106" t="s">
        <v>105</v>
      </c>
      <c r="P270" s="28">
        <f>uurtarief80</f>
        <v>0</v>
      </c>
      <c r="Q270" s="108" t="e">
        <f>IF(ISBLANK(N270),0,M270/ROUND(N270,4))</f>
        <v>#DIV/0!</v>
      </c>
      <c r="R270" s="28" t="e">
        <f>ROUND(P270,2)*Q270</f>
        <v>#DIV/0!</v>
      </c>
      <c r="S270" s="108" t="e">
        <f>Q270*dagenperjaar1</f>
        <v>#DIV/0!</v>
      </c>
      <c r="T270" s="29" t="e">
        <f>S270*ROUND(P270,2)</f>
        <v>#DIV/0!</v>
      </c>
    </row>
    <row r="271" spans="1:20" x14ac:dyDescent="0.2">
      <c r="A271" s="105" t="s">
        <v>568</v>
      </c>
      <c r="B271" s="106" t="s">
        <v>37</v>
      </c>
      <c r="C271" s="106" t="s">
        <v>415</v>
      </c>
      <c r="D271" s="106" t="s">
        <v>602</v>
      </c>
      <c r="E271" s="106" t="s">
        <v>37</v>
      </c>
      <c r="F271" s="107" t="s">
        <v>603</v>
      </c>
      <c r="G271" s="106" t="s">
        <v>369</v>
      </c>
      <c r="H271" s="106" t="s">
        <v>245</v>
      </c>
      <c r="I271" s="106" t="s">
        <v>9</v>
      </c>
      <c r="J271" s="106" t="s">
        <v>231</v>
      </c>
      <c r="K271" s="106"/>
      <c r="L271" s="108">
        <v>3.4</v>
      </c>
      <c r="M271" s="108">
        <f>L271*VLOOKUP(I271,dagsoorttabel1,2,FALSE)</f>
        <v>3.4</v>
      </c>
      <c r="N271" s="109">
        <f>prodnorm53</f>
        <v>0</v>
      </c>
      <c r="O271" s="106" t="s">
        <v>105</v>
      </c>
      <c r="P271" s="28">
        <f>uurtarief53</f>
        <v>0</v>
      </c>
      <c r="Q271" s="108" t="e">
        <f>IF(ISBLANK(N271),0,M271/ROUND(N271,4))</f>
        <v>#DIV/0!</v>
      </c>
      <c r="R271" s="28" t="e">
        <f>ROUND(P271,2)*Q271</f>
        <v>#DIV/0!</v>
      </c>
      <c r="S271" s="108" t="e">
        <f>Q271*dagenperjaar1</f>
        <v>#DIV/0!</v>
      </c>
      <c r="T271" s="29" t="e">
        <f>S271*ROUND(P271,2)</f>
        <v>#DIV/0!</v>
      </c>
    </row>
    <row r="272" spans="1:20" x14ac:dyDescent="0.2">
      <c r="A272" s="105" t="s">
        <v>568</v>
      </c>
      <c r="B272" s="106" t="s">
        <v>37</v>
      </c>
      <c r="C272" s="106" t="s">
        <v>415</v>
      </c>
      <c r="D272" s="106" t="s">
        <v>604</v>
      </c>
      <c r="E272" s="106" t="s">
        <v>37</v>
      </c>
      <c r="F272" s="107" t="s">
        <v>387</v>
      </c>
      <c r="G272" s="106" t="s">
        <v>325</v>
      </c>
      <c r="H272" s="106" t="s">
        <v>287</v>
      </c>
      <c r="I272" s="106" t="s">
        <v>9</v>
      </c>
      <c r="J272" s="106" t="s">
        <v>231</v>
      </c>
      <c r="K272" s="106"/>
      <c r="L272" s="108">
        <v>14.7</v>
      </c>
      <c r="M272" s="108">
        <f>L272*VLOOKUP(I272,dagsoorttabel1,2,FALSE)</f>
        <v>14.7</v>
      </c>
      <c r="N272" s="109">
        <f>prodnorm136</f>
        <v>0</v>
      </c>
      <c r="O272" s="106" t="s">
        <v>105</v>
      </c>
      <c r="P272" s="28">
        <f>uurtarief136</f>
        <v>0</v>
      </c>
      <c r="Q272" s="108" t="e">
        <f>IF(ISBLANK(N272),0,M272/ROUND(N272,4))</f>
        <v>#DIV/0!</v>
      </c>
      <c r="R272" s="28" t="e">
        <f>ROUND(P272,2)*Q272</f>
        <v>#DIV/0!</v>
      </c>
      <c r="S272" s="108" t="e">
        <f>Q272*dagenperjaar1</f>
        <v>#DIV/0!</v>
      </c>
      <c r="T272" s="29" t="e">
        <f>S272*ROUND(P272,2)</f>
        <v>#DIV/0!</v>
      </c>
    </row>
    <row r="273" spans="1:20" x14ac:dyDescent="0.2">
      <c r="A273" s="105" t="s">
        <v>568</v>
      </c>
      <c r="B273" s="106" t="s">
        <v>37</v>
      </c>
      <c r="C273" s="106" t="s">
        <v>415</v>
      </c>
      <c r="D273" s="106" t="s">
        <v>605</v>
      </c>
      <c r="E273" s="106" t="s">
        <v>37</v>
      </c>
      <c r="F273" s="107" t="s">
        <v>577</v>
      </c>
      <c r="G273" s="106" t="s">
        <v>325</v>
      </c>
      <c r="H273" s="106" t="s">
        <v>237</v>
      </c>
      <c r="I273" s="106" t="s">
        <v>9</v>
      </c>
      <c r="J273" s="106" t="s">
        <v>231</v>
      </c>
      <c r="K273" s="106"/>
      <c r="L273" s="108">
        <v>16.8</v>
      </c>
      <c r="M273" s="108">
        <f>L273*VLOOKUP(I273,dagsoorttabel1,2,FALSE)</f>
        <v>16.8</v>
      </c>
      <c r="N273" s="109">
        <f>prodnorm43</f>
        <v>0</v>
      </c>
      <c r="O273" s="106" t="s">
        <v>105</v>
      </c>
      <c r="P273" s="28">
        <f>uurtarief43</f>
        <v>0</v>
      </c>
      <c r="Q273" s="108" t="e">
        <f>IF(ISBLANK(N273),0,M273/ROUND(N273,4))</f>
        <v>#DIV/0!</v>
      </c>
      <c r="R273" s="28" t="e">
        <f>ROUND(P273,2)*Q273</f>
        <v>#DIV/0!</v>
      </c>
      <c r="S273" s="108" t="e">
        <f>Q273*dagenperjaar1</f>
        <v>#DIV/0!</v>
      </c>
      <c r="T273" s="29" t="e">
        <f>S273*ROUND(P273,2)</f>
        <v>#DIV/0!</v>
      </c>
    </row>
    <row r="274" spans="1:20" x14ac:dyDescent="0.2">
      <c r="A274" s="105" t="s">
        <v>568</v>
      </c>
      <c r="B274" s="106" t="s">
        <v>37</v>
      </c>
      <c r="C274" s="106" t="s">
        <v>415</v>
      </c>
      <c r="D274" s="106" t="s">
        <v>606</v>
      </c>
      <c r="E274" s="106" t="s">
        <v>37</v>
      </c>
      <c r="F274" s="107" t="s">
        <v>577</v>
      </c>
      <c r="G274" s="106" t="s">
        <v>325</v>
      </c>
      <c r="H274" s="106" t="s">
        <v>237</v>
      </c>
      <c r="I274" s="106" t="s">
        <v>9</v>
      </c>
      <c r="J274" s="106" t="s">
        <v>231</v>
      </c>
      <c r="K274" s="106"/>
      <c r="L274" s="108">
        <v>47.3</v>
      </c>
      <c r="M274" s="108">
        <f>L274*VLOOKUP(I274,dagsoorttabel1,2,FALSE)</f>
        <v>47.3</v>
      </c>
      <c r="N274" s="109">
        <f>prodnorm43</f>
        <v>0</v>
      </c>
      <c r="O274" s="106" t="s">
        <v>105</v>
      </c>
      <c r="P274" s="28">
        <f>uurtarief43</f>
        <v>0</v>
      </c>
      <c r="Q274" s="108" t="e">
        <f>IF(ISBLANK(N274),0,M274/ROUND(N274,4))</f>
        <v>#DIV/0!</v>
      </c>
      <c r="R274" s="28" t="e">
        <f>ROUND(P274,2)*Q274</f>
        <v>#DIV/0!</v>
      </c>
      <c r="S274" s="108" t="e">
        <f>Q274*dagenperjaar1</f>
        <v>#DIV/0!</v>
      </c>
      <c r="T274" s="29" t="e">
        <f>S274*ROUND(P274,2)</f>
        <v>#DIV/0!</v>
      </c>
    </row>
    <row r="275" spans="1:20" x14ac:dyDescent="0.2">
      <c r="A275" s="105" t="s">
        <v>568</v>
      </c>
      <c r="B275" s="106" t="s">
        <v>37</v>
      </c>
      <c r="C275" s="106" t="s">
        <v>415</v>
      </c>
      <c r="D275" s="106" t="s">
        <v>607</v>
      </c>
      <c r="E275" s="106" t="s">
        <v>37</v>
      </c>
      <c r="F275" s="107" t="s">
        <v>337</v>
      </c>
      <c r="G275" s="106" t="s">
        <v>325</v>
      </c>
      <c r="H275" s="106" t="s">
        <v>243</v>
      </c>
      <c r="I275" s="106" t="s">
        <v>9</v>
      </c>
      <c r="J275" s="106" t="s">
        <v>231</v>
      </c>
      <c r="K275" s="106"/>
      <c r="L275" s="108">
        <v>18</v>
      </c>
      <c r="M275" s="108">
        <f>L275*VLOOKUP(I275,dagsoorttabel1,2,FALSE)</f>
        <v>18</v>
      </c>
      <c r="N275" s="109">
        <f>prodnorm51</f>
        <v>0</v>
      </c>
      <c r="O275" s="106" t="s">
        <v>105</v>
      </c>
      <c r="P275" s="28">
        <f>uurtarief51</f>
        <v>0</v>
      </c>
      <c r="Q275" s="108" t="e">
        <f>IF(ISBLANK(N275),0,M275/ROUND(N275,4))</f>
        <v>#DIV/0!</v>
      </c>
      <c r="R275" s="28" t="e">
        <f>ROUND(P275,2)*Q275</f>
        <v>#DIV/0!</v>
      </c>
      <c r="S275" s="108" t="e">
        <f>Q275*dagenperjaar1</f>
        <v>#DIV/0!</v>
      </c>
      <c r="T275" s="29" t="e">
        <f>S275*ROUND(P275,2)</f>
        <v>#DIV/0!</v>
      </c>
    </row>
    <row r="276" spans="1:20" x14ac:dyDescent="0.2">
      <c r="A276" s="105" t="s">
        <v>568</v>
      </c>
      <c r="B276" s="106" t="s">
        <v>37</v>
      </c>
      <c r="C276" s="106" t="s">
        <v>415</v>
      </c>
      <c r="D276" s="106" t="s">
        <v>608</v>
      </c>
      <c r="E276" s="106" t="s">
        <v>37</v>
      </c>
      <c r="F276" s="107" t="s">
        <v>582</v>
      </c>
      <c r="G276" s="106" t="s">
        <v>369</v>
      </c>
      <c r="H276" s="106" t="s">
        <v>267</v>
      </c>
      <c r="I276" s="106" t="s">
        <v>9</v>
      </c>
      <c r="J276" s="106" t="s">
        <v>231</v>
      </c>
      <c r="K276" s="106"/>
      <c r="L276" s="108">
        <v>6.7</v>
      </c>
      <c r="M276" s="108">
        <f>L276*VLOOKUP(I276,dagsoorttabel1,2,FALSE)</f>
        <v>6.7</v>
      </c>
      <c r="N276" s="109">
        <f>prodnorm101</f>
        <v>0</v>
      </c>
      <c r="O276" s="106" t="s">
        <v>105</v>
      </c>
      <c r="P276" s="28">
        <f>uurtarief101</f>
        <v>0</v>
      </c>
      <c r="Q276" s="108" t="e">
        <f>IF(ISBLANK(N276),0,M276/ROUND(N276,4))</f>
        <v>#DIV/0!</v>
      </c>
      <c r="R276" s="28" t="e">
        <f>ROUND(P276,2)*Q276</f>
        <v>#DIV/0!</v>
      </c>
      <c r="S276" s="108" t="e">
        <f>Q276*dagenperjaar1</f>
        <v>#DIV/0!</v>
      </c>
      <c r="T276" s="29" t="e">
        <f>S276*ROUND(P276,2)</f>
        <v>#DIV/0!</v>
      </c>
    </row>
    <row r="277" spans="1:20" x14ac:dyDescent="0.2">
      <c r="A277" s="105" t="s">
        <v>568</v>
      </c>
      <c r="B277" s="106" t="s">
        <v>37</v>
      </c>
      <c r="C277" s="106" t="s">
        <v>415</v>
      </c>
      <c r="D277" s="106" t="s">
        <v>609</v>
      </c>
      <c r="E277" s="106" t="s">
        <v>37</v>
      </c>
      <c r="F277" s="107" t="s">
        <v>454</v>
      </c>
      <c r="G277" s="106" t="s">
        <v>369</v>
      </c>
      <c r="H277" s="106" t="s">
        <v>273</v>
      </c>
      <c r="I277" s="106" t="s">
        <v>9</v>
      </c>
      <c r="J277" s="106" t="s">
        <v>231</v>
      </c>
      <c r="K277" s="106"/>
      <c r="L277" s="108">
        <v>23.3</v>
      </c>
      <c r="M277" s="108">
        <f>L277*VLOOKUP(I277,dagsoorttabel1,2,FALSE)</f>
        <v>23.3</v>
      </c>
      <c r="N277" s="109">
        <f>prodnorm113</f>
        <v>0</v>
      </c>
      <c r="O277" s="106" t="s">
        <v>105</v>
      </c>
      <c r="P277" s="28">
        <f>uurtarief113</f>
        <v>0</v>
      </c>
      <c r="Q277" s="108" t="e">
        <f>IF(ISBLANK(N277),0,M277/ROUND(N277,4))</f>
        <v>#DIV/0!</v>
      </c>
      <c r="R277" s="28" t="e">
        <f>ROUND(P277,2)*Q277</f>
        <v>#DIV/0!</v>
      </c>
      <c r="S277" s="108" t="e">
        <f>Q277*dagenperjaar1</f>
        <v>#DIV/0!</v>
      </c>
      <c r="T277" s="29" t="e">
        <f>S277*ROUND(P277,2)</f>
        <v>#DIV/0!</v>
      </c>
    </row>
    <row r="278" spans="1:20" x14ac:dyDescent="0.2">
      <c r="A278" s="105" t="s">
        <v>568</v>
      </c>
      <c r="B278" s="106" t="s">
        <v>37</v>
      </c>
      <c r="C278" s="106" t="s">
        <v>415</v>
      </c>
      <c r="D278" s="106" t="s">
        <v>610</v>
      </c>
      <c r="E278" s="106" t="s">
        <v>37</v>
      </c>
      <c r="F278" s="107" t="s">
        <v>335</v>
      </c>
      <c r="G278" s="106" t="s">
        <v>325</v>
      </c>
      <c r="H278" s="106" t="s">
        <v>275</v>
      </c>
      <c r="I278" s="106" t="s">
        <v>9</v>
      </c>
      <c r="J278" s="106" t="s">
        <v>231</v>
      </c>
      <c r="K278" s="106"/>
      <c r="L278" s="108">
        <v>16</v>
      </c>
      <c r="M278" s="108">
        <f>L278*VLOOKUP(I278,dagsoorttabel1,2,FALSE)</f>
        <v>16</v>
      </c>
      <c r="N278" s="109">
        <f>prodnorm118</f>
        <v>0</v>
      </c>
      <c r="O278" s="106" t="s">
        <v>105</v>
      </c>
      <c r="P278" s="28">
        <f>uurtarief118</f>
        <v>0</v>
      </c>
      <c r="Q278" s="108" t="e">
        <f>IF(ISBLANK(N278),0,M278/ROUND(N278,4))</f>
        <v>#DIV/0!</v>
      </c>
      <c r="R278" s="28" t="e">
        <f>ROUND(P278,2)*Q278</f>
        <v>#DIV/0!</v>
      </c>
      <c r="S278" s="108" t="e">
        <f>Q278*dagenperjaar1</f>
        <v>#DIV/0!</v>
      </c>
      <c r="T278" s="29" t="e">
        <f>S278*ROUND(P278,2)</f>
        <v>#DIV/0!</v>
      </c>
    </row>
    <row r="279" spans="1:20" x14ac:dyDescent="0.2">
      <c r="A279" s="105" t="s">
        <v>568</v>
      </c>
      <c r="B279" s="106" t="s">
        <v>37</v>
      </c>
      <c r="C279" s="106" t="s">
        <v>544</v>
      </c>
      <c r="D279" s="106" t="s">
        <v>37</v>
      </c>
      <c r="E279" s="106" t="s">
        <v>37</v>
      </c>
      <c r="F279" s="107" t="s">
        <v>545</v>
      </c>
      <c r="G279" s="106" t="s">
        <v>37</v>
      </c>
      <c r="H279" s="106" t="s">
        <v>298</v>
      </c>
      <c r="I279" s="106" t="s">
        <v>13</v>
      </c>
      <c r="J279" s="106" t="s">
        <v>299</v>
      </c>
      <c r="K279" s="106"/>
      <c r="L279" s="108">
        <v>1</v>
      </c>
      <c r="M279" s="108">
        <f>L279*VLOOKUP(I279,dagsoorttabel1,2,FALSE)</f>
        <v>0.2</v>
      </c>
      <c r="N279" s="109">
        <f>prodnorm21</f>
        <v>0</v>
      </c>
      <c r="O279" s="106" t="s">
        <v>301</v>
      </c>
      <c r="P279" s="28">
        <f>uurtarief21</f>
        <v>0</v>
      </c>
      <c r="Q279" s="108">
        <f>M279*ROUND(N279,4)/60</f>
        <v>0</v>
      </c>
      <c r="R279" s="28">
        <f>ROUND(P279,2)*Q279</f>
        <v>0</v>
      </c>
      <c r="S279" s="108">
        <f>Q279*dagenperjaar1</f>
        <v>0</v>
      </c>
      <c r="T279" s="29">
        <f>S279*ROUND(P279,2)</f>
        <v>0</v>
      </c>
    </row>
    <row r="280" spans="1:20" x14ac:dyDescent="0.2">
      <c r="A280" s="105" t="s">
        <v>568</v>
      </c>
      <c r="B280" s="106" t="s">
        <v>37</v>
      </c>
      <c r="C280" s="106" t="s">
        <v>544</v>
      </c>
      <c r="D280" s="106" t="s">
        <v>37</v>
      </c>
      <c r="E280" s="106" t="s">
        <v>37</v>
      </c>
      <c r="F280" s="107" t="s">
        <v>545</v>
      </c>
      <c r="G280" s="106" t="s">
        <v>37</v>
      </c>
      <c r="H280" s="106" t="s">
        <v>302</v>
      </c>
      <c r="I280" s="106" t="s">
        <v>15</v>
      </c>
      <c r="J280" s="106" t="s">
        <v>299</v>
      </c>
      <c r="K280" s="106"/>
      <c r="L280" s="108">
        <v>1</v>
      </c>
      <c r="M280" s="108">
        <f>L280*VLOOKUP(I280,dagsoorttabel1,2,FALSE)</f>
        <v>4.7058823529411764E-2</v>
      </c>
      <c r="N280" s="109">
        <f>prodnorm24</f>
        <v>0</v>
      </c>
      <c r="O280" s="106" t="s">
        <v>301</v>
      </c>
      <c r="P280" s="28">
        <f>uurtarief24</f>
        <v>0</v>
      </c>
      <c r="Q280" s="108">
        <f>M280*ROUND(N280,4)/60</f>
        <v>0</v>
      </c>
      <c r="R280" s="28">
        <f>ROUND(P280,2)*Q280</f>
        <v>0</v>
      </c>
      <c r="S280" s="108">
        <f>Q280*dagenperjaar1</f>
        <v>0</v>
      </c>
      <c r="T280" s="29">
        <f>S280*ROUND(P280,2)</f>
        <v>0</v>
      </c>
    </row>
    <row r="281" spans="1:20" x14ac:dyDescent="0.2">
      <c r="A281" s="105" t="s">
        <v>568</v>
      </c>
      <c r="B281" s="106" t="s">
        <v>611</v>
      </c>
      <c r="C281" s="106" t="s">
        <v>322</v>
      </c>
      <c r="D281" s="106" t="s">
        <v>612</v>
      </c>
      <c r="E281" s="106" t="s">
        <v>37</v>
      </c>
      <c r="F281" s="107" t="s">
        <v>613</v>
      </c>
      <c r="G281" s="106" t="s">
        <v>369</v>
      </c>
      <c r="H281" s="106" t="s">
        <v>267</v>
      </c>
      <c r="I281" s="106" t="s">
        <v>12</v>
      </c>
      <c r="J281" s="106" t="s">
        <v>231</v>
      </c>
      <c r="K281" s="106"/>
      <c r="L281" s="108">
        <v>2.06</v>
      </c>
      <c r="M281" s="108">
        <f>L281*VLOOKUP(I281,dagsoorttabel1,2,FALSE)</f>
        <v>0.82400000000000007</v>
      </c>
      <c r="N281" s="109">
        <f>prodnorm97</f>
        <v>0</v>
      </c>
      <c r="O281" s="106" t="s">
        <v>105</v>
      </c>
      <c r="P281" s="28">
        <f>uurtarief97</f>
        <v>0</v>
      </c>
      <c r="Q281" s="108" t="e">
        <f>IF(ISBLANK(N281),0,M281/ROUND(N281,4))</f>
        <v>#DIV/0!</v>
      </c>
      <c r="R281" s="28" t="e">
        <f>ROUND(P281,2)*Q281</f>
        <v>#DIV/0!</v>
      </c>
      <c r="S281" s="108" t="e">
        <f>Q281*dagenperjaar1</f>
        <v>#DIV/0!</v>
      </c>
      <c r="T281" s="29" t="e">
        <f>S281*ROUND(P281,2)</f>
        <v>#DIV/0!</v>
      </c>
    </row>
    <row r="282" spans="1:20" x14ac:dyDescent="0.2">
      <c r="A282" s="110" t="s">
        <v>568</v>
      </c>
      <c r="B282" s="111" t="s">
        <v>611</v>
      </c>
      <c r="C282" s="111" t="s">
        <v>322</v>
      </c>
      <c r="D282" s="111" t="s">
        <v>614</v>
      </c>
      <c r="E282" s="111" t="s">
        <v>37</v>
      </c>
      <c r="F282" s="112" t="s">
        <v>615</v>
      </c>
      <c r="G282" s="111" t="s">
        <v>369</v>
      </c>
      <c r="H282" s="111" t="s">
        <v>267</v>
      </c>
      <c r="I282" s="111" t="s">
        <v>12</v>
      </c>
      <c r="J282" s="111" t="s">
        <v>231</v>
      </c>
      <c r="K282" s="111"/>
      <c r="L282" s="113">
        <v>1.06</v>
      </c>
      <c r="M282" s="113">
        <f>L282*VLOOKUP(I282,dagsoorttabel1,2,FALSE)</f>
        <v>0.42400000000000004</v>
      </c>
      <c r="N282" s="114">
        <f>prodnorm97</f>
        <v>0</v>
      </c>
      <c r="O282" s="111" t="s">
        <v>105</v>
      </c>
      <c r="P282" s="38">
        <f>uurtarief97</f>
        <v>0</v>
      </c>
      <c r="Q282" s="113" t="e">
        <f>IF(ISBLANK(N282),0,M282/ROUND(N282,4))</f>
        <v>#DIV/0!</v>
      </c>
      <c r="R282" s="38" t="e">
        <f>ROUND(P282,2)*Q282</f>
        <v>#DIV/0!</v>
      </c>
      <c r="S282" s="113" t="e">
        <f>Q282*dagenperjaar1</f>
        <v>#DIV/0!</v>
      </c>
      <c r="T282" s="39" t="e">
        <f>S282*ROUND(P282,2)</f>
        <v>#DIV/0!</v>
      </c>
    </row>
    <row r="283" spans="1:20" x14ac:dyDescent="0.2">
      <c r="A283" s="115" t="s">
        <v>546</v>
      </c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5" t="e">
        <f>IF(_xlfn.SINGLE(object3_urenjaar1)&gt;0,_xlfn.SINGLE(object3_prijsjaar1)/_xlfn.SINGLE(object3_urenjaar1),0)</f>
        <v>#DIV/0!</v>
      </c>
      <c r="Q283" s="84" t="e">
        <f>SUM(Q253:Q282)</f>
        <v>#DIV/0!</v>
      </c>
      <c r="R283" s="85" t="e">
        <f>SUM(R253:R282)</f>
        <v>#DIV/0!</v>
      </c>
      <c r="S283" s="84" t="e">
        <f>SUM(S253:S282)</f>
        <v>#DIV/0!</v>
      </c>
      <c r="T283" s="86" t="e">
        <f>SUM(T253:T282)</f>
        <v>#DIV/0!</v>
      </c>
    </row>
    <row r="284" spans="1:20" x14ac:dyDescent="0.2">
      <c r="A284" s="91" t="s">
        <v>616</v>
      </c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81"/>
    </row>
    <row r="285" spans="1:20" x14ac:dyDescent="0.2">
      <c r="A285" s="98" t="s">
        <v>617</v>
      </c>
      <c r="B285" s="99" t="s">
        <v>37</v>
      </c>
      <c r="C285" s="99" t="s">
        <v>322</v>
      </c>
      <c r="D285" s="99" t="s">
        <v>323</v>
      </c>
      <c r="E285" s="99" t="s">
        <v>37</v>
      </c>
      <c r="F285" s="100" t="s">
        <v>618</v>
      </c>
      <c r="G285" s="99" t="s">
        <v>331</v>
      </c>
      <c r="H285" s="99" t="s">
        <v>235</v>
      </c>
      <c r="I285" s="99" t="s">
        <v>9</v>
      </c>
      <c r="J285" s="99" t="s">
        <v>231</v>
      </c>
      <c r="K285" s="99"/>
      <c r="L285" s="101">
        <v>74</v>
      </c>
      <c r="M285" s="101">
        <f>L285*VLOOKUP(I285,dagsoorttabel1,2,FALSE)</f>
        <v>74</v>
      </c>
      <c r="N285" s="102">
        <f>prodnorm39</f>
        <v>0</v>
      </c>
      <c r="O285" s="99" t="s">
        <v>105</v>
      </c>
      <c r="P285" s="103">
        <f>uurtarief39</f>
        <v>0</v>
      </c>
      <c r="Q285" s="101" t="e">
        <f>IF(ISBLANK(N285),0,M285/ROUND(N285,4))</f>
        <v>#DIV/0!</v>
      </c>
      <c r="R285" s="103" t="e">
        <f>ROUND(P285,2)*Q285</f>
        <v>#DIV/0!</v>
      </c>
      <c r="S285" s="101" t="e">
        <f>Q285*dagenperjaar1</f>
        <v>#DIV/0!</v>
      </c>
      <c r="T285" s="104" t="e">
        <f>S285*ROUND(P285,2)</f>
        <v>#DIV/0!</v>
      </c>
    </row>
    <row r="286" spans="1:20" x14ac:dyDescent="0.2">
      <c r="A286" s="105" t="s">
        <v>617</v>
      </c>
      <c r="B286" s="106" t="s">
        <v>37</v>
      </c>
      <c r="C286" s="106" t="s">
        <v>322</v>
      </c>
      <c r="D286" s="106" t="s">
        <v>326</v>
      </c>
      <c r="E286" s="106" t="s">
        <v>37</v>
      </c>
      <c r="F286" s="107" t="s">
        <v>337</v>
      </c>
      <c r="G286" s="106" t="s">
        <v>331</v>
      </c>
      <c r="H286" s="106" t="s">
        <v>235</v>
      </c>
      <c r="I286" s="106" t="s">
        <v>9</v>
      </c>
      <c r="J286" s="106" t="s">
        <v>231</v>
      </c>
      <c r="K286" s="106"/>
      <c r="L286" s="108">
        <v>52</v>
      </c>
      <c r="M286" s="108">
        <f>L286*VLOOKUP(I286,dagsoorttabel1,2,FALSE)</f>
        <v>52</v>
      </c>
      <c r="N286" s="109">
        <f>prodnorm39</f>
        <v>0</v>
      </c>
      <c r="O286" s="106" t="s">
        <v>105</v>
      </c>
      <c r="P286" s="28">
        <f>uurtarief39</f>
        <v>0</v>
      </c>
      <c r="Q286" s="108" t="e">
        <f>IF(ISBLANK(N286),0,M286/ROUND(N286,4))</f>
        <v>#DIV/0!</v>
      </c>
      <c r="R286" s="28" t="e">
        <f>ROUND(P286,2)*Q286</f>
        <v>#DIV/0!</v>
      </c>
      <c r="S286" s="108" t="e">
        <f>Q286*dagenperjaar1</f>
        <v>#DIV/0!</v>
      </c>
      <c r="T286" s="29" t="e">
        <f>S286*ROUND(P286,2)</f>
        <v>#DIV/0!</v>
      </c>
    </row>
    <row r="287" spans="1:20" x14ac:dyDescent="0.2">
      <c r="A287" s="105" t="s">
        <v>617</v>
      </c>
      <c r="B287" s="106" t="s">
        <v>37</v>
      </c>
      <c r="C287" s="106" t="s">
        <v>322</v>
      </c>
      <c r="D287" s="106" t="s">
        <v>329</v>
      </c>
      <c r="E287" s="106" t="s">
        <v>37</v>
      </c>
      <c r="F287" s="107" t="s">
        <v>618</v>
      </c>
      <c r="G287" s="106" t="s">
        <v>379</v>
      </c>
      <c r="H287" s="106" t="s">
        <v>237</v>
      </c>
      <c r="I287" s="106" t="s">
        <v>9</v>
      </c>
      <c r="J287" s="106" t="s">
        <v>231</v>
      </c>
      <c r="K287" s="106"/>
      <c r="L287" s="108">
        <v>40</v>
      </c>
      <c r="M287" s="108">
        <f>L287*VLOOKUP(I287,dagsoorttabel1,2,FALSE)</f>
        <v>40</v>
      </c>
      <c r="N287" s="109">
        <f>prodnorm43</f>
        <v>0</v>
      </c>
      <c r="O287" s="106" t="s">
        <v>105</v>
      </c>
      <c r="P287" s="28">
        <f>uurtarief43</f>
        <v>0</v>
      </c>
      <c r="Q287" s="108" t="e">
        <f>IF(ISBLANK(N287),0,M287/ROUND(N287,4))</f>
        <v>#DIV/0!</v>
      </c>
      <c r="R287" s="28" t="e">
        <f>ROUND(P287,2)*Q287</f>
        <v>#DIV/0!</v>
      </c>
      <c r="S287" s="108" t="e">
        <f>Q287*dagenperjaar1</f>
        <v>#DIV/0!</v>
      </c>
      <c r="T287" s="29" t="e">
        <f>S287*ROUND(P287,2)</f>
        <v>#DIV/0!</v>
      </c>
    </row>
    <row r="288" spans="1:20" x14ac:dyDescent="0.2">
      <c r="A288" s="105" t="s">
        <v>617</v>
      </c>
      <c r="B288" s="106" t="s">
        <v>37</v>
      </c>
      <c r="C288" s="106" t="s">
        <v>322</v>
      </c>
      <c r="D288" s="106" t="s">
        <v>332</v>
      </c>
      <c r="E288" s="106" t="s">
        <v>37</v>
      </c>
      <c r="F288" s="107" t="s">
        <v>618</v>
      </c>
      <c r="G288" s="106" t="s">
        <v>379</v>
      </c>
      <c r="H288" s="106" t="s">
        <v>237</v>
      </c>
      <c r="I288" s="106" t="s">
        <v>9</v>
      </c>
      <c r="J288" s="106" t="s">
        <v>231</v>
      </c>
      <c r="K288" s="106"/>
      <c r="L288" s="108">
        <v>10</v>
      </c>
      <c r="M288" s="108">
        <f>L288*VLOOKUP(I288,dagsoorttabel1,2,FALSE)</f>
        <v>10</v>
      </c>
      <c r="N288" s="109">
        <f>prodnorm43</f>
        <v>0</v>
      </c>
      <c r="O288" s="106" t="s">
        <v>105</v>
      </c>
      <c r="P288" s="28">
        <f>uurtarief43</f>
        <v>0</v>
      </c>
      <c r="Q288" s="108" t="e">
        <f>IF(ISBLANK(N288),0,M288/ROUND(N288,4))</f>
        <v>#DIV/0!</v>
      </c>
      <c r="R288" s="28" t="e">
        <f>ROUND(P288,2)*Q288</f>
        <v>#DIV/0!</v>
      </c>
      <c r="S288" s="108" t="e">
        <f>Q288*dagenperjaar1</f>
        <v>#DIV/0!</v>
      </c>
      <c r="T288" s="29" t="e">
        <f>S288*ROUND(P288,2)</f>
        <v>#DIV/0!</v>
      </c>
    </row>
    <row r="289" spans="1:20" x14ac:dyDescent="0.2">
      <c r="A289" s="105" t="s">
        <v>617</v>
      </c>
      <c r="B289" s="106" t="s">
        <v>37</v>
      </c>
      <c r="C289" s="106" t="s">
        <v>322</v>
      </c>
      <c r="D289" s="106" t="s">
        <v>334</v>
      </c>
      <c r="E289" s="106" t="s">
        <v>37</v>
      </c>
      <c r="F289" s="107" t="s">
        <v>590</v>
      </c>
      <c r="G289" s="106" t="s">
        <v>376</v>
      </c>
      <c r="H289" s="106" t="s">
        <v>265</v>
      </c>
      <c r="I289" s="106" t="s">
        <v>9</v>
      </c>
      <c r="J289" s="106" t="s">
        <v>231</v>
      </c>
      <c r="K289" s="106"/>
      <c r="L289" s="108">
        <v>32</v>
      </c>
      <c r="M289" s="108">
        <f>L289*VLOOKUP(I289,dagsoorttabel1,2,FALSE)</f>
        <v>32</v>
      </c>
      <c r="N289" s="109">
        <f>prodnorm92</f>
        <v>0</v>
      </c>
      <c r="O289" s="106" t="s">
        <v>105</v>
      </c>
      <c r="P289" s="28">
        <f>uurtarief92</f>
        <v>0</v>
      </c>
      <c r="Q289" s="108" t="e">
        <f>IF(ISBLANK(N289),0,M289/ROUND(N289,4))</f>
        <v>#DIV/0!</v>
      </c>
      <c r="R289" s="28" t="e">
        <f>ROUND(P289,2)*Q289</f>
        <v>#DIV/0!</v>
      </c>
      <c r="S289" s="108" t="e">
        <f>Q289*dagenperjaar1</f>
        <v>#DIV/0!</v>
      </c>
      <c r="T289" s="29" t="e">
        <f>S289*ROUND(P289,2)</f>
        <v>#DIV/0!</v>
      </c>
    </row>
    <row r="290" spans="1:20" x14ac:dyDescent="0.2">
      <c r="A290" s="105" t="s">
        <v>617</v>
      </c>
      <c r="B290" s="106" t="s">
        <v>37</v>
      </c>
      <c r="C290" s="106" t="s">
        <v>322</v>
      </c>
      <c r="D290" s="106" t="s">
        <v>336</v>
      </c>
      <c r="E290" s="106" t="s">
        <v>37</v>
      </c>
      <c r="F290" s="107" t="s">
        <v>619</v>
      </c>
      <c r="G290" s="106" t="s">
        <v>376</v>
      </c>
      <c r="H290" s="106" t="s">
        <v>261</v>
      </c>
      <c r="I290" s="106" t="s">
        <v>9</v>
      </c>
      <c r="J290" s="106" t="s">
        <v>231</v>
      </c>
      <c r="K290" s="106"/>
      <c r="L290" s="108">
        <v>3</v>
      </c>
      <c r="M290" s="108">
        <f>L290*VLOOKUP(I290,dagsoorttabel1,2,FALSE)</f>
        <v>3</v>
      </c>
      <c r="N290" s="109">
        <f>prodnorm86</f>
        <v>0</v>
      </c>
      <c r="O290" s="106" t="s">
        <v>105</v>
      </c>
      <c r="P290" s="28">
        <f>uurtarief86</f>
        <v>0</v>
      </c>
      <c r="Q290" s="108" t="e">
        <f>IF(ISBLANK(N290),0,M290/ROUND(N290,4))</f>
        <v>#DIV/0!</v>
      </c>
      <c r="R290" s="28" t="e">
        <f>ROUND(P290,2)*Q290</f>
        <v>#DIV/0!</v>
      </c>
      <c r="S290" s="108" t="e">
        <f>Q290*dagenperjaar1</f>
        <v>#DIV/0!</v>
      </c>
      <c r="T290" s="29" t="e">
        <f>S290*ROUND(P290,2)</f>
        <v>#DIV/0!</v>
      </c>
    </row>
    <row r="291" spans="1:20" x14ac:dyDescent="0.2">
      <c r="A291" s="105" t="s">
        <v>617</v>
      </c>
      <c r="B291" s="106" t="s">
        <v>37</v>
      </c>
      <c r="C291" s="106" t="s">
        <v>322</v>
      </c>
      <c r="D291" s="106" t="s">
        <v>338</v>
      </c>
      <c r="E291" s="106" t="s">
        <v>37</v>
      </c>
      <c r="F291" s="107" t="s">
        <v>615</v>
      </c>
      <c r="G291" s="106" t="s">
        <v>376</v>
      </c>
      <c r="H291" s="106" t="s">
        <v>267</v>
      </c>
      <c r="I291" s="106" t="s">
        <v>9</v>
      </c>
      <c r="J291" s="106" t="s">
        <v>231</v>
      </c>
      <c r="K291" s="106"/>
      <c r="L291" s="108">
        <v>4</v>
      </c>
      <c r="M291" s="108">
        <f>L291*VLOOKUP(I291,dagsoorttabel1,2,FALSE)</f>
        <v>4</v>
      </c>
      <c r="N291" s="109">
        <f>prodnorm101</f>
        <v>0</v>
      </c>
      <c r="O291" s="106" t="s">
        <v>105</v>
      </c>
      <c r="P291" s="28">
        <f>uurtarief101</f>
        <v>0</v>
      </c>
      <c r="Q291" s="108" t="e">
        <f>IF(ISBLANK(N291),0,M291/ROUND(N291,4))</f>
        <v>#DIV/0!</v>
      </c>
      <c r="R291" s="28" t="e">
        <f>ROUND(P291,2)*Q291</f>
        <v>#DIV/0!</v>
      </c>
      <c r="S291" s="108" t="e">
        <f>Q291*dagenperjaar1</f>
        <v>#DIV/0!</v>
      </c>
      <c r="T291" s="29" t="e">
        <f>S291*ROUND(P291,2)</f>
        <v>#DIV/0!</v>
      </c>
    </row>
    <row r="292" spans="1:20" x14ac:dyDescent="0.2">
      <c r="A292" s="105" t="s">
        <v>617</v>
      </c>
      <c r="B292" s="106" t="s">
        <v>37</v>
      </c>
      <c r="C292" s="106" t="s">
        <v>322</v>
      </c>
      <c r="D292" s="106" t="s">
        <v>339</v>
      </c>
      <c r="E292" s="106" t="s">
        <v>37</v>
      </c>
      <c r="F292" s="107" t="s">
        <v>615</v>
      </c>
      <c r="G292" s="106" t="s">
        <v>376</v>
      </c>
      <c r="H292" s="106" t="s">
        <v>267</v>
      </c>
      <c r="I292" s="106" t="s">
        <v>9</v>
      </c>
      <c r="J292" s="106" t="s">
        <v>231</v>
      </c>
      <c r="K292" s="106"/>
      <c r="L292" s="108">
        <v>2</v>
      </c>
      <c r="M292" s="108">
        <f>L292*VLOOKUP(I292,dagsoorttabel1,2,FALSE)</f>
        <v>2</v>
      </c>
      <c r="N292" s="109">
        <f>prodnorm101</f>
        <v>0</v>
      </c>
      <c r="O292" s="106" t="s">
        <v>105</v>
      </c>
      <c r="P292" s="28">
        <f>uurtarief101</f>
        <v>0</v>
      </c>
      <c r="Q292" s="108" t="e">
        <f>IF(ISBLANK(N292),0,M292/ROUND(N292,4))</f>
        <v>#DIV/0!</v>
      </c>
      <c r="R292" s="28" t="e">
        <f>ROUND(P292,2)*Q292</f>
        <v>#DIV/0!</v>
      </c>
      <c r="S292" s="108" t="e">
        <f>Q292*dagenperjaar1</f>
        <v>#DIV/0!</v>
      </c>
      <c r="T292" s="29" t="e">
        <f>S292*ROUND(P292,2)</f>
        <v>#DIV/0!</v>
      </c>
    </row>
    <row r="293" spans="1:20" x14ac:dyDescent="0.2">
      <c r="A293" s="105" t="s">
        <v>617</v>
      </c>
      <c r="B293" s="106" t="s">
        <v>37</v>
      </c>
      <c r="C293" s="106" t="s">
        <v>322</v>
      </c>
      <c r="D293" s="106" t="s">
        <v>342</v>
      </c>
      <c r="E293" s="106" t="s">
        <v>37</v>
      </c>
      <c r="F293" s="107" t="s">
        <v>615</v>
      </c>
      <c r="G293" s="106" t="s">
        <v>376</v>
      </c>
      <c r="H293" s="106" t="s">
        <v>267</v>
      </c>
      <c r="I293" s="106" t="s">
        <v>9</v>
      </c>
      <c r="J293" s="106" t="s">
        <v>231</v>
      </c>
      <c r="K293" s="106"/>
      <c r="L293" s="108">
        <v>2</v>
      </c>
      <c r="M293" s="108">
        <f>L293*VLOOKUP(I293,dagsoorttabel1,2,FALSE)</f>
        <v>2</v>
      </c>
      <c r="N293" s="109">
        <f>prodnorm101</f>
        <v>0</v>
      </c>
      <c r="O293" s="106" t="s">
        <v>105</v>
      </c>
      <c r="P293" s="28">
        <f>uurtarief101</f>
        <v>0</v>
      </c>
      <c r="Q293" s="108" t="e">
        <f>IF(ISBLANK(N293),0,M293/ROUND(N293,4))</f>
        <v>#DIV/0!</v>
      </c>
      <c r="R293" s="28" t="e">
        <f>ROUND(P293,2)*Q293</f>
        <v>#DIV/0!</v>
      </c>
      <c r="S293" s="108" t="e">
        <f>Q293*dagenperjaar1</f>
        <v>#DIV/0!</v>
      </c>
      <c r="T293" s="29" t="e">
        <f>S293*ROUND(P293,2)</f>
        <v>#DIV/0!</v>
      </c>
    </row>
    <row r="294" spans="1:20" x14ac:dyDescent="0.2">
      <c r="A294" s="105" t="s">
        <v>617</v>
      </c>
      <c r="B294" s="106" t="s">
        <v>37</v>
      </c>
      <c r="C294" s="106" t="s">
        <v>322</v>
      </c>
      <c r="D294" s="106" t="s">
        <v>344</v>
      </c>
      <c r="E294" s="106" t="s">
        <v>37</v>
      </c>
      <c r="F294" s="107" t="s">
        <v>592</v>
      </c>
      <c r="G294" s="106" t="s">
        <v>620</v>
      </c>
      <c r="H294" s="106" t="s">
        <v>281</v>
      </c>
      <c r="I294" s="106" t="s">
        <v>9</v>
      </c>
      <c r="J294" s="106" t="s">
        <v>231</v>
      </c>
      <c r="K294" s="106"/>
      <c r="L294" s="108">
        <v>5</v>
      </c>
      <c r="M294" s="108">
        <f>L294*VLOOKUP(I294,dagsoorttabel1,2,FALSE)</f>
        <v>5</v>
      </c>
      <c r="N294" s="109">
        <f>prodnorm129</f>
        <v>0</v>
      </c>
      <c r="O294" s="106" t="s">
        <v>105</v>
      </c>
      <c r="P294" s="28">
        <f>uurtarief129</f>
        <v>0</v>
      </c>
      <c r="Q294" s="108" t="e">
        <f>IF(ISBLANK(N294),0,M294/ROUND(N294,4))</f>
        <v>#DIV/0!</v>
      </c>
      <c r="R294" s="28" t="e">
        <f>ROUND(P294,2)*Q294</f>
        <v>#DIV/0!</v>
      </c>
      <c r="S294" s="108" t="e">
        <f>Q294*dagenperjaar1</f>
        <v>#DIV/0!</v>
      </c>
      <c r="T294" s="29" t="e">
        <f>S294*ROUND(P294,2)</f>
        <v>#DIV/0!</v>
      </c>
    </row>
    <row r="295" spans="1:20" x14ac:dyDescent="0.2">
      <c r="A295" s="105" t="s">
        <v>617</v>
      </c>
      <c r="B295" s="106" t="s">
        <v>37</v>
      </c>
      <c r="C295" s="106" t="s">
        <v>322</v>
      </c>
      <c r="D295" s="106" t="s">
        <v>347</v>
      </c>
      <c r="E295" s="106" t="s">
        <v>37</v>
      </c>
      <c r="F295" s="107" t="s">
        <v>621</v>
      </c>
      <c r="G295" s="106" t="s">
        <v>376</v>
      </c>
      <c r="H295" s="106" t="s">
        <v>249</v>
      </c>
      <c r="I295" s="106" t="s">
        <v>9</v>
      </c>
      <c r="J295" s="106" t="s">
        <v>231</v>
      </c>
      <c r="K295" s="106"/>
      <c r="L295" s="108">
        <v>26</v>
      </c>
      <c r="M295" s="108">
        <f>L295*VLOOKUP(I295,dagsoorttabel1,2,FALSE)</f>
        <v>26</v>
      </c>
      <c r="N295" s="109">
        <f>prodnorm58</f>
        <v>0</v>
      </c>
      <c r="O295" s="106" t="s">
        <v>105</v>
      </c>
      <c r="P295" s="28">
        <f>uurtarief58</f>
        <v>0</v>
      </c>
      <c r="Q295" s="108" t="e">
        <f>IF(ISBLANK(N295),0,M295/ROUND(N295,4))</f>
        <v>#DIV/0!</v>
      </c>
      <c r="R295" s="28" t="e">
        <f>ROUND(P295,2)*Q295</f>
        <v>#DIV/0!</v>
      </c>
      <c r="S295" s="108" t="e">
        <f>Q295*dagenperjaar1</f>
        <v>#DIV/0!</v>
      </c>
      <c r="T295" s="29" t="e">
        <f>S295*ROUND(P295,2)</f>
        <v>#DIV/0!</v>
      </c>
    </row>
    <row r="296" spans="1:20" x14ac:dyDescent="0.2">
      <c r="A296" s="105" t="s">
        <v>617</v>
      </c>
      <c r="B296" s="106" t="s">
        <v>37</v>
      </c>
      <c r="C296" s="106" t="s">
        <v>322</v>
      </c>
      <c r="D296" s="106" t="s">
        <v>349</v>
      </c>
      <c r="E296" s="106" t="s">
        <v>37</v>
      </c>
      <c r="F296" s="107" t="s">
        <v>561</v>
      </c>
      <c r="G296" s="106" t="s">
        <v>376</v>
      </c>
      <c r="H296" s="106" t="s">
        <v>273</v>
      </c>
      <c r="I296" s="106" t="s">
        <v>9</v>
      </c>
      <c r="J296" s="106" t="s">
        <v>231</v>
      </c>
      <c r="K296" s="106"/>
      <c r="L296" s="108">
        <v>46</v>
      </c>
      <c r="M296" s="108">
        <f>L296*VLOOKUP(I296,dagsoorttabel1,2,FALSE)</f>
        <v>46</v>
      </c>
      <c r="N296" s="109">
        <f>prodnorm113</f>
        <v>0</v>
      </c>
      <c r="O296" s="106" t="s">
        <v>105</v>
      </c>
      <c r="P296" s="28">
        <f>uurtarief113</f>
        <v>0</v>
      </c>
      <c r="Q296" s="108" t="e">
        <f>IF(ISBLANK(N296),0,M296/ROUND(N296,4))</f>
        <v>#DIV/0!</v>
      </c>
      <c r="R296" s="28" t="e">
        <f>ROUND(P296,2)*Q296</f>
        <v>#DIV/0!</v>
      </c>
      <c r="S296" s="108" t="e">
        <f>Q296*dagenperjaar1</f>
        <v>#DIV/0!</v>
      </c>
      <c r="T296" s="29" t="e">
        <f>S296*ROUND(P296,2)</f>
        <v>#DIV/0!</v>
      </c>
    </row>
    <row r="297" spans="1:20" x14ac:dyDescent="0.2">
      <c r="A297" s="105" t="s">
        <v>617</v>
      </c>
      <c r="B297" s="106" t="s">
        <v>37</v>
      </c>
      <c r="C297" s="106" t="s">
        <v>322</v>
      </c>
      <c r="D297" s="106" t="s">
        <v>350</v>
      </c>
      <c r="E297" s="106" t="s">
        <v>37</v>
      </c>
      <c r="F297" s="107" t="s">
        <v>579</v>
      </c>
      <c r="G297" s="106" t="s">
        <v>331</v>
      </c>
      <c r="H297" s="106" t="s">
        <v>257</v>
      </c>
      <c r="I297" s="106" t="s">
        <v>9</v>
      </c>
      <c r="J297" s="106" t="s">
        <v>231</v>
      </c>
      <c r="K297" s="106"/>
      <c r="L297" s="108">
        <v>57</v>
      </c>
      <c r="M297" s="108">
        <f>L297*VLOOKUP(I297,dagsoorttabel1,2,FALSE)</f>
        <v>57</v>
      </c>
      <c r="N297" s="109">
        <f>prodnorm80</f>
        <v>0</v>
      </c>
      <c r="O297" s="106" t="s">
        <v>105</v>
      </c>
      <c r="P297" s="28">
        <f>uurtarief80</f>
        <v>0</v>
      </c>
      <c r="Q297" s="108" t="e">
        <f>IF(ISBLANK(N297),0,M297/ROUND(N297,4))</f>
        <v>#DIV/0!</v>
      </c>
      <c r="R297" s="28" t="e">
        <f>ROUND(P297,2)*Q297</f>
        <v>#DIV/0!</v>
      </c>
      <c r="S297" s="108" t="e">
        <f>Q297*dagenperjaar1</f>
        <v>#DIV/0!</v>
      </c>
      <c r="T297" s="29" t="e">
        <f>S297*ROUND(P297,2)</f>
        <v>#DIV/0!</v>
      </c>
    </row>
    <row r="298" spans="1:20" x14ac:dyDescent="0.2">
      <c r="A298" s="105" t="s">
        <v>617</v>
      </c>
      <c r="B298" s="106" t="s">
        <v>37</v>
      </c>
      <c r="C298" s="106" t="s">
        <v>322</v>
      </c>
      <c r="D298" s="106" t="s">
        <v>351</v>
      </c>
      <c r="E298" s="106" t="s">
        <v>37</v>
      </c>
      <c r="F298" s="107" t="s">
        <v>622</v>
      </c>
      <c r="G298" s="106" t="s">
        <v>376</v>
      </c>
      <c r="H298" s="106" t="s">
        <v>273</v>
      </c>
      <c r="I298" s="106" t="s">
        <v>9</v>
      </c>
      <c r="J298" s="106" t="s">
        <v>231</v>
      </c>
      <c r="K298" s="106"/>
      <c r="L298" s="108">
        <v>5</v>
      </c>
      <c r="M298" s="108">
        <f>L298*VLOOKUP(I298,dagsoorttabel1,2,FALSE)</f>
        <v>5</v>
      </c>
      <c r="N298" s="109">
        <f>prodnorm113</f>
        <v>0</v>
      </c>
      <c r="O298" s="106" t="s">
        <v>105</v>
      </c>
      <c r="P298" s="28">
        <f>uurtarief113</f>
        <v>0</v>
      </c>
      <c r="Q298" s="108" t="e">
        <f>IF(ISBLANK(N298),0,M298/ROUND(N298,4))</f>
        <v>#DIV/0!</v>
      </c>
      <c r="R298" s="28" t="e">
        <f>ROUND(P298,2)*Q298</f>
        <v>#DIV/0!</v>
      </c>
      <c r="S298" s="108" t="e">
        <f>Q298*dagenperjaar1</f>
        <v>#DIV/0!</v>
      </c>
      <c r="T298" s="29" t="e">
        <f>S298*ROUND(P298,2)</f>
        <v>#DIV/0!</v>
      </c>
    </row>
    <row r="299" spans="1:20" x14ac:dyDescent="0.2">
      <c r="A299" s="105" t="s">
        <v>617</v>
      </c>
      <c r="B299" s="106" t="s">
        <v>37</v>
      </c>
      <c r="C299" s="106" t="s">
        <v>623</v>
      </c>
      <c r="D299" s="106" t="s">
        <v>356</v>
      </c>
      <c r="E299" s="106" t="s">
        <v>37</v>
      </c>
      <c r="F299" s="107" t="s">
        <v>624</v>
      </c>
      <c r="G299" s="106" t="s">
        <v>369</v>
      </c>
      <c r="H299" s="106" t="s">
        <v>267</v>
      </c>
      <c r="I299" s="106" t="s">
        <v>12</v>
      </c>
      <c r="J299" s="106" t="s">
        <v>231</v>
      </c>
      <c r="K299" s="106"/>
      <c r="L299" s="108">
        <v>1.5</v>
      </c>
      <c r="M299" s="108">
        <f>L299*VLOOKUP(I299,dagsoorttabel1,2,FALSE)</f>
        <v>0.60000000000000009</v>
      </c>
      <c r="N299" s="109">
        <f>prodnorm97</f>
        <v>0</v>
      </c>
      <c r="O299" s="106" t="s">
        <v>105</v>
      </c>
      <c r="P299" s="28">
        <f>uurtarief97</f>
        <v>0</v>
      </c>
      <c r="Q299" s="108" t="e">
        <f>IF(ISBLANK(N299),0,M299/ROUND(N299,4))</f>
        <v>#DIV/0!</v>
      </c>
      <c r="R299" s="28" t="e">
        <f>ROUND(P299,2)*Q299</f>
        <v>#DIV/0!</v>
      </c>
      <c r="S299" s="108" t="e">
        <f>Q299*dagenperjaar1</f>
        <v>#DIV/0!</v>
      </c>
      <c r="T299" s="29" t="e">
        <f>S299*ROUND(P299,2)</f>
        <v>#DIV/0!</v>
      </c>
    </row>
    <row r="300" spans="1:20" ht="25.5" x14ac:dyDescent="0.2">
      <c r="A300" s="105" t="s">
        <v>617</v>
      </c>
      <c r="B300" s="106" t="s">
        <v>37</v>
      </c>
      <c r="C300" s="106" t="s">
        <v>623</v>
      </c>
      <c r="D300" s="106" t="s">
        <v>357</v>
      </c>
      <c r="E300" s="106" t="s">
        <v>37</v>
      </c>
      <c r="F300" s="107" t="s">
        <v>625</v>
      </c>
      <c r="G300" s="106" t="s">
        <v>369</v>
      </c>
      <c r="H300" s="106" t="s">
        <v>267</v>
      </c>
      <c r="I300" s="106" t="s">
        <v>12</v>
      </c>
      <c r="J300" s="106" t="s">
        <v>231</v>
      </c>
      <c r="K300" s="106"/>
      <c r="L300" s="108">
        <v>12</v>
      </c>
      <c r="M300" s="108">
        <f>L300*VLOOKUP(I300,dagsoorttabel1,2,FALSE)</f>
        <v>4.8000000000000007</v>
      </c>
      <c r="N300" s="109">
        <f>prodnorm97</f>
        <v>0</v>
      </c>
      <c r="O300" s="106" t="s">
        <v>105</v>
      </c>
      <c r="P300" s="28">
        <f>uurtarief97</f>
        <v>0</v>
      </c>
      <c r="Q300" s="108" t="e">
        <f>IF(ISBLANK(N300),0,M300/ROUND(N300,4))</f>
        <v>#DIV/0!</v>
      </c>
      <c r="R300" s="28" t="e">
        <f>ROUND(P300,2)*Q300</f>
        <v>#DIV/0!</v>
      </c>
      <c r="S300" s="108" t="e">
        <f>Q300*dagenperjaar1</f>
        <v>#DIV/0!</v>
      </c>
      <c r="T300" s="29" t="e">
        <f>S300*ROUND(P300,2)</f>
        <v>#DIV/0!</v>
      </c>
    </row>
    <row r="301" spans="1:20" x14ac:dyDescent="0.2">
      <c r="A301" s="105" t="s">
        <v>617</v>
      </c>
      <c r="B301" s="106" t="s">
        <v>37</v>
      </c>
      <c r="C301" s="106" t="s">
        <v>544</v>
      </c>
      <c r="D301" s="106" t="s">
        <v>37</v>
      </c>
      <c r="E301" s="106" t="s">
        <v>37</v>
      </c>
      <c r="F301" s="107" t="s">
        <v>545</v>
      </c>
      <c r="G301" s="106" t="s">
        <v>37</v>
      </c>
      <c r="H301" s="106" t="s">
        <v>298</v>
      </c>
      <c r="I301" s="106" t="s">
        <v>12</v>
      </c>
      <c r="J301" s="106" t="s">
        <v>299</v>
      </c>
      <c r="K301" s="106"/>
      <c r="L301" s="108">
        <v>2</v>
      </c>
      <c r="M301" s="108">
        <f>L301*VLOOKUP(I301,dagsoorttabel1,2,FALSE)</f>
        <v>0.8</v>
      </c>
      <c r="N301" s="109">
        <f>prodnorm22</f>
        <v>0</v>
      </c>
      <c r="O301" s="106" t="s">
        <v>301</v>
      </c>
      <c r="P301" s="28">
        <f>uurtarief22</f>
        <v>0</v>
      </c>
      <c r="Q301" s="108">
        <f>M301*ROUND(N301,4)/60</f>
        <v>0</v>
      </c>
      <c r="R301" s="28">
        <f>ROUND(P301,2)*Q301</f>
        <v>0</v>
      </c>
      <c r="S301" s="108">
        <f>Q301*dagenperjaar1</f>
        <v>0</v>
      </c>
      <c r="T301" s="29">
        <f>S301*ROUND(P301,2)</f>
        <v>0</v>
      </c>
    </row>
    <row r="302" spans="1:20" x14ac:dyDescent="0.2">
      <c r="A302" s="110" t="s">
        <v>617</v>
      </c>
      <c r="B302" s="111" t="s">
        <v>37</v>
      </c>
      <c r="C302" s="111" t="s">
        <v>544</v>
      </c>
      <c r="D302" s="111" t="s">
        <v>37</v>
      </c>
      <c r="E302" s="111" t="s">
        <v>37</v>
      </c>
      <c r="F302" s="112" t="s">
        <v>545</v>
      </c>
      <c r="G302" s="111" t="s">
        <v>37</v>
      </c>
      <c r="H302" s="111" t="s">
        <v>302</v>
      </c>
      <c r="I302" s="111" t="s">
        <v>15</v>
      </c>
      <c r="J302" s="111" t="s">
        <v>299</v>
      </c>
      <c r="K302" s="111"/>
      <c r="L302" s="113">
        <v>1</v>
      </c>
      <c r="M302" s="113">
        <f>L302*VLOOKUP(I302,dagsoorttabel1,2,FALSE)</f>
        <v>4.7058823529411764E-2</v>
      </c>
      <c r="N302" s="114">
        <f>prodnorm24</f>
        <v>0</v>
      </c>
      <c r="O302" s="111" t="s">
        <v>301</v>
      </c>
      <c r="P302" s="38">
        <f>uurtarief24</f>
        <v>0</v>
      </c>
      <c r="Q302" s="113">
        <f>M302*ROUND(N302,4)/60</f>
        <v>0</v>
      </c>
      <c r="R302" s="38">
        <f>ROUND(P302,2)*Q302</f>
        <v>0</v>
      </c>
      <c r="S302" s="113">
        <f>Q302*dagenperjaar1</f>
        <v>0</v>
      </c>
      <c r="T302" s="39">
        <f>S302*ROUND(P302,2)</f>
        <v>0</v>
      </c>
    </row>
    <row r="303" spans="1:20" x14ac:dyDescent="0.2">
      <c r="A303" s="115" t="s">
        <v>546</v>
      </c>
      <c r="B303" s="83"/>
      <c r="C303" s="83"/>
      <c r="D303" s="83"/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5" t="e">
        <f>IF(_xlfn.SINGLE(object4_urenjaar1)&gt;0,_xlfn.SINGLE(object4_prijsjaar1)/_xlfn.SINGLE(object4_urenjaar1),0)</f>
        <v>#DIV/0!</v>
      </c>
      <c r="Q303" s="84" t="e">
        <f>SUM(Q285:Q302)</f>
        <v>#DIV/0!</v>
      </c>
      <c r="R303" s="85" t="e">
        <f>SUM(R285:R302)</f>
        <v>#DIV/0!</v>
      </c>
      <c r="S303" s="84" t="e">
        <f>SUM(S285:S302)</f>
        <v>#DIV/0!</v>
      </c>
      <c r="T303" s="86" t="e">
        <f>SUM(T285:T302)</f>
        <v>#DIV/0!</v>
      </c>
    </row>
    <row r="304" spans="1:20" x14ac:dyDescent="0.2">
      <c r="A304" s="91" t="s">
        <v>626</v>
      </c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81"/>
    </row>
    <row r="305" spans="1:20" x14ac:dyDescent="0.2">
      <c r="A305" s="98" t="s">
        <v>627</v>
      </c>
      <c r="B305" s="99" t="s">
        <v>37</v>
      </c>
      <c r="C305" s="99" t="s">
        <v>322</v>
      </c>
      <c r="D305" s="99" t="s">
        <v>326</v>
      </c>
      <c r="E305" s="99" t="s">
        <v>37</v>
      </c>
      <c r="F305" s="100" t="s">
        <v>628</v>
      </c>
      <c r="G305" s="99" t="s">
        <v>629</v>
      </c>
      <c r="H305" s="99" t="s">
        <v>290</v>
      </c>
      <c r="I305" s="99" t="s">
        <v>9</v>
      </c>
      <c r="J305" s="99" t="s">
        <v>231</v>
      </c>
      <c r="K305" s="99"/>
      <c r="L305" s="101">
        <v>8</v>
      </c>
      <c r="M305" s="101">
        <f>L305*VLOOKUP(I305,dagsoorttabel1,2,FALSE)</f>
        <v>8</v>
      </c>
      <c r="N305" s="102">
        <f>prodnorm146</f>
        <v>0</v>
      </c>
      <c r="O305" s="99" t="s">
        <v>105</v>
      </c>
      <c r="P305" s="103">
        <f>uurtarief146</f>
        <v>0</v>
      </c>
      <c r="Q305" s="101" t="e">
        <f>IF(ISBLANK(N305),0,M305/ROUND(N305,4))</f>
        <v>#DIV/0!</v>
      </c>
      <c r="R305" s="103" t="e">
        <f>ROUND(P305,2)*Q305</f>
        <v>#DIV/0!</v>
      </c>
      <c r="S305" s="101" t="e">
        <f>Q305*dagenperjaar1</f>
        <v>#DIV/0!</v>
      </c>
      <c r="T305" s="104" t="e">
        <f>S305*ROUND(P305,2)</f>
        <v>#DIV/0!</v>
      </c>
    </row>
    <row r="306" spans="1:20" x14ac:dyDescent="0.2">
      <c r="A306" s="105" t="s">
        <v>627</v>
      </c>
      <c r="B306" s="106" t="s">
        <v>37</v>
      </c>
      <c r="C306" s="106" t="s">
        <v>322</v>
      </c>
      <c r="D306" s="106" t="s">
        <v>630</v>
      </c>
      <c r="E306" s="106" t="s">
        <v>37</v>
      </c>
      <c r="F306" s="107" t="s">
        <v>631</v>
      </c>
      <c r="G306" s="106" t="s">
        <v>632</v>
      </c>
      <c r="H306" s="106" t="s">
        <v>235</v>
      </c>
      <c r="I306" s="106" t="s">
        <v>9</v>
      </c>
      <c r="J306" s="106" t="s">
        <v>231</v>
      </c>
      <c r="K306" s="106"/>
      <c r="L306" s="108">
        <v>30</v>
      </c>
      <c r="M306" s="108">
        <f>L306*VLOOKUP(I306,dagsoorttabel1,2,FALSE)</f>
        <v>30</v>
      </c>
      <c r="N306" s="109">
        <f>prodnorm39</f>
        <v>0</v>
      </c>
      <c r="O306" s="106" t="s">
        <v>105</v>
      </c>
      <c r="P306" s="28">
        <f>uurtarief39</f>
        <v>0</v>
      </c>
      <c r="Q306" s="108" t="e">
        <f>IF(ISBLANK(N306),0,M306/ROUND(N306,4))</f>
        <v>#DIV/0!</v>
      </c>
      <c r="R306" s="28" t="e">
        <f>ROUND(P306,2)*Q306</f>
        <v>#DIV/0!</v>
      </c>
      <c r="S306" s="108" t="e">
        <f>Q306*dagenperjaar1</f>
        <v>#DIV/0!</v>
      </c>
      <c r="T306" s="29" t="e">
        <f>S306*ROUND(P306,2)</f>
        <v>#DIV/0!</v>
      </c>
    </row>
    <row r="307" spans="1:20" x14ac:dyDescent="0.2">
      <c r="A307" s="105" t="s">
        <v>627</v>
      </c>
      <c r="B307" s="106" t="s">
        <v>37</v>
      </c>
      <c r="C307" s="106" t="s">
        <v>415</v>
      </c>
      <c r="D307" s="106" t="s">
        <v>416</v>
      </c>
      <c r="E307" s="106" t="s">
        <v>37</v>
      </c>
      <c r="F307" s="107" t="s">
        <v>561</v>
      </c>
      <c r="G307" s="106" t="s">
        <v>633</v>
      </c>
      <c r="H307" s="106" t="s">
        <v>273</v>
      </c>
      <c r="I307" s="106" t="s">
        <v>9</v>
      </c>
      <c r="J307" s="106" t="s">
        <v>231</v>
      </c>
      <c r="K307" s="106"/>
      <c r="L307" s="108">
        <v>2.6</v>
      </c>
      <c r="M307" s="108">
        <f>L307*VLOOKUP(I307,dagsoorttabel1,2,FALSE)</f>
        <v>2.6</v>
      </c>
      <c r="N307" s="109">
        <f>prodnorm113</f>
        <v>0</v>
      </c>
      <c r="O307" s="106" t="s">
        <v>105</v>
      </c>
      <c r="P307" s="28">
        <f>uurtarief113</f>
        <v>0</v>
      </c>
      <c r="Q307" s="108" t="e">
        <f>IF(ISBLANK(N307),0,M307/ROUND(N307,4))</f>
        <v>#DIV/0!</v>
      </c>
      <c r="R307" s="28" t="e">
        <f>ROUND(P307,2)*Q307</f>
        <v>#DIV/0!</v>
      </c>
      <c r="S307" s="108" t="e">
        <f>Q307*dagenperjaar1</f>
        <v>#DIV/0!</v>
      </c>
      <c r="T307" s="29" t="e">
        <f>S307*ROUND(P307,2)</f>
        <v>#DIV/0!</v>
      </c>
    </row>
    <row r="308" spans="1:20" x14ac:dyDescent="0.2">
      <c r="A308" s="105" t="s">
        <v>627</v>
      </c>
      <c r="B308" s="106" t="s">
        <v>37</v>
      </c>
      <c r="C308" s="106" t="s">
        <v>415</v>
      </c>
      <c r="D308" s="106" t="s">
        <v>417</v>
      </c>
      <c r="E308" s="106" t="s">
        <v>37</v>
      </c>
      <c r="F308" s="107" t="s">
        <v>337</v>
      </c>
      <c r="G308" s="106" t="s">
        <v>331</v>
      </c>
      <c r="H308" s="106" t="s">
        <v>235</v>
      </c>
      <c r="I308" s="106" t="s">
        <v>9</v>
      </c>
      <c r="J308" s="106" t="s">
        <v>231</v>
      </c>
      <c r="K308" s="106"/>
      <c r="L308" s="108">
        <v>45.1</v>
      </c>
      <c r="M308" s="108">
        <f>L308*VLOOKUP(I308,dagsoorttabel1,2,FALSE)</f>
        <v>45.1</v>
      </c>
      <c r="N308" s="109">
        <f>prodnorm39</f>
        <v>0</v>
      </c>
      <c r="O308" s="106" t="s">
        <v>105</v>
      </c>
      <c r="P308" s="28">
        <f>uurtarief39</f>
        <v>0</v>
      </c>
      <c r="Q308" s="108" t="e">
        <f>IF(ISBLANK(N308),0,M308/ROUND(N308,4))</f>
        <v>#DIV/0!</v>
      </c>
      <c r="R308" s="28" t="e">
        <f>ROUND(P308,2)*Q308</f>
        <v>#DIV/0!</v>
      </c>
      <c r="S308" s="108" t="e">
        <f>Q308*dagenperjaar1</f>
        <v>#DIV/0!</v>
      </c>
      <c r="T308" s="29" t="e">
        <f>S308*ROUND(P308,2)</f>
        <v>#DIV/0!</v>
      </c>
    </row>
    <row r="309" spans="1:20" x14ac:dyDescent="0.2">
      <c r="A309" s="105" t="s">
        <v>627</v>
      </c>
      <c r="B309" s="106" t="s">
        <v>37</v>
      </c>
      <c r="C309" s="106" t="s">
        <v>415</v>
      </c>
      <c r="D309" s="106" t="s">
        <v>419</v>
      </c>
      <c r="E309" s="106" t="s">
        <v>37</v>
      </c>
      <c r="F309" s="107" t="s">
        <v>579</v>
      </c>
      <c r="G309" s="106" t="s">
        <v>331</v>
      </c>
      <c r="H309" s="106" t="s">
        <v>257</v>
      </c>
      <c r="I309" s="106" t="s">
        <v>9</v>
      </c>
      <c r="J309" s="106" t="s">
        <v>231</v>
      </c>
      <c r="K309" s="106"/>
      <c r="L309" s="108">
        <v>19.7</v>
      </c>
      <c r="M309" s="108">
        <f>L309*VLOOKUP(I309,dagsoorttabel1,2,FALSE)</f>
        <v>19.7</v>
      </c>
      <c r="N309" s="109">
        <f>prodnorm80</f>
        <v>0</v>
      </c>
      <c r="O309" s="106" t="s">
        <v>105</v>
      </c>
      <c r="P309" s="28">
        <f>uurtarief80</f>
        <v>0</v>
      </c>
      <c r="Q309" s="108" t="e">
        <f>IF(ISBLANK(N309),0,M309/ROUND(N309,4))</f>
        <v>#DIV/0!</v>
      </c>
      <c r="R309" s="28" t="e">
        <f>ROUND(P309,2)*Q309</f>
        <v>#DIV/0!</v>
      </c>
      <c r="S309" s="108" t="e">
        <f>Q309*dagenperjaar1</f>
        <v>#DIV/0!</v>
      </c>
      <c r="T309" s="29" t="e">
        <f>S309*ROUND(P309,2)</f>
        <v>#DIV/0!</v>
      </c>
    </row>
    <row r="310" spans="1:20" x14ac:dyDescent="0.2">
      <c r="A310" s="105" t="s">
        <v>627</v>
      </c>
      <c r="B310" s="106" t="s">
        <v>37</v>
      </c>
      <c r="C310" s="106" t="s">
        <v>415</v>
      </c>
      <c r="D310" s="106" t="s">
        <v>634</v>
      </c>
      <c r="E310" s="106" t="s">
        <v>37</v>
      </c>
      <c r="F310" s="107" t="s">
        <v>635</v>
      </c>
      <c r="G310" s="106" t="s">
        <v>369</v>
      </c>
      <c r="H310" s="106" t="s">
        <v>267</v>
      </c>
      <c r="I310" s="106" t="s">
        <v>9</v>
      </c>
      <c r="J310" s="106" t="s">
        <v>231</v>
      </c>
      <c r="K310" s="106"/>
      <c r="L310" s="108">
        <v>1.3</v>
      </c>
      <c r="M310" s="108">
        <f>L310*VLOOKUP(I310,dagsoorttabel1,2,FALSE)</f>
        <v>1.3</v>
      </c>
      <c r="N310" s="109">
        <f>prodnorm101</f>
        <v>0</v>
      </c>
      <c r="O310" s="106" t="s">
        <v>105</v>
      </c>
      <c r="P310" s="28">
        <f>uurtarief101</f>
        <v>0</v>
      </c>
      <c r="Q310" s="108" t="e">
        <f>IF(ISBLANK(N310),0,M310/ROUND(N310,4))</f>
        <v>#DIV/0!</v>
      </c>
      <c r="R310" s="28" t="e">
        <f>ROUND(P310,2)*Q310</f>
        <v>#DIV/0!</v>
      </c>
      <c r="S310" s="108" t="e">
        <f>Q310*dagenperjaar1</f>
        <v>#DIV/0!</v>
      </c>
      <c r="T310" s="29" t="e">
        <f>S310*ROUND(P310,2)</f>
        <v>#DIV/0!</v>
      </c>
    </row>
    <row r="311" spans="1:20" x14ac:dyDescent="0.2">
      <c r="A311" s="105" t="s">
        <v>627</v>
      </c>
      <c r="B311" s="106" t="s">
        <v>37</v>
      </c>
      <c r="C311" s="106" t="s">
        <v>415</v>
      </c>
      <c r="D311" s="106" t="s">
        <v>636</v>
      </c>
      <c r="E311" s="106" t="s">
        <v>37</v>
      </c>
      <c r="F311" s="107" t="s">
        <v>637</v>
      </c>
      <c r="G311" s="106" t="s">
        <v>369</v>
      </c>
      <c r="H311" s="106" t="s">
        <v>267</v>
      </c>
      <c r="I311" s="106" t="s">
        <v>9</v>
      </c>
      <c r="J311" s="106" t="s">
        <v>231</v>
      </c>
      <c r="K311" s="106"/>
      <c r="L311" s="108">
        <v>1.3</v>
      </c>
      <c r="M311" s="108">
        <f>L311*VLOOKUP(I311,dagsoorttabel1,2,FALSE)</f>
        <v>1.3</v>
      </c>
      <c r="N311" s="109">
        <f>prodnorm101</f>
        <v>0</v>
      </c>
      <c r="O311" s="106" t="s">
        <v>105</v>
      </c>
      <c r="P311" s="28">
        <f>uurtarief101</f>
        <v>0</v>
      </c>
      <c r="Q311" s="108" t="e">
        <f>IF(ISBLANK(N311),0,M311/ROUND(N311,4))</f>
        <v>#DIV/0!</v>
      </c>
      <c r="R311" s="28" t="e">
        <f>ROUND(P311,2)*Q311</f>
        <v>#DIV/0!</v>
      </c>
      <c r="S311" s="108" t="e">
        <f>Q311*dagenperjaar1</f>
        <v>#DIV/0!</v>
      </c>
      <c r="T311" s="29" t="e">
        <f>S311*ROUND(P311,2)</f>
        <v>#DIV/0!</v>
      </c>
    </row>
    <row r="312" spans="1:20" x14ac:dyDescent="0.2">
      <c r="A312" s="105" t="s">
        <v>627</v>
      </c>
      <c r="B312" s="106" t="s">
        <v>37</v>
      </c>
      <c r="C312" s="106" t="s">
        <v>415</v>
      </c>
      <c r="D312" s="106" t="s">
        <v>638</v>
      </c>
      <c r="E312" s="106" t="s">
        <v>37</v>
      </c>
      <c r="F312" s="107" t="s">
        <v>639</v>
      </c>
      <c r="G312" s="106" t="s">
        <v>369</v>
      </c>
      <c r="H312" s="106" t="s">
        <v>267</v>
      </c>
      <c r="I312" s="106" t="s">
        <v>9</v>
      </c>
      <c r="J312" s="106" t="s">
        <v>231</v>
      </c>
      <c r="K312" s="106"/>
      <c r="L312" s="108">
        <v>1.3</v>
      </c>
      <c r="M312" s="108">
        <f>L312*VLOOKUP(I312,dagsoorttabel1,2,FALSE)</f>
        <v>1.3</v>
      </c>
      <c r="N312" s="109">
        <f>prodnorm101</f>
        <v>0</v>
      </c>
      <c r="O312" s="106" t="s">
        <v>105</v>
      </c>
      <c r="P312" s="28">
        <f>uurtarief101</f>
        <v>0</v>
      </c>
      <c r="Q312" s="108" t="e">
        <f>IF(ISBLANK(N312),0,M312/ROUND(N312,4))</f>
        <v>#DIV/0!</v>
      </c>
      <c r="R312" s="28" t="e">
        <f>ROUND(P312,2)*Q312</f>
        <v>#DIV/0!</v>
      </c>
      <c r="S312" s="108" t="e">
        <f>Q312*dagenperjaar1</f>
        <v>#DIV/0!</v>
      </c>
      <c r="T312" s="29" t="e">
        <f>S312*ROUND(P312,2)</f>
        <v>#DIV/0!</v>
      </c>
    </row>
    <row r="313" spans="1:20" x14ac:dyDescent="0.2">
      <c r="A313" s="105" t="s">
        <v>627</v>
      </c>
      <c r="B313" s="106" t="s">
        <v>37</v>
      </c>
      <c r="C313" s="106" t="s">
        <v>415</v>
      </c>
      <c r="D313" s="106" t="s">
        <v>421</v>
      </c>
      <c r="E313" s="106" t="s">
        <v>37</v>
      </c>
      <c r="F313" s="107" t="s">
        <v>640</v>
      </c>
      <c r="G313" s="106" t="s">
        <v>369</v>
      </c>
      <c r="H313" s="106" t="s">
        <v>267</v>
      </c>
      <c r="I313" s="106" t="s">
        <v>12</v>
      </c>
      <c r="J313" s="106" t="s">
        <v>231</v>
      </c>
      <c r="K313" s="106"/>
      <c r="L313" s="108">
        <v>9.1</v>
      </c>
      <c r="M313" s="108">
        <f>L313*VLOOKUP(I313,dagsoorttabel1,2,FALSE)</f>
        <v>3.64</v>
      </c>
      <c r="N313" s="109">
        <f>prodnorm97</f>
        <v>0</v>
      </c>
      <c r="O313" s="106" t="s">
        <v>105</v>
      </c>
      <c r="P313" s="28">
        <f>uurtarief97</f>
        <v>0</v>
      </c>
      <c r="Q313" s="108" t="e">
        <f>IF(ISBLANK(N313),0,M313/ROUND(N313,4))</f>
        <v>#DIV/0!</v>
      </c>
      <c r="R313" s="28" t="e">
        <f>ROUND(P313,2)*Q313</f>
        <v>#DIV/0!</v>
      </c>
      <c r="S313" s="108" t="e">
        <f>Q313*dagenperjaar1</f>
        <v>#DIV/0!</v>
      </c>
      <c r="T313" s="29" t="e">
        <f>S313*ROUND(P313,2)</f>
        <v>#DIV/0!</v>
      </c>
    </row>
    <row r="314" spans="1:20" x14ac:dyDescent="0.2">
      <c r="A314" s="105" t="s">
        <v>627</v>
      </c>
      <c r="B314" s="106" t="s">
        <v>37</v>
      </c>
      <c r="C314" s="106" t="s">
        <v>415</v>
      </c>
      <c r="D314" s="106" t="s">
        <v>424</v>
      </c>
      <c r="E314" s="106" t="s">
        <v>37</v>
      </c>
      <c r="F314" s="107" t="s">
        <v>561</v>
      </c>
      <c r="G314" s="106" t="s">
        <v>633</v>
      </c>
      <c r="H314" s="106" t="s">
        <v>273</v>
      </c>
      <c r="I314" s="106" t="s">
        <v>9</v>
      </c>
      <c r="J314" s="106" t="s">
        <v>231</v>
      </c>
      <c r="K314" s="106"/>
      <c r="L314" s="108">
        <v>45</v>
      </c>
      <c r="M314" s="108">
        <f>L314*VLOOKUP(I314,dagsoorttabel1,2,FALSE)</f>
        <v>45</v>
      </c>
      <c r="N314" s="109">
        <f>prodnorm113</f>
        <v>0</v>
      </c>
      <c r="O314" s="106" t="s">
        <v>105</v>
      </c>
      <c r="P314" s="28">
        <f>uurtarief113</f>
        <v>0</v>
      </c>
      <c r="Q314" s="108" t="e">
        <f>IF(ISBLANK(N314),0,M314/ROUND(N314,4))</f>
        <v>#DIV/0!</v>
      </c>
      <c r="R314" s="28" t="e">
        <f>ROUND(P314,2)*Q314</f>
        <v>#DIV/0!</v>
      </c>
      <c r="S314" s="108" t="e">
        <f>Q314*dagenperjaar1</f>
        <v>#DIV/0!</v>
      </c>
      <c r="T314" s="29" t="e">
        <f>S314*ROUND(P314,2)</f>
        <v>#DIV/0!</v>
      </c>
    </row>
    <row r="315" spans="1:20" x14ac:dyDescent="0.2">
      <c r="A315" s="105" t="s">
        <v>627</v>
      </c>
      <c r="B315" s="106" t="s">
        <v>37</v>
      </c>
      <c r="C315" s="106" t="s">
        <v>415</v>
      </c>
      <c r="D315" s="106" t="s">
        <v>641</v>
      </c>
      <c r="E315" s="106" t="s">
        <v>37</v>
      </c>
      <c r="F315" s="107" t="s">
        <v>642</v>
      </c>
      <c r="G315" s="106" t="s">
        <v>643</v>
      </c>
      <c r="H315" s="106" t="s">
        <v>273</v>
      </c>
      <c r="I315" s="106" t="s">
        <v>9</v>
      </c>
      <c r="J315" s="106" t="s">
        <v>231</v>
      </c>
      <c r="K315" s="106"/>
      <c r="L315" s="108">
        <v>1.4</v>
      </c>
      <c r="M315" s="108">
        <f>L315*VLOOKUP(I315,dagsoorttabel1,2,FALSE)</f>
        <v>1.4</v>
      </c>
      <c r="N315" s="109">
        <f>prodnorm113</f>
        <v>0</v>
      </c>
      <c r="O315" s="106" t="s">
        <v>105</v>
      </c>
      <c r="P315" s="28">
        <f>uurtarief113</f>
        <v>0</v>
      </c>
      <c r="Q315" s="108" t="e">
        <f>IF(ISBLANK(N315),0,M315/ROUND(N315,4))</f>
        <v>#DIV/0!</v>
      </c>
      <c r="R315" s="28" t="e">
        <f>ROUND(P315,2)*Q315</f>
        <v>#DIV/0!</v>
      </c>
      <c r="S315" s="108" t="e">
        <f>Q315*dagenperjaar1</f>
        <v>#DIV/0!</v>
      </c>
      <c r="T315" s="29" t="e">
        <f>S315*ROUND(P315,2)</f>
        <v>#DIV/0!</v>
      </c>
    </row>
    <row r="316" spans="1:20" x14ac:dyDescent="0.2">
      <c r="A316" s="105" t="s">
        <v>627</v>
      </c>
      <c r="B316" s="106" t="s">
        <v>37</v>
      </c>
      <c r="C316" s="106" t="s">
        <v>415</v>
      </c>
      <c r="D316" s="106" t="s">
        <v>425</v>
      </c>
      <c r="E316" s="106" t="s">
        <v>37</v>
      </c>
      <c r="F316" s="107" t="s">
        <v>561</v>
      </c>
      <c r="G316" s="106" t="s">
        <v>644</v>
      </c>
      <c r="H316" s="106" t="s">
        <v>273</v>
      </c>
      <c r="I316" s="106" t="s">
        <v>9</v>
      </c>
      <c r="J316" s="106" t="s">
        <v>231</v>
      </c>
      <c r="K316" s="106"/>
      <c r="L316" s="108">
        <v>19.899999999999999</v>
      </c>
      <c r="M316" s="108">
        <f>L316*VLOOKUP(I316,dagsoorttabel1,2,FALSE)</f>
        <v>19.899999999999999</v>
      </c>
      <c r="N316" s="109">
        <f>prodnorm113</f>
        <v>0</v>
      </c>
      <c r="O316" s="106" t="s">
        <v>105</v>
      </c>
      <c r="P316" s="28">
        <f>uurtarief113</f>
        <v>0</v>
      </c>
      <c r="Q316" s="108" t="e">
        <f>IF(ISBLANK(N316),0,M316/ROUND(N316,4))</f>
        <v>#DIV/0!</v>
      </c>
      <c r="R316" s="28" t="e">
        <f>ROUND(P316,2)*Q316</f>
        <v>#DIV/0!</v>
      </c>
      <c r="S316" s="108" t="e">
        <f>Q316*dagenperjaar1</f>
        <v>#DIV/0!</v>
      </c>
      <c r="T316" s="29" t="e">
        <f>S316*ROUND(P316,2)</f>
        <v>#DIV/0!</v>
      </c>
    </row>
    <row r="317" spans="1:20" x14ac:dyDescent="0.2">
      <c r="A317" s="105" t="s">
        <v>627</v>
      </c>
      <c r="B317" s="106" t="s">
        <v>37</v>
      </c>
      <c r="C317" s="106" t="s">
        <v>415</v>
      </c>
      <c r="D317" s="106" t="s">
        <v>426</v>
      </c>
      <c r="E317" s="106" t="s">
        <v>37</v>
      </c>
      <c r="F317" s="107" t="s">
        <v>592</v>
      </c>
      <c r="G317" s="106" t="s">
        <v>644</v>
      </c>
      <c r="H317" s="106" t="s">
        <v>279</v>
      </c>
      <c r="I317" s="106" t="s">
        <v>9</v>
      </c>
      <c r="J317" s="106" t="s">
        <v>231</v>
      </c>
      <c r="K317" s="106"/>
      <c r="L317" s="108">
        <v>7.4</v>
      </c>
      <c r="M317" s="108">
        <f>L317*VLOOKUP(I317,dagsoorttabel1,2,FALSE)</f>
        <v>7.4</v>
      </c>
      <c r="N317" s="109">
        <f>prodnorm124</f>
        <v>0</v>
      </c>
      <c r="O317" s="106" t="s">
        <v>105</v>
      </c>
      <c r="P317" s="28">
        <f>uurtarief124</f>
        <v>0</v>
      </c>
      <c r="Q317" s="108" t="e">
        <f>IF(ISBLANK(N317),0,M317/ROUND(N317,4))</f>
        <v>#DIV/0!</v>
      </c>
      <c r="R317" s="28" t="e">
        <f>ROUND(P317,2)*Q317</f>
        <v>#DIV/0!</v>
      </c>
      <c r="S317" s="108" t="e">
        <f>Q317*dagenperjaar1</f>
        <v>#DIV/0!</v>
      </c>
      <c r="T317" s="29" t="e">
        <f>S317*ROUND(P317,2)</f>
        <v>#DIV/0!</v>
      </c>
    </row>
    <row r="318" spans="1:20" x14ac:dyDescent="0.2">
      <c r="A318" s="105" t="s">
        <v>627</v>
      </c>
      <c r="B318" s="106" t="s">
        <v>37</v>
      </c>
      <c r="C318" s="106" t="s">
        <v>415</v>
      </c>
      <c r="D318" s="106" t="s">
        <v>427</v>
      </c>
      <c r="E318" s="106" t="s">
        <v>37</v>
      </c>
      <c r="F318" s="107" t="s">
        <v>561</v>
      </c>
      <c r="G318" s="106" t="s">
        <v>644</v>
      </c>
      <c r="H318" s="106" t="s">
        <v>273</v>
      </c>
      <c r="I318" s="106" t="s">
        <v>9</v>
      </c>
      <c r="J318" s="106" t="s">
        <v>231</v>
      </c>
      <c r="K318" s="106"/>
      <c r="L318" s="108">
        <v>7.4</v>
      </c>
      <c r="M318" s="108">
        <f>L318*VLOOKUP(I318,dagsoorttabel1,2,FALSE)</f>
        <v>7.4</v>
      </c>
      <c r="N318" s="109">
        <f>prodnorm113</f>
        <v>0</v>
      </c>
      <c r="O318" s="106" t="s">
        <v>105</v>
      </c>
      <c r="P318" s="28">
        <f>uurtarief113</f>
        <v>0</v>
      </c>
      <c r="Q318" s="108" t="e">
        <f>IF(ISBLANK(N318),0,M318/ROUND(N318,4))</f>
        <v>#DIV/0!</v>
      </c>
      <c r="R318" s="28" t="e">
        <f>ROUND(P318,2)*Q318</f>
        <v>#DIV/0!</v>
      </c>
      <c r="S318" s="108" t="e">
        <f>Q318*dagenperjaar1</f>
        <v>#DIV/0!</v>
      </c>
      <c r="T318" s="29" t="e">
        <f>S318*ROUND(P318,2)</f>
        <v>#DIV/0!</v>
      </c>
    </row>
    <row r="319" spans="1:20" x14ac:dyDescent="0.2">
      <c r="A319" s="105" t="s">
        <v>627</v>
      </c>
      <c r="B319" s="106" t="s">
        <v>37</v>
      </c>
      <c r="C319" s="106" t="s">
        <v>415</v>
      </c>
      <c r="D319" s="106" t="s">
        <v>430</v>
      </c>
      <c r="E319" s="106" t="s">
        <v>37</v>
      </c>
      <c r="F319" s="107" t="s">
        <v>393</v>
      </c>
      <c r="G319" s="106" t="s">
        <v>644</v>
      </c>
      <c r="H319" s="106" t="s">
        <v>235</v>
      </c>
      <c r="I319" s="106" t="s">
        <v>9</v>
      </c>
      <c r="J319" s="106" t="s">
        <v>231</v>
      </c>
      <c r="K319" s="106"/>
      <c r="L319" s="108">
        <v>21.5</v>
      </c>
      <c r="M319" s="108">
        <f>L319*VLOOKUP(I319,dagsoorttabel1,2,FALSE)</f>
        <v>21.5</v>
      </c>
      <c r="N319" s="109">
        <f>prodnorm39</f>
        <v>0</v>
      </c>
      <c r="O319" s="106" t="s">
        <v>105</v>
      </c>
      <c r="P319" s="28">
        <f>uurtarief39</f>
        <v>0</v>
      </c>
      <c r="Q319" s="108" t="e">
        <f>IF(ISBLANK(N319),0,M319/ROUND(N319,4))</f>
        <v>#DIV/0!</v>
      </c>
      <c r="R319" s="28" t="e">
        <f>ROUND(P319,2)*Q319</f>
        <v>#DIV/0!</v>
      </c>
      <c r="S319" s="108" t="e">
        <f>Q319*dagenperjaar1</f>
        <v>#DIV/0!</v>
      </c>
      <c r="T319" s="29" t="e">
        <f>S319*ROUND(P319,2)</f>
        <v>#DIV/0!</v>
      </c>
    </row>
    <row r="320" spans="1:20" x14ac:dyDescent="0.2">
      <c r="A320" s="105" t="s">
        <v>627</v>
      </c>
      <c r="B320" s="106" t="s">
        <v>37</v>
      </c>
      <c r="C320" s="106" t="s">
        <v>415</v>
      </c>
      <c r="D320" s="106" t="s">
        <v>431</v>
      </c>
      <c r="E320" s="106" t="s">
        <v>37</v>
      </c>
      <c r="F320" s="107" t="s">
        <v>645</v>
      </c>
      <c r="G320" s="106" t="s">
        <v>644</v>
      </c>
      <c r="H320" s="106" t="s">
        <v>235</v>
      </c>
      <c r="I320" s="106" t="s">
        <v>9</v>
      </c>
      <c r="J320" s="106" t="s">
        <v>231</v>
      </c>
      <c r="K320" s="106"/>
      <c r="L320" s="108">
        <v>60.7</v>
      </c>
      <c r="M320" s="108">
        <f>L320*VLOOKUP(I320,dagsoorttabel1,2,FALSE)</f>
        <v>60.7</v>
      </c>
      <c r="N320" s="109">
        <f>prodnorm39</f>
        <v>0</v>
      </c>
      <c r="O320" s="106" t="s">
        <v>105</v>
      </c>
      <c r="P320" s="28">
        <f>uurtarief39</f>
        <v>0</v>
      </c>
      <c r="Q320" s="108" t="e">
        <f>IF(ISBLANK(N320),0,M320/ROUND(N320,4))</f>
        <v>#DIV/0!</v>
      </c>
      <c r="R320" s="28" t="e">
        <f>ROUND(P320,2)*Q320</f>
        <v>#DIV/0!</v>
      </c>
      <c r="S320" s="108" t="e">
        <f>Q320*dagenperjaar1</f>
        <v>#DIV/0!</v>
      </c>
      <c r="T320" s="29" t="e">
        <f>S320*ROUND(P320,2)</f>
        <v>#DIV/0!</v>
      </c>
    </row>
    <row r="321" spans="1:20" x14ac:dyDescent="0.2">
      <c r="A321" s="105" t="s">
        <v>627</v>
      </c>
      <c r="B321" s="106" t="s">
        <v>37</v>
      </c>
      <c r="C321" s="106" t="s">
        <v>544</v>
      </c>
      <c r="D321" s="106" t="s">
        <v>37</v>
      </c>
      <c r="E321" s="106" t="s">
        <v>37</v>
      </c>
      <c r="F321" s="107" t="s">
        <v>545</v>
      </c>
      <c r="G321" s="106" t="s">
        <v>37</v>
      </c>
      <c r="H321" s="106" t="s">
        <v>298</v>
      </c>
      <c r="I321" s="106" t="s">
        <v>13</v>
      </c>
      <c r="J321" s="106" t="s">
        <v>299</v>
      </c>
      <c r="K321" s="106"/>
      <c r="L321" s="108">
        <v>1</v>
      </c>
      <c r="M321" s="108">
        <f>L321*VLOOKUP(I321,dagsoorttabel1,2,FALSE)</f>
        <v>0.2</v>
      </c>
      <c r="N321" s="109">
        <f>prodnorm21</f>
        <v>0</v>
      </c>
      <c r="O321" s="106" t="s">
        <v>301</v>
      </c>
      <c r="P321" s="28">
        <f>uurtarief21</f>
        <v>0</v>
      </c>
      <c r="Q321" s="108">
        <f>M321*ROUND(N321,4)/60</f>
        <v>0</v>
      </c>
      <c r="R321" s="28">
        <f>ROUND(P321,2)*Q321</f>
        <v>0</v>
      </c>
      <c r="S321" s="108">
        <f>Q321*dagenperjaar1</f>
        <v>0</v>
      </c>
      <c r="T321" s="29">
        <f>S321*ROUND(P321,2)</f>
        <v>0</v>
      </c>
    </row>
    <row r="322" spans="1:20" x14ac:dyDescent="0.2">
      <c r="A322" s="110" t="s">
        <v>627</v>
      </c>
      <c r="B322" s="111" t="s">
        <v>37</v>
      </c>
      <c r="C322" s="111" t="s">
        <v>544</v>
      </c>
      <c r="D322" s="111" t="s">
        <v>37</v>
      </c>
      <c r="E322" s="111" t="s">
        <v>37</v>
      </c>
      <c r="F322" s="112" t="s">
        <v>545</v>
      </c>
      <c r="G322" s="111" t="s">
        <v>37</v>
      </c>
      <c r="H322" s="111" t="s">
        <v>302</v>
      </c>
      <c r="I322" s="111" t="s">
        <v>15</v>
      </c>
      <c r="J322" s="111" t="s">
        <v>299</v>
      </c>
      <c r="K322" s="111"/>
      <c r="L322" s="113">
        <v>1</v>
      </c>
      <c r="M322" s="113">
        <f>L322*VLOOKUP(I322,dagsoorttabel1,2,FALSE)</f>
        <v>4.7058823529411764E-2</v>
      </c>
      <c r="N322" s="114">
        <f>prodnorm24</f>
        <v>0</v>
      </c>
      <c r="O322" s="111" t="s">
        <v>301</v>
      </c>
      <c r="P322" s="38">
        <f>uurtarief24</f>
        <v>0</v>
      </c>
      <c r="Q322" s="113">
        <f>M322*ROUND(N322,4)/60</f>
        <v>0</v>
      </c>
      <c r="R322" s="38">
        <f>ROUND(P322,2)*Q322</f>
        <v>0</v>
      </c>
      <c r="S322" s="113">
        <f>Q322*dagenperjaar1</f>
        <v>0</v>
      </c>
      <c r="T322" s="39">
        <f>S322*ROUND(P322,2)</f>
        <v>0</v>
      </c>
    </row>
    <row r="323" spans="1:20" x14ac:dyDescent="0.2">
      <c r="A323" s="115" t="s">
        <v>546</v>
      </c>
      <c r="B323" s="83"/>
      <c r="C323" s="83"/>
      <c r="D323" s="83"/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5" t="e">
        <f>IF(_xlfn.SINGLE(object5_urenjaar1)&gt;0,_xlfn.SINGLE(object5_prijsjaar1)/_xlfn.SINGLE(object5_urenjaar1),0)</f>
        <v>#DIV/0!</v>
      </c>
      <c r="Q323" s="84" t="e">
        <f>SUM(Q305:Q322)</f>
        <v>#DIV/0!</v>
      </c>
      <c r="R323" s="85" t="e">
        <f>SUM(R305:R322)</f>
        <v>#DIV/0!</v>
      </c>
      <c r="S323" s="84" t="e">
        <f>SUM(S305:S322)</f>
        <v>#DIV/0!</v>
      </c>
      <c r="T323" s="86" t="e">
        <f>SUM(T305:T322)</f>
        <v>#DIV/0!</v>
      </c>
    </row>
    <row r="324" spans="1:20" x14ac:dyDescent="0.2">
      <c r="A324" s="91" t="s">
        <v>646</v>
      </c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81"/>
    </row>
    <row r="325" spans="1:20" x14ac:dyDescent="0.2">
      <c r="A325" s="98" t="s">
        <v>647</v>
      </c>
      <c r="B325" s="99" t="s">
        <v>37</v>
      </c>
      <c r="C325" s="99" t="s">
        <v>322</v>
      </c>
      <c r="D325" s="99" t="s">
        <v>323</v>
      </c>
      <c r="E325" s="99" t="s">
        <v>37</v>
      </c>
      <c r="F325" s="100" t="s">
        <v>592</v>
      </c>
      <c r="G325" s="99" t="s">
        <v>331</v>
      </c>
      <c r="H325" s="99" t="s">
        <v>279</v>
      </c>
      <c r="I325" s="99" t="s">
        <v>12</v>
      </c>
      <c r="J325" s="99" t="s">
        <v>231</v>
      </c>
      <c r="K325" s="99"/>
      <c r="L325" s="101">
        <v>1.6</v>
      </c>
      <c r="M325" s="101">
        <f>L325*VLOOKUP(I325,dagsoorttabel1,2,FALSE)</f>
        <v>0.64000000000000012</v>
      </c>
      <c r="N325" s="102">
        <f>prodnorm122</f>
        <v>0</v>
      </c>
      <c r="O325" s="99" t="s">
        <v>105</v>
      </c>
      <c r="P325" s="103">
        <f>uurtarief122</f>
        <v>0</v>
      </c>
      <c r="Q325" s="101" t="e">
        <f>IF(ISBLANK(N325),0,M325/ROUND(N325,4))</f>
        <v>#DIV/0!</v>
      </c>
      <c r="R325" s="103" t="e">
        <f>ROUND(P325,2)*Q325</f>
        <v>#DIV/0!</v>
      </c>
      <c r="S325" s="101" t="e">
        <f>Q325*dagenperjaar1</f>
        <v>#DIV/0!</v>
      </c>
      <c r="T325" s="104" t="e">
        <f>S325*ROUND(P325,2)</f>
        <v>#DIV/0!</v>
      </c>
    </row>
    <row r="326" spans="1:20" x14ac:dyDescent="0.2">
      <c r="A326" s="105" t="s">
        <v>647</v>
      </c>
      <c r="B326" s="106" t="s">
        <v>37</v>
      </c>
      <c r="C326" s="106" t="s">
        <v>322</v>
      </c>
      <c r="D326" s="106" t="s">
        <v>326</v>
      </c>
      <c r="E326" s="106" t="s">
        <v>37</v>
      </c>
      <c r="F326" s="107" t="s">
        <v>393</v>
      </c>
      <c r="G326" s="106" t="s">
        <v>331</v>
      </c>
      <c r="H326" s="106" t="s">
        <v>235</v>
      </c>
      <c r="I326" s="106" t="s">
        <v>12</v>
      </c>
      <c r="J326" s="106" t="s">
        <v>231</v>
      </c>
      <c r="K326" s="106"/>
      <c r="L326" s="108">
        <v>13.6</v>
      </c>
      <c r="M326" s="108">
        <f>L326*VLOOKUP(I326,dagsoorttabel1,2,FALSE)</f>
        <v>5.44</v>
      </c>
      <c r="N326" s="109">
        <f>prodnorm37</f>
        <v>0</v>
      </c>
      <c r="O326" s="106" t="s">
        <v>105</v>
      </c>
      <c r="P326" s="28">
        <f>uurtarief37</f>
        <v>0</v>
      </c>
      <c r="Q326" s="108" t="e">
        <f>IF(ISBLANK(N326),0,M326/ROUND(N326,4))</f>
        <v>#DIV/0!</v>
      </c>
      <c r="R326" s="28" t="e">
        <f>ROUND(P326,2)*Q326</f>
        <v>#DIV/0!</v>
      </c>
      <c r="S326" s="108" t="e">
        <f>Q326*dagenperjaar1</f>
        <v>#DIV/0!</v>
      </c>
      <c r="T326" s="29" t="e">
        <f>S326*ROUND(P326,2)</f>
        <v>#DIV/0!</v>
      </c>
    </row>
    <row r="327" spans="1:20" x14ac:dyDescent="0.2">
      <c r="A327" s="105" t="s">
        <v>647</v>
      </c>
      <c r="B327" s="106" t="s">
        <v>37</v>
      </c>
      <c r="C327" s="106" t="s">
        <v>322</v>
      </c>
      <c r="D327" s="106" t="s">
        <v>329</v>
      </c>
      <c r="E327" s="106" t="s">
        <v>37</v>
      </c>
      <c r="F327" s="107" t="s">
        <v>615</v>
      </c>
      <c r="G327" s="106" t="s">
        <v>331</v>
      </c>
      <c r="H327" s="106" t="s">
        <v>267</v>
      </c>
      <c r="I327" s="106" t="s">
        <v>12</v>
      </c>
      <c r="J327" s="106" t="s">
        <v>231</v>
      </c>
      <c r="K327" s="106"/>
      <c r="L327" s="108">
        <v>1.3</v>
      </c>
      <c r="M327" s="108">
        <f>L327*VLOOKUP(I327,dagsoorttabel1,2,FALSE)</f>
        <v>0.52</v>
      </c>
      <c r="N327" s="109">
        <f>prodnorm97</f>
        <v>0</v>
      </c>
      <c r="O327" s="106" t="s">
        <v>105</v>
      </c>
      <c r="P327" s="28">
        <f>uurtarief97</f>
        <v>0</v>
      </c>
      <c r="Q327" s="108" t="e">
        <f>IF(ISBLANK(N327),0,M327/ROUND(N327,4))</f>
        <v>#DIV/0!</v>
      </c>
      <c r="R327" s="28" t="e">
        <f>ROUND(P327,2)*Q327</f>
        <v>#DIV/0!</v>
      </c>
      <c r="S327" s="108" t="e">
        <f>Q327*dagenperjaar1</f>
        <v>#DIV/0!</v>
      </c>
      <c r="T327" s="29" t="e">
        <f>S327*ROUND(P327,2)</f>
        <v>#DIV/0!</v>
      </c>
    </row>
    <row r="328" spans="1:20" x14ac:dyDescent="0.2">
      <c r="A328" s="110" t="s">
        <v>647</v>
      </c>
      <c r="B328" s="111" t="s">
        <v>37</v>
      </c>
      <c r="C328" s="111" t="s">
        <v>322</v>
      </c>
      <c r="D328" s="111" t="s">
        <v>332</v>
      </c>
      <c r="E328" s="111" t="s">
        <v>37</v>
      </c>
      <c r="F328" s="112" t="s">
        <v>648</v>
      </c>
      <c r="G328" s="111" t="s">
        <v>331</v>
      </c>
      <c r="H328" s="111" t="s">
        <v>235</v>
      </c>
      <c r="I328" s="111" t="s">
        <v>12</v>
      </c>
      <c r="J328" s="111" t="s">
        <v>231</v>
      </c>
      <c r="K328" s="111"/>
      <c r="L328" s="113">
        <v>8.3000000000000007</v>
      </c>
      <c r="M328" s="113">
        <f>L328*VLOOKUP(I328,dagsoorttabel1,2,FALSE)</f>
        <v>3.3200000000000003</v>
      </c>
      <c r="N328" s="114">
        <f>prodnorm37</f>
        <v>0</v>
      </c>
      <c r="O328" s="111" t="s">
        <v>105</v>
      </c>
      <c r="P328" s="38">
        <f>uurtarief37</f>
        <v>0</v>
      </c>
      <c r="Q328" s="113" t="e">
        <f>IF(ISBLANK(N328),0,M328/ROUND(N328,4))</f>
        <v>#DIV/0!</v>
      </c>
      <c r="R328" s="38" t="e">
        <f>ROUND(P328,2)*Q328</f>
        <v>#DIV/0!</v>
      </c>
      <c r="S328" s="113" t="e">
        <f>Q328*dagenperjaar1</f>
        <v>#DIV/0!</v>
      </c>
      <c r="T328" s="39" t="e">
        <f>S328*ROUND(P328,2)</f>
        <v>#DIV/0!</v>
      </c>
    </row>
    <row r="329" spans="1:20" x14ac:dyDescent="0.2">
      <c r="A329" s="115" t="s">
        <v>546</v>
      </c>
      <c r="B329" s="83"/>
      <c r="C329" s="83"/>
      <c r="D329" s="83"/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5" t="e">
        <f>IF(_xlfn.SINGLE(object6_urenjaar1)&gt;0,_xlfn.SINGLE(object6_prijsjaar1)/_xlfn.SINGLE(object6_urenjaar1),0)</f>
        <v>#DIV/0!</v>
      </c>
      <c r="Q329" s="84" t="e">
        <f>SUM(Q325:Q328)</f>
        <v>#DIV/0!</v>
      </c>
      <c r="R329" s="85" t="e">
        <f>SUM(R325:R328)</f>
        <v>#DIV/0!</v>
      </c>
      <c r="S329" s="84" t="e">
        <f>SUM(S325:S328)</f>
        <v>#DIV/0!</v>
      </c>
      <c r="T329" s="86" t="e">
        <f>SUM(T325:T328)</f>
        <v>#DIV/0!</v>
      </c>
    </row>
    <row r="330" spans="1:20" x14ac:dyDescent="0.2">
      <c r="A330" s="91" t="s">
        <v>649</v>
      </c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81"/>
    </row>
    <row r="331" spans="1:20" x14ac:dyDescent="0.2">
      <c r="A331" s="98" t="s">
        <v>650</v>
      </c>
      <c r="B331" s="99" t="s">
        <v>37</v>
      </c>
      <c r="C331" s="99" t="s">
        <v>322</v>
      </c>
      <c r="D331" s="99" t="s">
        <v>323</v>
      </c>
      <c r="E331" s="99" t="s">
        <v>37</v>
      </c>
      <c r="F331" s="100" t="s">
        <v>603</v>
      </c>
      <c r="G331" s="99" t="s">
        <v>632</v>
      </c>
      <c r="H331" s="99" t="s">
        <v>245</v>
      </c>
      <c r="I331" s="99" t="s">
        <v>9</v>
      </c>
      <c r="J331" s="99" t="s">
        <v>231</v>
      </c>
      <c r="K331" s="99"/>
      <c r="L331" s="101">
        <v>43</v>
      </c>
      <c r="M331" s="101">
        <f>L331*VLOOKUP(I331,dagsoorttabel1,2,FALSE)</f>
        <v>43</v>
      </c>
      <c r="N331" s="102">
        <f>prodnorm53</f>
        <v>0</v>
      </c>
      <c r="O331" s="99" t="s">
        <v>105</v>
      </c>
      <c r="P331" s="103">
        <f>uurtarief53</f>
        <v>0</v>
      </c>
      <c r="Q331" s="101" t="e">
        <f>IF(ISBLANK(N331),0,M331/ROUND(N331,4))</f>
        <v>#DIV/0!</v>
      </c>
      <c r="R331" s="103" t="e">
        <f>ROUND(P331,2)*Q331</f>
        <v>#DIV/0!</v>
      </c>
      <c r="S331" s="101" t="e">
        <f>Q331*dagenperjaar1</f>
        <v>#DIV/0!</v>
      </c>
      <c r="T331" s="104" t="e">
        <f>S331*ROUND(P331,2)</f>
        <v>#DIV/0!</v>
      </c>
    </row>
    <row r="332" spans="1:20" x14ac:dyDescent="0.2">
      <c r="A332" s="110" t="s">
        <v>650</v>
      </c>
      <c r="B332" s="111" t="s">
        <v>37</v>
      </c>
      <c r="C332" s="111" t="s">
        <v>322</v>
      </c>
      <c r="D332" s="111" t="s">
        <v>326</v>
      </c>
      <c r="E332" s="111" t="s">
        <v>37</v>
      </c>
      <c r="F332" s="112" t="s">
        <v>615</v>
      </c>
      <c r="G332" s="111" t="s">
        <v>632</v>
      </c>
      <c r="H332" s="111" t="s">
        <v>267</v>
      </c>
      <c r="I332" s="111" t="s">
        <v>9</v>
      </c>
      <c r="J332" s="111" t="s">
        <v>231</v>
      </c>
      <c r="K332" s="111"/>
      <c r="L332" s="113">
        <v>2</v>
      </c>
      <c r="M332" s="113">
        <f>L332*VLOOKUP(I332,dagsoorttabel1,2,FALSE)</f>
        <v>2</v>
      </c>
      <c r="N332" s="114">
        <f>prodnorm101</f>
        <v>0</v>
      </c>
      <c r="O332" s="111" t="s">
        <v>105</v>
      </c>
      <c r="P332" s="38">
        <f>uurtarief101</f>
        <v>0</v>
      </c>
      <c r="Q332" s="113" t="e">
        <f>IF(ISBLANK(N332),0,M332/ROUND(N332,4))</f>
        <v>#DIV/0!</v>
      </c>
      <c r="R332" s="38" t="e">
        <f>ROUND(P332,2)*Q332</f>
        <v>#DIV/0!</v>
      </c>
      <c r="S332" s="113" t="e">
        <f>Q332*dagenperjaar1</f>
        <v>#DIV/0!</v>
      </c>
      <c r="T332" s="39" t="e">
        <f>S332*ROUND(P332,2)</f>
        <v>#DIV/0!</v>
      </c>
    </row>
    <row r="333" spans="1:20" x14ac:dyDescent="0.2">
      <c r="A333" s="115" t="s">
        <v>546</v>
      </c>
      <c r="B333" s="83"/>
      <c r="C333" s="83"/>
      <c r="D333" s="83"/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5" t="e">
        <f>IF(_xlfn.SINGLE(object7_urenjaar1)&gt;0,_xlfn.SINGLE(object7_prijsjaar1)/_xlfn.SINGLE(object7_urenjaar1),0)</f>
        <v>#DIV/0!</v>
      </c>
      <c r="Q333" s="84" t="e">
        <f>SUM(Q331:Q332)</f>
        <v>#DIV/0!</v>
      </c>
      <c r="R333" s="85" t="e">
        <f>SUM(R331:R332)</f>
        <v>#DIV/0!</v>
      </c>
      <c r="S333" s="84" t="e">
        <f>SUM(S331:S332)</f>
        <v>#DIV/0!</v>
      </c>
      <c r="T333" s="86" t="e">
        <f>SUM(T331:T332)</f>
        <v>#DIV/0!</v>
      </c>
    </row>
    <row r="334" spans="1:20" x14ac:dyDescent="0.2">
      <c r="A334" s="91" t="s">
        <v>651</v>
      </c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81"/>
    </row>
    <row r="335" spans="1:20" x14ac:dyDescent="0.2">
      <c r="A335" s="98" t="s">
        <v>652</v>
      </c>
      <c r="B335" s="99" t="s">
        <v>37</v>
      </c>
      <c r="C335" s="99" t="s">
        <v>322</v>
      </c>
      <c r="D335" s="99" t="s">
        <v>323</v>
      </c>
      <c r="E335" s="99" t="s">
        <v>37</v>
      </c>
      <c r="F335" s="100" t="s">
        <v>307</v>
      </c>
      <c r="G335" s="99" t="s">
        <v>331</v>
      </c>
      <c r="H335" s="99" t="s">
        <v>235</v>
      </c>
      <c r="I335" s="99" t="s">
        <v>13</v>
      </c>
      <c r="J335" s="99" t="s">
        <v>231</v>
      </c>
      <c r="K335" s="99"/>
      <c r="L335" s="101">
        <v>34.1</v>
      </c>
      <c r="M335" s="101">
        <f>L335*VLOOKUP(I335,dagsoorttabel1,2,FALSE)</f>
        <v>6.82</v>
      </c>
      <c r="N335" s="102">
        <f>prodnorm35</f>
        <v>0</v>
      </c>
      <c r="O335" s="99" t="s">
        <v>105</v>
      </c>
      <c r="P335" s="103">
        <f>uurtarief35</f>
        <v>0</v>
      </c>
      <c r="Q335" s="101" t="e">
        <f>IF(ISBLANK(N335),0,M335/ROUND(N335,4))</f>
        <v>#DIV/0!</v>
      </c>
      <c r="R335" s="103" t="e">
        <f>ROUND(P335,2)*Q335</f>
        <v>#DIV/0!</v>
      </c>
      <c r="S335" s="101" t="e">
        <f>Q335*dagenperjaar1</f>
        <v>#DIV/0!</v>
      </c>
      <c r="T335" s="104" t="e">
        <f>S335*ROUND(P335,2)</f>
        <v>#DIV/0!</v>
      </c>
    </row>
    <row r="336" spans="1:20" x14ac:dyDescent="0.2">
      <c r="A336" s="105" t="s">
        <v>652</v>
      </c>
      <c r="B336" s="106" t="s">
        <v>37</v>
      </c>
      <c r="C336" s="106" t="s">
        <v>322</v>
      </c>
      <c r="D336" s="106" t="s">
        <v>326</v>
      </c>
      <c r="E336" s="106" t="s">
        <v>37</v>
      </c>
      <c r="F336" s="107" t="s">
        <v>621</v>
      </c>
      <c r="G336" s="106" t="s">
        <v>331</v>
      </c>
      <c r="H336" s="106" t="s">
        <v>249</v>
      </c>
      <c r="I336" s="106" t="s">
        <v>13</v>
      </c>
      <c r="J336" s="106" t="s">
        <v>231</v>
      </c>
      <c r="K336" s="106"/>
      <c r="L336" s="108">
        <v>7.5</v>
      </c>
      <c r="M336" s="108">
        <f>L336*VLOOKUP(I336,dagsoorttabel1,2,FALSE)</f>
        <v>1.5</v>
      </c>
      <c r="N336" s="109">
        <f>prodnorm55</f>
        <v>0</v>
      </c>
      <c r="O336" s="106" t="s">
        <v>105</v>
      </c>
      <c r="P336" s="28">
        <f>uurtarief55</f>
        <v>0</v>
      </c>
      <c r="Q336" s="108" t="e">
        <f>IF(ISBLANK(N336),0,M336/ROUND(N336,4))</f>
        <v>#DIV/0!</v>
      </c>
      <c r="R336" s="28" t="e">
        <f>ROUND(P336,2)*Q336</f>
        <v>#DIV/0!</v>
      </c>
      <c r="S336" s="108" t="e">
        <f>Q336*dagenperjaar1</f>
        <v>#DIV/0!</v>
      </c>
      <c r="T336" s="29" t="e">
        <f>S336*ROUND(P336,2)</f>
        <v>#DIV/0!</v>
      </c>
    </row>
    <row r="337" spans="1:20" x14ac:dyDescent="0.2">
      <c r="A337" s="105" t="s">
        <v>652</v>
      </c>
      <c r="B337" s="106" t="s">
        <v>37</v>
      </c>
      <c r="C337" s="106" t="s">
        <v>322</v>
      </c>
      <c r="D337" s="106" t="s">
        <v>329</v>
      </c>
      <c r="E337" s="106" t="s">
        <v>37</v>
      </c>
      <c r="F337" s="107" t="s">
        <v>653</v>
      </c>
      <c r="G337" s="106" t="s">
        <v>369</v>
      </c>
      <c r="H337" s="106" t="s">
        <v>257</v>
      </c>
      <c r="I337" s="106" t="s">
        <v>13</v>
      </c>
      <c r="J337" s="106" t="s">
        <v>231</v>
      </c>
      <c r="K337" s="106"/>
      <c r="L337" s="108">
        <v>9.8000000000000007</v>
      </c>
      <c r="M337" s="108">
        <f>L337*VLOOKUP(I337,dagsoorttabel1,2,FALSE)</f>
        <v>1.9600000000000002</v>
      </c>
      <c r="N337" s="109">
        <f>prodnorm74</f>
        <v>0</v>
      </c>
      <c r="O337" s="106" t="s">
        <v>105</v>
      </c>
      <c r="P337" s="28">
        <f>uurtarief74</f>
        <v>0</v>
      </c>
      <c r="Q337" s="108" t="e">
        <f>IF(ISBLANK(N337),0,M337/ROUND(N337,4))</f>
        <v>#DIV/0!</v>
      </c>
      <c r="R337" s="28" t="e">
        <f>ROUND(P337,2)*Q337</f>
        <v>#DIV/0!</v>
      </c>
      <c r="S337" s="108" t="e">
        <f>Q337*dagenperjaar1</f>
        <v>#DIV/0!</v>
      </c>
      <c r="T337" s="29" t="e">
        <f>S337*ROUND(P337,2)</f>
        <v>#DIV/0!</v>
      </c>
    </row>
    <row r="338" spans="1:20" x14ac:dyDescent="0.2">
      <c r="A338" s="105" t="s">
        <v>652</v>
      </c>
      <c r="B338" s="106" t="s">
        <v>37</v>
      </c>
      <c r="C338" s="106" t="s">
        <v>322</v>
      </c>
      <c r="D338" s="106" t="s">
        <v>332</v>
      </c>
      <c r="E338" s="106" t="s">
        <v>37</v>
      </c>
      <c r="F338" s="107" t="s">
        <v>615</v>
      </c>
      <c r="G338" s="106" t="s">
        <v>369</v>
      </c>
      <c r="H338" s="106" t="s">
        <v>267</v>
      </c>
      <c r="I338" s="106" t="s">
        <v>13</v>
      </c>
      <c r="J338" s="106" t="s">
        <v>231</v>
      </c>
      <c r="K338" s="106"/>
      <c r="L338" s="108">
        <v>4.9000000000000004</v>
      </c>
      <c r="M338" s="108">
        <f>L338*VLOOKUP(I338,dagsoorttabel1,2,FALSE)</f>
        <v>0.98000000000000009</v>
      </c>
      <c r="N338" s="109">
        <f>prodnorm94</f>
        <v>0</v>
      </c>
      <c r="O338" s="106" t="s">
        <v>105</v>
      </c>
      <c r="P338" s="28">
        <f>uurtarief94</f>
        <v>0</v>
      </c>
      <c r="Q338" s="108" t="e">
        <f>IF(ISBLANK(N338),0,M338/ROUND(N338,4))</f>
        <v>#DIV/0!</v>
      </c>
      <c r="R338" s="28" t="e">
        <f>ROUND(P338,2)*Q338</f>
        <v>#DIV/0!</v>
      </c>
      <c r="S338" s="108" t="e">
        <f>Q338*dagenperjaar1</f>
        <v>#DIV/0!</v>
      </c>
      <c r="T338" s="29" t="e">
        <f>S338*ROUND(P338,2)</f>
        <v>#DIV/0!</v>
      </c>
    </row>
    <row r="339" spans="1:20" x14ac:dyDescent="0.2">
      <c r="A339" s="105" t="s">
        <v>652</v>
      </c>
      <c r="B339" s="106" t="s">
        <v>37</v>
      </c>
      <c r="C339" s="106" t="s">
        <v>322</v>
      </c>
      <c r="D339" s="106" t="s">
        <v>334</v>
      </c>
      <c r="E339" s="106" t="s">
        <v>37</v>
      </c>
      <c r="F339" s="107" t="s">
        <v>592</v>
      </c>
      <c r="G339" s="106" t="s">
        <v>620</v>
      </c>
      <c r="H339" s="106" t="s">
        <v>281</v>
      </c>
      <c r="I339" s="106" t="s">
        <v>13</v>
      </c>
      <c r="J339" s="106" t="s">
        <v>231</v>
      </c>
      <c r="K339" s="106"/>
      <c r="L339" s="108">
        <v>2</v>
      </c>
      <c r="M339" s="108">
        <f>L339*VLOOKUP(I339,dagsoorttabel1,2,FALSE)</f>
        <v>0.4</v>
      </c>
      <c r="N339" s="109">
        <f>prodnorm125</f>
        <v>0</v>
      </c>
      <c r="O339" s="106" t="s">
        <v>105</v>
      </c>
      <c r="P339" s="28">
        <f>uurtarief125</f>
        <v>0</v>
      </c>
      <c r="Q339" s="108" t="e">
        <f>IF(ISBLANK(N339),0,M339/ROUND(N339,4))</f>
        <v>#DIV/0!</v>
      </c>
      <c r="R339" s="28" t="e">
        <f>ROUND(P339,2)*Q339</f>
        <v>#DIV/0!</v>
      </c>
      <c r="S339" s="108" t="e">
        <f>Q339*dagenperjaar1</f>
        <v>#DIV/0!</v>
      </c>
      <c r="T339" s="29" t="e">
        <f>S339*ROUND(P339,2)</f>
        <v>#DIV/0!</v>
      </c>
    </row>
    <row r="340" spans="1:20" x14ac:dyDescent="0.2">
      <c r="A340" s="105" t="s">
        <v>652</v>
      </c>
      <c r="B340" s="106" t="s">
        <v>37</v>
      </c>
      <c r="C340" s="106" t="s">
        <v>322</v>
      </c>
      <c r="D340" s="106" t="s">
        <v>336</v>
      </c>
      <c r="E340" s="106" t="s">
        <v>37</v>
      </c>
      <c r="F340" s="107" t="s">
        <v>454</v>
      </c>
      <c r="G340" s="106" t="s">
        <v>369</v>
      </c>
      <c r="H340" s="106" t="s">
        <v>273</v>
      </c>
      <c r="I340" s="106" t="s">
        <v>13</v>
      </c>
      <c r="J340" s="106" t="s">
        <v>231</v>
      </c>
      <c r="K340" s="106"/>
      <c r="L340" s="108">
        <v>19.399999999999999</v>
      </c>
      <c r="M340" s="108">
        <f>L340*VLOOKUP(I340,dagsoorttabel1,2,FALSE)</f>
        <v>3.88</v>
      </c>
      <c r="N340" s="109">
        <f>prodnorm106</f>
        <v>0</v>
      </c>
      <c r="O340" s="106" t="s">
        <v>105</v>
      </c>
      <c r="P340" s="28">
        <f>uurtarief106</f>
        <v>0</v>
      </c>
      <c r="Q340" s="108" t="e">
        <f>IF(ISBLANK(N340),0,M340/ROUND(N340,4))</f>
        <v>#DIV/0!</v>
      </c>
      <c r="R340" s="28" t="e">
        <f>ROUND(P340,2)*Q340</f>
        <v>#DIV/0!</v>
      </c>
      <c r="S340" s="108" t="e">
        <f>Q340*dagenperjaar1</f>
        <v>#DIV/0!</v>
      </c>
      <c r="T340" s="29" t="e">
        <f>S340*ROUND(P340,2)</f>
        <v>#DIV/0!</v>
      </c>
    </row>
    <row r="341" spans="1:20" x14ac:dyDescent="0.2">
      <c r="A341" s="105" t="s">
        <v>652</v>
      </c>
      <c r="B341" s="106" t="s">
        <v>37</v>
      </c>
      <c r="C341" s="106" t="s">
        <v>322</v>
      </c>
      <c r="D341" s="106" t="s">
        <v>338</v>
      </c>
      <c r="E341" s="106" t="s">
        <v>37</v>
      </c>
      <c r="F341" s="107" t="s">
        <v>654</v>
      </c>
      <c r="G341" s="106" t="s">
        <v>358</v>
      </c>
      <c r="H341" s="106" t="s">
        <v>290</v>
      </c>
      <c r="I341" s="106" t="s">
        <v>13</v>
      </c>
      <c r="J341" s="106" t="s">
        <v>231</v>
      </c>
      <c r="K341" s="106"/>
      <c r="L341" s="108">
        <v>1</v>
      </c>
      <c r="M341" s="108">
        <f>L341*VLOOKUP(I341,dagsoorttabel1,2,FALSE)</f>
        <v>0.2</v>
      </c>
      <c r="N341" s="109">
        <f>prodnorm140</f>
        <v>0</v>
      </c>
      <c r="O341" s="106" t="s">
        <v>105</v>
      </c>
      <c r="P341" s="28">
        <f>uurtarief140</f>
        <v>0</v>
      </c>
      <c r="Q341" s="108" t="e">
        <f>IF(ISBLANK(N341),0,M341/ROUND(N341,4))</f>
        <v>#DIV/0!</v>
      </c>
      <c r="R341" s="28" t="e">
        <f>ROUND(P341,2)*Q341</f>
        <v>#DIV/0!</v>
      </c>
      <c r="S341" s="108" t="e">
        <f>Q341*dagenperjaar1</f>
        <v>#DIV/0!</v>
      </c>
      <c r="T341" s="29" t="e">
        <f>S341*ROUND(P341,2)</f>
        <v>#DIV/0!</v>
      </c>
    </row>
    <row r="342" spans="1:20" x14ac:dyDescent="0.2">
      <c r="A342" s="110" t="s">
        <v>652</v>
      </c>
      <c r="B342" s="111" t="s">
        <v>37</v>
      </c>
      <c r="C342" s="111" t="s">
        <v>544</v>
      </c>
      <c r="D342" s="111" t="s">
        <v>37</v>
      </c>
      <c r="E342" s="111" t="s">
        <v>37</v>
      </c>
      <c r="F342" s="112" t="s">
        <v>545</v>
      </c>
      <c r="G342" s="111" t="s">
        <v>37</v>
      </c>
      <c r="H342" s="111" t="s">
        <v>302</v>
      </c>
      <c r="I342" s="111" t="s">
        <v>15</v>
      </c>
      <c r="J342" s="111" t="s">
        <v>299</v>
      </c>
      <c r="K342" s="111"/>
      <c r="L342" s="113">
        <v>0</v>
      </c>
      <c r="M342" s="113">
        <f>L342*VLOOKUP(I342,dagsoorttabel1,2,FALSE)</f>
        <v>0</v>
      </c>
      <c r="N342" s="114"/>
      <c r="O342" s="111" t="s">
        <v>301</v>
      </c>
      <c r="P342" s="38"/>
      <c r="Q342" s="113">
        <f>M342*ROUND(N342,4)/60</f>
        <v>0</v>
      </c>
      <c r="R342" s="38">
        <f>ROUND(P342,2)*Q342</f>
        <v>0</v>
      </c>
      <c r="S342" s="113">
        <f>Q342*dagenperjaar1</f>
        <v>0</v>
      </c>
      <c r="T342" s="39">
        <f>S342*ROUND(P342,2)</f>
        <v>0</v>
      </c>
    </row>
    <row r="343" spans="1:20" x14ac:dyDescent="0.2">
      <c r="A343" s="115" t="s">
        <v>546</v>
      </c>
      <c r="B343" s="83"/>
      <c r="C343" s="83"/>
      <c r="D343" s="83"/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5" t="e">
        <f>IF(_xlfn.SINGLE(object8_urenjaar1)&gt;0,_xlfn.SINGLE(object8_prijsjaar1)/_xlfn.SINGLE(object8_urenjaar1),0)</f>
        <v>#DIV/0!</v>
      </c>
      <c r="Q343" s="84" t="e">
        <f>SUM(Q335:Q342)</f>
        <v>#DIV/0!</v>
      </c>
      <c r="R343" s="85" t="e">
        <f>SUM(R335:R342)</f>
        <v>#DIV/0!</v>
      </c>
      <c r="S343" s="84" t="e">
        <f>SUM(S335:S342)</f>
        <v>#DIV/0!</v>
      </c>
      <c r="T343" s="86" t="e">
        <f>SUM(T335:T342)</f>
        <v>#DIV/0!</v>
      </c>
    </row>
    <row r="344" spans="1:20" x14ac:dyDescent="0.2">
      <c r="A344" s="91" t="s">
        <v>655</v>
      </c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81"/>
    </row>
    <row r="345" spans="1:20" x14ac:dyDescent="0.2">
      <c r="A345" s="98" t="s">
        <v>656</v>
      </c>
      <c r="B345" s="99" t="s">
        <v>37</v>
      </c>
      <c r="C345" s="99" t="s">
        <v>322</v>
      </c>
      <c r="D345" s="99" t="s">
        <v>323</v>
      </c>
      <c r="E345" s="99" t="s">
        <v>37</v>
      </c>
      <c r="F345" s="100" t="s">
        <v>618</v>
      </c>
      <c r="G345" s="99" t="s">
        <v>331</v>
      </c>
      <c r="H345" s="99" t="s">
        <v>235</v>
      </c>
      <c r="I345" s="99" t="s">
        <v>13</v>
      </c>
      <c r="J345" s="99" t="s">
        <v>231</v>
      </c>
      <c r="K345" s="99"/>
      <c r="L345" s="101">
        <v>18</v>
      </c>
      <c r="M345" s="101">
        <f>L345*VLOOKUP(I345,dagsoorttabel1,2,FALSE)</f>
        <v>3.6</v>
      </c>
      <c r="N345" s="102">
        <f>prodnorm35</f>
        <v>0</v>
      </c>
      <c r="O345" s="99" t="s">
        <v>105</v>
      </c>
      <c r="P345" s="103">
        <f>uurtarief35</f>
        <v>0</v>
      </c>
      <c r="Q345" s="101" t="e">
        <f>IF(ISBLANK(N345),0,M345/ROUND(N345,4))</f>
        <v>#DIV/0!</v>
      </c>
      <c r="R345" s="103" t="e">
        <f>ROUND(P345,2)*Q345</f>
        <v>#DIV/0!</v>
      </c>
      <c r="S345" s="101" t="e">
        <f>Q345*dagenperjaar1</f>
        <v>#DIV/0!</v>
      </c>
      <c r="T345" s="104" t="e">
        <f>S345*ROUND(P345,2)</f>
        <v>#DIV/0!</v>
      </c>
    </row>
    <row r="346" spans="1:20" x14ac:dyDescent="0.2">
      <c r="A346" s="105" t="s">
        <v>656</v>
      </c>
      <c r="B346" s="106" t="s">
        <v>37</v>
      </c>
      <c r="C346" s="106" t="s">
        <v>322</v>
      </c>
      <c r="D346" s="106" t="s">
        <v>326</v>
      </c>
      <c r="E346" s="106" t="s">
        <v>37</v>
      </c>
      <c r="F346" s="107" t="s">
        <v>355</v>
      </c>
      <c r="G346" s="106" t="s">
        <v>331</v>
      </c>
      <c r="H346" s="106" t="s">
        <v>255</v>
      </c>
      <c r="I346" s="106" t="s">
        <v>13</v>
      </c>
      <c r="J346" s="106" t="s">
        <v>231</v>
      </c>
      <c r="K346" s="106"/>
      <c r="L346" s="108">
        <v>9</v>
      </c>
      <c r="M346" s="108">
        <f>L346*VLOOKUP(I346,dagsoorttabel1,2,FALSE)</f>
        <v>1.8</v>
      </c>
      <c r="N346" s="109">
        <f>prodnorm69</f>
        <v>0</v>
      </c>
      <c r="O346" s="106" t="s">
        <v>105</v>
      </c>
      <c r="P346" s="28">
        <f>uurtarief69</f>
        <v>0</v>
      </c>
      <c r="Q346" s="108" t="e">
        <f>IF(ISBLANK(N346),0,M346/ROUND(N346,4))</f>
        <v>#DIV/0!</v>
      </c>
      <c r="R346" s="28" t="e">
        <f>ROUND(P346,2)*Q346</f>
        <v>#DIV/0!</v>
      </c>
      <c r="S346" s="108" t="e">
        <f>Q346*dagenperjaar1</f>
        <v>#DIV/0!</v>
      </c>
      <c r="T346" s="29" t="e">
        <f>S346*ROUND(P346,2)</f>
        <v>#DIV/0!</v>
      </c>
    </row>
    <row r="347" spans="1:20" x14ac:dyDescent="0.2">
      <c r="A347" s="105" t="s">
        <v>656</v>
      </c>
      <c r="B347" s="106" t="s">
        <v>37</v>
      </c>
      <c r="C347" s="106" t="s">
        <v>322</v>
      </c>
      <c r="D347" s="106" t="s">
        <v>329</v>
      </c>
      <c r="E347" s="106" t="s">
        <v>37</v>
      </c>
      <c r="F347" s="107" t="s">
        <v>561</v>
      </c>
      <c r="G347" s="106" t="s">
        <v>331</v>
      </c>
      <c r="H347" s="106" t="s">
        <v>273</v>
      </c>
      <c r="I347" s="106" t="s">
        <v>13</v>
      </c>
      <c r="J347" s="106" t="s">
        <v>231</v>
      </c>
      <c r="K347" s="106"/>
      <c r="L347" s="108">
        <v>7</v>
      </c>
      <c r="M347" s="108">
        <f>L347*VLOOKUP(I347,dagsoorttabel1,2,FALSE)</f>
        <v>1.4000000000000001</v>
      </c>
      <c r="N347" s="109">
        <f>prodnorm106</f>
        <v>0</v>
      </c>
      <c r="O347" s="106" t="s">
        <v>105</v>
      </c>
      <c r="P347" s="28">
        <f>uurtarief106</f>
        <v>0</v>
      </c>
      <c r="Q347" s="108" t="e">
        <f>IF(ISBLANK(N347),0,M347/ROUND(N347,4))</f>
        <v>#DIV/0!</v>
      </c>
      <c r="R347" s="28" t="e">
        <f>ROUND(P347,2)*Q347</f>
        <v>#DIV/0!</v>
      </c>
      <c r="S347" s="108" t="e">
        <f>Q347*dagenperjaar1</f>
        <v>#DIV/0!</v>
      </c>
      <c r="T347" s="29" t="e">
        <f>S347*ROUND(P347,2)</f>
        <v>#DIV/0!</v>
      </c>
    </row>
    <row r="348" spans="1:20" x14ac:dyDescent="0.2">
      <c r="A348" s="105" t="s">
        <v>656</v>
      </c>
      <c r="B348" s="106" t="s">
        <v>37</v>
      </c>
      <c r="C348" s="106" t="s">
        <v>322</v>
      </c>
      <c r="D348" s="106" t="s">
        <v>332</v>
      </c>
      <c r="E348" s="106" t="s">
        <v>37</v>
      </c>
      <c r="F348" s="107" t="s">
        <v>657</v>
      </c>
      <c r="G348" s="106" t="s">
        <v>331</v>
      </c>
      <c r="H348" s="106" t="s">
        <v>267</v>
      </c>
      <c r="I348" s="106" t="s">
        <v>13</v>
      </c>
      <c r="J348" s="106" t="s">
        <v>231</v>
      </c>
      <c r="K348" s="106"/>
      <c r="L348" s="108">
        <v>2</v>
      </c>
      <c r="M348" s="108">
        <f>L348*VLOOKUP(I348,dagsoorttabel1,2,FALSE)</f>
        <v>0.4</v>
      </c>
      <c r="N348" s="109">
        <f>prodnorm94</f>
        <v>0</v>
      </c>
      <c r="O348" s="106" t="s">
        <v>105</v>
      </c>
      <c r="P348" s="28">
        <f>uurtarief94</f>
        <v>0</v>
      </c>
      <c r="Q348" s="108" t="e">
        <f>IF(ISBLANK(N348),0,M348/ROUND(N348,4))</f>
        <v>#DIV/0!</v>
      </c>
      <c r="R348" s="28" t="e">
        <f>ROUND(P348,2)*Q348</f>
        <v>#DIV/0!</v>
      </c>
      <c r="S348" s="108" t="e">
        <f>Q348*dagenperjaar1</f>
        <v>#DIV/0!</v>
      </c>
      <c r="T348" s="29" t="e">
        <f>S348*ROUND(P348,2)</f>
        <v>#DIV/0!</v>
      </c>
    </row>
    <row r="349" spans="1:20" x14ac:dyDescent="0.2">
      <c r="A349" s="105" t="s">
        <v>656</v>
      </c>
      <c r="B349" s="106" t="s">
        <v>37</v>
      </c>
      <c r="C349" s="106" t="s">
        <v>322</v>
      </c>
      <c r="D349" s="106" t="s">
        <v>334</v>
      </c>
      <c r="E349" s="106" t="s">
        <v>37</v>
      </c>
      <c r="F349" s="107" t="s">
        <v>621</v>
      </c>
      <c r="G349" s="106" t="s">
        <v>331</v>
      </c>
      <c r="H349" s="106" t="s">
        <v>249</v>
      </c>
      <c r="I349" s="106" t="s">
        <v>13</v>
      </c>
      <c r="J349" s="106" t="s">
        <v>231</v>
      </c>
      <c r="K349" s="106"/>
      <c r="L349" s="108">
        <v>19</v>
      </c>
      <c r="M349" s="108">
        <f>L349*VLOOKUP(I349,dagsoorttabel1,2,FALSE)</f>
        <v>3.8000000000000003</v>
      </c>
      <c r="N349" s="109">
        <f>prodnorm55</f>
        <v>0</v>
      </c>
      <c r="O349" s="106" t="s">
        <v>105</v>
      </c>
      <c r="P349" s="28">
        <f>uurtarief55</f>
        <v>0</v>
      </c>
      <c r="Q349" s="108" t="e">
        <f>IF(ISBLANK(N349),0,M349/ROUND(N349,4))</f>
        <v>#DIV/0!</v>
      </c>
      <c r="R349" s="28" t="e">
        <f>ROUND(P349,2)*Q349</f>
        <v>#DIV/0!</v>
      </c>
      <c r="S349" s="108" t="e">
        <f>Q349*dagenperjaar1</f>
        <v>#DIV/0!</v>
      </c>
      <c r="T349" s="29" t="e">
        <f>S349*ROUND(P349,2)</f>
        <v>#DIV/0!</v>
      </c>
    </row>
    <row r="350" spans="1:20" x14ac:dyDescent="0.2">
      <c r="A350" s="110" t="s">
        <v>656</v>
      </c>
      <c r="B350" s="111" t="s">
        <v>37</v>
      </c>
      <c r="C350" s="111" t="s">
        <v>544</v>
      </c>
      <c r="D350" s="111" t="s">
        <v>37</v>
      </c>
      <c r="E350" s="111" t="s">
        <v>37</v>
      </c>
      <c r="F350" s="112" t="s">
        <v>545</v>
      </c>
      <c r="G350" s="111" t="s">
        <v>37</v>
      </c>
      <c r="H350" s="111" t="s">
        <v>302</v>
      </c>
      <c r="I350" s="111" t="s">
        <v>15</v>
      </c>
      <c r="J350" s="111" t="s">
        <v>299</v>
      </c>
      <c r="K350" s="111"/>
      <c r="L350" s="113">
        <v>1</v>
      </c>
      <c r="M350" s="113">
        <f>L350*VLOOKUP(I350,dagsoorttabel1,2,FALSE)</f>
        <v>4.7058823529411764E-2</v>
      </c>
      <c r="N350" s="114">
        <f>prodnorm24</f>
        <v>0</v>
      </c>
      <c r="O350" s="111" t="s">
        <v>301</v>
      </c>
      <c r="P350" s="38">
        <f>uurtarief24</f>
        <v>0</v>
      </c>
      <c r="Q350" s="113">
        <f>M350*ROUND(N350,4)/60</f>
        <v>0</v>
      </c>
      <c r="R350" s="38">
        <f>ROUND(P350,2)*Q350</f>
        <v>0</v>
      </c>
      <c r="S350" s="113">
        <f>Q350*dagenperjaar1</f>
        <v>0</v>
      </c>
      <c r="T350" s="39">
        <f>S350*ROUND(P350,2)</f>
        <v>0</v>
      </c>
    </row>
    <row r="351" spans="1:20" x14ac:dyDescent="0.2">
      <c r="A351" s="115" t="s">
        <v>546</v>
      </c>
      <c r="B351" s="83"/>
      <c r="C351" s="83"/>
      <c r="D351" s="83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5" t="e">
        <f>IF(_xlfn.SINGLE(object9_urenjaar1)&gt;0,_xlfn.SINGLE(object9_prijsjaar1)/_xlfn.SINGLE(object9_urenjaar1),0)</f>
        <v>#DIV/0!</v>
      </c>
      <c r="Q351" s="84" t="e">
        <f>SUM(Q345:Q350)</f>
        <v>#DIV/0!</v>
      </c>
      <c r="R351" s="85" t="e">
        <f>SUM(R345:R350)</f>
        <v>#DIV/0!</v>
      </c>
      <c r="S351" s="84" t="e">
        <f>SUM(S345:S350)</f>
        <v>#DIV/0!</v>
      </c>
      <c r="T351" s="86" t="e">
        <f>SUM(T345:T350)</f>
        <v>#DIV/0!</v>
      </c>
    </row>
    <row r="352" spans="1:20" x14ac:dyDescent="0.2">
      <c r="A352" s="91" t="s">
        <v>658</v>
      </c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81"/>
    </row>
    <row r="353" spans="1:20" x14ac:dyDescent="0.2">
      <c r="A353" s="98" t="s">
        <v>659</v>
      </c>
      <c r="B353" s="99" t="s">
        <v>37</v>
      </c>
      <c r="C353" s="99" t="s">
        <v>322</v>
      </c>
      <c r="D353" s="99" t="s">
        <v>323</v>
      </c>
      <c r="E353" s="99" t="s">
        <v>37</v>
      </c>
      <c r="F353" s="100" t="s">
        <v>592</v>
      </c>
      <c r="G353" s="99" t="s">
        <v>593</v>
      </c>
      <c r="H353" s="99" t="s">
        <v>281</v>
      </c>
      <c r="I353" s="99" t="s">
        <v>9</v>
      </c>
      <c r="J353" s="99" t="s">
        <v>231</v>
      </c>
      <c r="K353" s="99"/>
      <c r="L353" s="101">
        <v>1</v>
      </c>
      <c r="M353" s="101">
        <f>L353*VLOOKUP(I353,dagsoorttabel1,2,FALSE)</f>
        <v>1</v>
      </c>
      <c r="N353" s="102">
        <f>prodnorm129</f>
        <v>0</v>
      </c>
      <c r="O353" s="99" t="s">
        <v>105</v>
      </c>
      <c r="P353" s="103">
        <f>uurtarief129</f>
        <v>0</v>
      </c>
      <c r="Q353" s="101" t="e">
        <f>IF(ISBLANK(N353),0,M353/ROUND(N353,4))</f>
        <v>#DIV/0!</v>
      </c>
      <c r="R353" s="103" t="e">
        <f>ROUND(P353,2)*Q353</f>
        <v>#DIV/0!</v>
      </c>
      <c r="S353" s="101" t="e">
        <f>Q353*dagenperjaar1</f>
        <v>#DIV/0!</v>
      </c>
      <c r="T353" s="104" t="e">
        <f>S353*ROUND(P353,2)</f>
        <v>#DIV/0!</v>
      </c>
    </row>
    <row r="354" spans="1:20" x14ac:dyDescent="0.2">
      <c r="A354" s="105" t="s">
        <v>659</v>
      </c>
      <c r="B354" s="106" t="s">
        <v>37</v>
      </c>
      <c r="C354" s="106" t="s">
        <v>322</v>
      </c>
      <c r="D354" s="106" t="s">
        <v>326</v>
      </c>
      <c r="E354" s="106" t="s">
        <v>37</v>
      </c>
      <c r="F354" s="107" t="s">
        <v>592</v>
      </c>
      <c r="G354" s="106" t="s">
        <v>597</v>
      </c>
      <c r="H354" s="106" t="s">
        <v>279</v>
      </c>
      <c r="I354" s="106" t="s">
        <v>9</v>
      </c>
      <c r="J354" s="106" t="s">
        <v>231</v>
      </c>
      <c r="K354" s="106"/>
      <c r="L354" s="108">
        <v>25</v>
      </c>
      <c r="M354" s="108">
        <f>L354*VLOOKUP(I354,dagsoorttabel1,2,FALSE)</f>
        <v>25</v>
      </c>
      <c r="N354" s="109">
        <f>prodnorm124</f>
        <v>0</v>
      </c>
      <c r="O354" s="106" t="s">
        <v>105</v>
      </c>
      <c r="P354" s="28">
        <f>uurtarief124</f>
        <v>0</v>
      </c>
      <c r="Q354" s="108" t="e">
        <f>IF(ISBLANK(N354),0,M354/ROUND(N354,4))</f>
        <v>#DIV/0!</v>
      </c>
      <c r="R354" s="28" t="e">
        <f>ROUND(P354,2)*Q354</f>
        <v>#DIV/0!</v>
      </c>
      <c r="S354" s="108" t="e">
        <f>Q354*dagenperjaar1</f>
        <v>#DIV/0!</v>
      </c>
      <c r="T354" s="29" t="e">
        <f>S354*ROUND(P354,2)</f>
        <v>#DIV/0!</v>
      </c>
    </row>
    <row r="355" spans="1:20" x14ac:dyDescent="0.2">
      <c r="A355" s="105" t="s">
        <v>659</v>
      </c>
      <c r="B355" s="106" t="s">
        <v>37</v>
      </c>
      <c r="C355" s="106" t="s">
        <v>322</v>
      </c>
      <c r="D355" s="106" t="s">
        <v>329</v>
      </c>
      <c r="E355" s="106" t="s">
        <v>37</v>
      </c>
      <c r="F355" s="107" t="s">
        <v>590</v>
      </c>
      <c r="G355" s="106" t="s">
        <v>369</v>
      </c>
      <c r="H355" s="106" t="s">
        <v>265</v>
      </c>
      <c r="I355" s="106" t="s">
        <v>9</v>
      </c>
      <c r="J355" s="106" t="s">
        <v>231</v>
      </c>
      <c r="K355" s="106"/>
      <c r="L355" s="108">
        <v>42.5</v>
      </c>
      <c r="M355" s="108">
        <f>L355*VLOOKUP(I355,dagsoorttabel1,2,FALSE)</f>
        <v>42.5</v>
      </c>
      <c r="N355" s="109">
        <f>prodnorm92</f>
        <v>0</v>
      </c>
      <c r="O355" s="106" t="s">
        <v>105</v>
      </c>
      <c r="P355" s="28">
        <f>uurtarief92</f>
        <v>0</v>
      </c>
      <c r="Q355" s="108" t="e">
        <f>IF(ISBLANK(N355),0,M355/ROUND(N355,4))</f>
        <v>#DIV/0!</v>
      </c>
      <c r="R355" s="28" t="e">
        <f>ROUND(P355,2)*Q355</f>
        <v>#DIV/0!</v>
      </c>
      <c r="S355" s="108" t="e">
        <f>Q355*dagenperjaar1</f>
        <v>#DIV/0!</v>
      </c>
      <c r="T355" s="29" t="e">
        <f>S355*ROUND(P355,2)</f>
        <v>#DIV/0!</v>
      </c>
    </row>
    <row r="356" spans="1:20" x14ac:dyDescent="0.2">
      <c r="A356" s="105" t="s">
        <v>659</v>
      </c>
      <c r="B356" s="106" t="s">
        <v>37</v>
      </c>
      <c r="C356" s="106" t="s">
        <v>322</v>
      </c>
      <c r="D356" s="106" t="s">
        <v>334</v>
      </c>
      <c r="E356" s="106" t="s">
        <v>37</v>
      </c>
      <c r="F356" s="107" t="s">
        <v>454</v>
      </c>
      <c r="G356" s="106" t="s">
        <v>660</v>
      </c>
      <c r="H356" s="106" t="s">
        <v>275</v>
      </c>
      <c r="I356" s="106" t="s">
        <v>9</v>
      </c>
      <c r="J356" s="106" t="s">
        <v>231</v>
      </c>
      <c r="K356" s="106"/>
      <c r="L356" s="108">
        <v>5.4</v>
      </c>
      <c r="M356" s="108">
        <f>L356*VLOOKUP(I356,dagsoorttabel1,2,FALSE)</f>
        <v>5.4</v>
      </c>
      <c r="N356" s="109">
        <f>prodnorm118</f>
        <v>0</v>
      </c>
      <c r="O356" s="106" t="s">
        <v>105</v>
      </c>
      <c r="P356" s="28">
        <f>uurtarief118</f>
        <v>0</v>
      </c>
      <c r="Q356" s="108" t="e">
        <f>IF(ISBLANK(N356),0,M356/ROUND(N356,4))</f>
        <v>#DIV/0!</v>
      </c>
      <c r="R356" s="28" t="e">
        <f>ROUND(P356,2)*Q356</f>
        <v>#DIV/0!</v>
      </c>
      <c r="S356" s="108" t="e">
        <f>Q356*dagenperjaar1</f>
        <v>#DIV/0!</v>
      </c>
      <c r="T356" s="29" t="e">
        <f>S356*ROUND(P356,2)</f>
        <v>#DIV/0!</v>
      </c>
    </row>
    <row r="357" spans="1:20" x14ac:dyDescent="0.2">
      <c r="A357" s="105" t="s">
        <v>659</v>
      </c>
      <c r="B357" s="106" t="s">
        <v>37</v>
      </c>
      <c r="C357" s="106" t="s">
        <v>322</v>
      </c>
      <c r="D357" s="106" t="s">
        <v>336</v>
      </c>
      <c r="E357" s="106" t="s">
        <v>37</v>
      </c>
      <c r="F357" s="107" t="s">
        <v>454</v>
      </c>
      <c r="G357" s="106" t="s">
        <v>369</v>
      </c>
      <c r="H357" s="106" t="s">
        <v>273</v>
      </c>
      <c r="I357" s="106" t="s">
        <v>9</v>
      </c>
      <c r="J357" s="106" t="s">
        <v>231</v>
      </c>
      <c r="K357" s="106"/>
      <c r="L357" s="108">
        <v>6.6</v>
      </c>
      <c r="M357" s="108">
        <f>L357*VLOOKUP(I357,dagsoorttabel1,2,FALSE)</f>
        <v>6.6</v>
      </c>
      <c r="N357" s="109">
        <f>prodnorm113</f>
        <v>0</v>
      </c>
      <c r="O357" s="106" t="s">
        <v>105</v>
      </c>
      <c r="P357" s="28">
        <f>uurtarief113</f>
        <v>0</v>
      </c>
      <c r="Q357" s="108" t="e">
        <f>IF(ISBLANK(N357),0,M357/ROUND(N357,4))</f>
        <v>#DIV/0!</v>
      </c>
      <c r="R357" s="28" t="e">
        <f>ROUND(P357,2)*Q357</f>
        <v>#DIV/0!</v>
      </c>
      <c r="S357" s="108" t="e">
        <f>Q357*dagenperjaar1</f>
        <v>#DIV/0!</v>
      </c>
      <c r="T357" s="29" t="e">
        <f>S357*ROUND(P357,2)</f>
        <v>#DIV/0!</v>
      </c>
    </row>
    <row r="358" spans="1:20" x14ac:dyDescent="0.2">
      <c r="A358" s="105" t="s">
        <v>659</v>
      </c>
      <c r="B358" s="106" t="s">
        <v>37</v>
      </c>
      <c r="C358" s="106" t="s">
        <v>322</v>
      </c>
      <c r="D358" s="106" t="s">
        <v>342</v>
      </c>
      <c r="E358" s="106" t="s">
        <v>37</v>
      </c>
      <c r="F358" s="107" t="s">
        <v>618</v>
      </c>
      <c r="G358" s="106" t="s">
        <v>331</v>
      </c>
      <c r="H358" s="106" t="s">
        <v>235</v>
      </c>
      <c r="I358" s="106" t="s">
        <v>9</v>
      </c>
      <c r="J358" s="106" t="s">
        <v>231</v>
      </c>
      <c r="K358" s="106"/>
      <c r="L358" s="108">
        <v>24.6</v>
      </c>
      <c r="M358" s="108">
        <f>L358*VLOOKUP(I358,dagsoorttabel1,2,FALSE)</f>
        <v>24.6</v>
      </c>
      <c r="N358" s="109">
        <f>prodnorm39</f>
        <v>0</v>
      </c>
      <c r="O358" s="106" t="s">
        <v>105</v>
      </c>
      <c r="P358" s="28">
        <f>uurtarief39</f>
        <v>0</v>
      </c>
      <c r="Q358" s="108" t="e">
        <f>IF(ISBLANK(N358),0,M358/ROUND(N358,4))</f>
        <v>#DIV/0!</v>
      </c>
      <c r="R358" s="28" t="e">
        <f>ROUND(P358,2)*Q358</f>
        <v>#DIV/0!</v>
      </c>
      <c r="S358" s="108" t="e">
        <f>Q358*dagenperjaar1</f>
        <v>#DIV/0!</v>
      </c>
      <c r="T358" s="29" t="e">
        <f>S358*ROUND(P358,2)</f>
        <v>#DIV/0!</v>
      </c>
    </row>
    <row r="359" spans="1:20" x14ac:dyDescent="0.2">
      <c r="A359" s="105" t="s">
        <v>659</v>
      </c>
      <c r="B359" s="106" t="s">
        <v>37</v>
      </c>
      <c r="C359" s="106" t="s">
        <v>322</v>
      </c>
      <c r="D359" s="106" t="s">
        <v>344</v>
      </c>
      <c r="E359" s="106" t="s">
        <v>37</v>
      </c>
      <c r="F359" s="107" t="s">
        <v>621</v>
      </c>
      <c r="G359" s="106" t="s">
        <v>331</v>
      </c>
      <c r="H359" s="106" t="s">
        <v>249</v>
      </c>
      <c r="I359" s="106" t="s">
        <v>9</v>
      </c>
      <c r="J359" s="106" t="s">
        <v>231</v>
      </c>
      <c r="K359" s="106"/>
      <c r="L359" s="108">
        <v>17.899999999999999</v>
      </c>
      <c r="M359" s="108">
        <f>L359*VLOOKUP(I359,dagsoorttabel1,2,FALSE)</f>
        <v>17.899999999999999</v>
      </c>
      <c r="N359" s="109">
        <f>prodnorm58</f>
        <v>0</v>
      </c>
      <c r="O359" s="106" t="s">
        <v>105</v>
      </c>
      <c r="P359" s="28">
        <f>uurtarief58</f>
        <v>0</v>
      </c>
      <c r="Q359" s="108" t="e">
        <f>IF(ISBLANK(N359),0,M359/ROUND(N359,4))</f>
        <v>#DIV/0!</v>
      </c>
      <c r="R359" s="28" t="e">
        <f>ROUND(P359,2)*Q359</f>
        <v>#DIV/0!</v>
      </c>
      <c r="S359" s="108" t="e">
        <f>Q359*dagenperjaar1</f>
        <v>#DIV/0!</v>
      </c>
      <c r="T359" s="29" t="e">
        <f>S359*ROUND(P359,2)</f>
        <v>#DIV/0!</v>
      </c>
    </row>
    <row r="360" spans="1:20" x14ac:dyDescent="0.2">
      <c r="A360" s="105" t="s">
        <v>659</v>
      </c>
      <c r="B360" s="106" t="s">
        <v>37</v>
      </c>
      <c r="C360" s="106" t="s">
        <v>322</v>
      </c>
      <c r="D360" s="106" t="s">
        <v>347</v>
      </c>
      <c r="E360" s="106" t="s">
        <v>37</v>
      </c>
      <c r="F360" s="107" t="s">
        <v>618</v>
      </c>
      <c r="G360" s="106" t="s">
        <v>661</v>
      </c>
      <c r="H360" s="106" t="s">
        <v>235</v>
      </c>
      <c r="I360" s="106" t="s">
        <v>9</v>
      </c>
      <c r="J360" s="106" t="s">
        <v>231</v>
      </c>
      <c r="K360" s="106"/>
      <c r="L360" s="108">
        <v>14.7</v>
      </c>
      <c r="M360" s="108">
        <f>L360*VLOOKUP(I360,dagsoorttabel1,2,FALSE)</f>
        <v>14.7</v>
      </c>
      <c r="N360" s="109">
        <f>prodnorm39</f>
        <v>0</v>
      </c>
      <c r="O360" s="106" t="s">
        <v>105</v>
      </c>
      <c r="P360" s="28">
        <f>uurtarief39</f>
        <v>0</v>
      </c>
      <c r="Q360" s="108" t="e">
        <f>IF(ISBLANK(N360),0,M360/ROUND(N360,4))</f>
        <v>#DIV/0!</v>
      </c>
      <c r="R360" s="28" t="e">
        <f>ROUND(P360,2)*Q360</f>
        <v>#DIV/0!</v>
      </c>
      <c r="S360" s="108" t="e">
        <f>Q360*dagenperjaar1</f>
        <v>#DIV/0!</v>
      </c>
      <c r="T360" s="29" t="e">
        <f>S360*ROUND(P360,2)</f>
        <v>#DIV/0!</v>
      </c>
    </row>
    <row r="361" spans="1:20" x14ac:dyDescent="0.2">
      <c r="A361" s="105" t="s">
        <v>659</v>
      </c>
      <c r="B361" s="106" t="s">
        <v>37</v>
      </c>
      <c r="C361" s="106" t="s">
        <v>322</v>
      </c>
      <c r="D361" s="106" t="s">
        <v>349</v>
      </c>
      <c r="E361" s="106" t="s">
        <v>37</v>
      </c>
      <c r="F361" s="107" t="s">
        <v>662</v>
      </c>
      <c r="G361" s="106" t="s">
        <v>661</v>
      </c>
      <c r="H361" s="106" t="s">
        <v>273</v>
      </c>
      <c r="I361" s="106" t="s">
        <v>9</v>
      </c>
      <c r="J361" s="106" t="s">
        <v>231</v>
      </c>
      <c r="K361" s="106"/>
      <c r="L361" s="108">
        <v>15.6</v>
      </c>
      <c r="M361" s="108">
        <f>L361*VLOOKUP(I361,dagsoorttabel1,2,FALSE)</f>
        <v>15.6</v>
      </c>
      <c r="N361" s="109">
        <f>prodnorm113</f>
        <v>0</v>
      </c>
      <c r="O361" s="106" t="s">
        <v>105</v>
      </c>
      <c r="P361" s="28">
        <f>uurtarief113</f>
        <v>0</v>
      </c>
      <c r="Q361" s="108" t="e">
        <f>IF(ISBLANK(N361),0,M361/ROUND(N361,4))</f>
        <v>#DIV/0!</v>
      </c>
      <c r="R361" s="28" t="e">
        <f>ROUND(P361,2)*Q361</f>
        <v>#DIV/0!</v>
      </c>
      <c r="S361" s="108" t="e">
        <f>Q361*dagenperjaar1</f>
        <v>#DIV/0!</v>
      </c>
      <c r="T361" s="29" t="e">
        <f>S361*ROUND(P361,2)</f>
        <v>#DIV/0!</v>
      </c>
    </row>
    <row r="362" spans="1:20" x14ac:dyDescent="0.2">
      <c r="A362" s="105" t="s">
        <v>659</v>
      </c>
      <c r="B362" s="106" t="s">
        <v>37</v>
      </c>
      <c r="C362" s="106" t="s">
        <v>322</v>
      </c>
      <c r="D362" s="106" t="s">
        <v>350</v>
      </c>
      <c r="E362" s="106" t="s">
        <v>37</v>
      </c>
      <c r="F362" s="107" t="s">
        <v>335</v>
      </c>
      <c r="G362" s="106" t="s">
        <v>597</v>
      </c>
      <c r="H362" s="106" t="s">
        <v>273</v>
      </c>
      <c r="I362" s="106" t="s">
        <v>9</v>
      </c>
      <c r="J362" s="106" t="s">
        <v>231</v>
      </c>
      <c r="K362" s="106"/>
      <c r="L362" s="108">
        <v>12.3</v>
      </c>
      <c r="M362" s="108">
        <f>L362*VLOOKUP(I362,dagsoorttabel1,2,FALSE)</f>
        <v>12.3</v>
      </c>
      <c r="N362" s="109">
        <f>prodnorm113</f>
        <v>0</v>
      </c>
      <c r="O362" s="106" t="s">
        <v>105</v>
      </c>
      <c r="P362" s="28">
        <f>uurtarief113</f>
        <v>0</v>
      </c>
      <c r="Q362" s="108" t="e">
        <f>IF(ISBLANK(N362),0,M362/ROUND(N362,4))</f>
        <v>#DIV/0!</v>
      </c>
      <c r="R362" s="28" t="e">
        <f>ROUND(P362,2)*Q362</f>
        <v>#DIV/0!</v>
      </c>
      <c r="S362" s="108" t="e">
        <f>Q362*dagenperjaar1</f>
        <v>#DIV/0!</v>
      </c>
      <c r="T362" s="29" t="e">
        <f>S362*ROUND(P362,2)</f>
        <v>#DIV/0!</v>
      </c>
    </row>
    <row r="363" spans="1:20" x14ac:dyDescent="0.2">
      <c r="A363" s="105" t="s">
        <v>659</v>
      </c>
      <c r="B363" s="106" t="s">
        <v>37</v>
      </c>
      <c r="C363" s="106" t="s">
        <v>322</v>
      </c>
      <c r="D363" s="106" t="s">
        <v>351</v>
      </c>
      <c r="E363" s="106" t="s">
        <v>37</v>
      </c>
      <c r="F363" s="107" t="s">
        <v>307</v>
      </c>
      <c r="G363" s="106" t="s">
        <v>331</v>
      </c>
      <c r="H363" s="106" t="s">
        <v>306</v>
      </c>
      <c r="I363" s="106" t="s">
        <v>9</v>
      </c>
      <c r="J363" s="106" t="s">
        <v>299</v>
      </c>
      <c r="K363" s="106"/>
      <c r="L363" s="108">
        <v>33</v>
      </c>
      <c r="M363" s="108">
        <f>L363*VLOOKUP(I363,dagsoorttabel1,2,FALSE)</f>
        <v>33</v>
      </c>
      <c r="N363" s="109">
        <f>prodnorm31</f>
        <v>0</v>
      </c>
      <c r="O363" s="106" t="s">
        <v>105</v>
      </c>
      <c r="P363" s="28">
        <f>uurtarief31</f>
        <v>0</v>
      </c>
      <c r="Q363" s="108" t="e">
        <f>IF(ISBLANK(N363),0,M363/ROUND(N363,4))</f>
        <v>#DIV/0!</v>
      </c>
      <c r="R363" s="28" t="e">
        <f>ROUND(P363,2)*Q363</f>
        <v>#DIV/0!</v>
      </c>
      <c r="S363" s="108" t="e">
        <f>Q363*dagenperjaar1</f>
        <v>#DIV/0!</v>
      </c>
      <c r="T363" s="29" t="e">
        <f>S363*ROUND(P363,2)</f>
        <v>#DIV/0!</v>
      </c>
    </row>
    <row r="364" spans="1:20" x14ac:dyDescent="0.2">
      <c r="A364" s="105" t="s">
        <v>659</v>
      </c>
      <c r="B364" s="106" t="s">
        <v>37</v>
      </c>
      <c r="C364" s="106" t="s">
        <v>322</v>
      </c>
      <c r="D364" s="106" t="s">
        <v>353</v>
      </c>
      <c r="E364" s="106" t="s">
        <v>37</v>
      </c>
      <c r="F364" s="107" t="s">
        <v>654</v>
      </c>
      <c r="G364" s="106" t="s">
        <v>358</v>
      </c>
      <c r="H364" s="106" t="s">
        <v>290</v>
      </c>
      <c r="I364" s="106" t="s">
        <v>9</v>
      </c>
      <c r="J364" s="106" t="s">
        <v>231</v>
      </c>
      <c r="K364" s="106"/>
      <c r="L364" s="108">
        <v>6.5</v>
      </c>
      <c r="M364" s="108">
        <f>L364*VLOOKUP(I364,dagsoorttabel1,2,FALSE)</f>
        <v>6.5</v>
      </c>
      <c r="N364" s="109">
        <f>prodnorm146</f>
        <v>0</v>
      </c>
      <c r="O364" s="106" t="s">
        <v>105</v>
      </c>
      <c r="P364" s="28">
        <f>uurtarief146</f>
        <v>0</v>
      </c>
      <c r="Q364" s="108" t="e">
        <f>IF(ISBLANK(N364),0,M364/ROUND(N364,4))</f>
        <v>#DIV/0!</v>
      </c>
      <c r="R364" s="28" t="e">
        <f>ROUND(P364,2)*Q364</f>
        <v>#DIV/0!</v>
      </c>
      <c r="S364" s="108" t="e">
        <f>Q364*dagenperjaar1</f>
        <v>#DIV/0!</v>
      </c>
      <c r="T364" s="29" t="e">
        <f>S364*ROUND(P364,2)</f>
        <v>#DIV/0!</v>
      </c>
    </row>
    <row r="365" spans="1:20" x14ac:dyDescent="0.2">
      <c r="A365" s="105" t="s">
        <v>659</v>
      </c>
      <c r="B365" s="106" t="s">
        <v>37</v>
      </c>
      <c r="C365" s="106" t="s">
        <v>322</v>
      </c>
      <c r="D365" s="106" t="s">
        <v>356</v>
      </c>
      <c r="E365" s="106" t="s">
        <v>37</v>
      </c>
      <c r="F365" s="107" t="s">
        <v>618</v>
      </c>
      <c r="G365" s="106" t="s">
        <v>331</v>
      </c>
      <c r="H365" s="106" t="s">
        <v>235</v>
      </c>
      <c r="I365" s="106" t="s">
        <v>9</v>
      </c>
      <c r="J365" s="106" t="s">
        <v>231</v>
      </c>
      <c r="K365" s="106"/>
      <c r="L365" s="108">
        <v>4.33</v>
      </c>
      <c r="M365" s="108">
        <f>L365*VLOOKUP(I365,dagsoorttabel1,2,FALSE)</f>
        <v>4.33</v>
      </c>
      <c r="N365" s="109">
        <f>prodnorm39</f>
        <v>0</v>
      </c>
      <c r="O365" s="106" t="s">
        <v>105</v>
      </c>
      <c r="P365" s="28">
        <f>uurtarief39</f>
        <v>0</v>
      </c>
      <c r="Q365" s="108" t="e">
        <f>IF(ISBLANK(N365),0,M365/ROUND(N365,4))</f>
        <v>#DIV/0!</v>
      </c>
      <c r="R365" s="28" t="e">
        <f>ROUND(P365,2)*Q365</f>
        <v>#DIV/0!</v>
      </c>
      <c r="S365" s="108" t="e">
        <f>Q365*dagenperjaar1</f>
        <v>#DIV/0!</v>
      </c>
      <c r="T365" s="29" t="e">
        <f>S365*ROUND(P365,2)</f>
        <v>#DIV/0!</v>
      </c>
    </row>
    <row r="366" spans="1:20" x14ac:dyDescent="0.2">
      <c r="A366" s="105" t="s">
        <v>659</v>
      </c>
      <c r="B366" s="106" t="s">
        <v>37</v>
      </c>
      <c r="C366" s="106" t="s">
        <v>415</v>
      </c>
      <c r="D366" s="106" t="s">
        <v>416</v>
      </c>
      <c r="E366" s="106" t="s">
        <v>37</v>
      </c>
      <c r="F366" s="107" t="s">
        <v>579</v>
      </c>
      <c r="G366" s="106" t="s">
        <v>379</v>
      </c>
      <c r="H366" s="106" t="s">
        <v>257</v>
      </c>
      <c r="I366" s="106" t="s">
        <v>9</v>
      </c>
      <c r="J366" s="106" t="s">
        <v>231</v>
      </c>
      <c r="K366" s="106"/>
      <c r="L366" s="108">
        <v>47.2</v>
      </c>
      <c r="M366" s="108">
        <f>L366*VLOOKUP(I366,dagsoorttabel1,2,FALSE)</f>
        <v>47.2</v>
      </c>
      <c r="N366" s="109">
        <f>prodnorm80</f>
        <v>0</v>
      </c>
      <c r="O366" s="106" t="s">
        <v>105</v>
      </c>
      <c r="P366" s="28">
        <f>uurtarief80</f>
        <v>0</v>
      </c>
      <c r="Q366" s="108" t="e">
        <f>IF(ISBLANK(N366),0,M366/ROUND(N366,4))</f>
        <v>#DIV/0!</v>
      </c>
      <c r="R366" s="28" t="e">
        <f>ROUND(P366,2)*Q366</f>
        <v>#DIV/0!</v>
      </c>
      <c r="S366" s="108" t="e">
        <f>Q366*dagenperjaar1</f>
        <v>#DIV/0!</v>
      </c>
      <c r="T366" s="29" t="e">
        <f>S366*ROUND(P366,2)</f>
        <v>#DIV/0!</v>
      </c>
    </row>
    <row r="367" spans="1:20" x14ac:dyDescent="0.2">
      <c r="A367" s="105" t="s">
        <v>659</v>
      </c>
      <c r="B367" s="106" t="s">
        <v>37</v>
      </c>
      <c r="C367" s="106" t="s">
        <v>415</v>
      </c>
      <c r="D367" s="106" t="s">
        <v>417</v>
      </c>
      <c r="E367" s="106" t="s">
        <v>37</v>
      </c>
      <c r="F367" s="107" t="s">
        <v>663</v>
      </c>
      <c r="G367" s="106" t="s">
        <v>369</v>
      </c>
      <c r="H367" s="106" t="s">
        <v>273</v>
      </c>
      <c r="I367" s="106" t="s">
        <v>9</v>
      </c>
      <c r="J367" s="106" t="s">
        <v>231</v>
      </c>
      <c r="K367" s="106"/>
      <c r="L367" s="108">
        <v>9</v>
      </c>
      <c r="M367" s="108">
        <f>L367*VLOOKUP(I367,dagsoorttabel1,2,FALSE)</f>
        <v>9</v>
      </c>
      <c r="N367" s="109">
        <f>prodnorm113</f>
        <v>0</v>
      </c>
      <c r="O367" s="106" t="s">
        <v>105</v>
      </c>
      <c r="P367" s="28">
        <f>uurtarief113</f>
        <v>0</v>
      </c>
      <c r="Q367" s="108" t="e">
        <f>IF(ISBLANK(N367),0,M367/ROUND(N367,4))</f>
        <v>#DIV/0!</v>
      </c>
      <c r="R367" s="28" t="e">
        <f>ROUND(P367,2)*Q367</f>
        <v>#DIV/0!</v>
      </c>
      <c r="S367" s="108" t="e">
        <f>Q367*dagenperjaar1</f>
        <v>#DIV/0!</v>
      </c>
      <c r="T367" s="29" t="e">
        <f>S367*ROUND(P367,2)</f>
        <v>#DIV/0!</v>
      </c>
    </row>
    <row r="368" spans="1:20" x14ac:dyDescent="0.2">
      <c r="A368" s="105" t="s">
        <v>659</v>
      </c>
      <c r="B368" s="106" t="s">
        <v>37</v>
      </c>
      <c r="C368" s="106" t="s">
        <v>623</v>
      </c>
      <c r="D368" s="106" t="s">
        <v>356</v>
      </c>
      <c r="E368" s="106" t="s">
        <v>37</v>
      </c>
      <c r="F368" s="107" t="s">
        <v>664</v>
      </c>
      <c r="G368" s="106" t="s">
        <v>376</v>
      </c>
      <c r="H368" s="106" t="s">
        <v>267</v>
      </c>
      <c r="I368" s="106" t="s">
        <v>12</v>
      </c>
      <c r="J368" s="106" t="s">
        <v>231</v>
      </c>
      <c r="K368" s="106"/>
      <c r="L368" s="108">
        <v>1</v>
      </c>
      <c r="M368" s="108">
        <f>L368*VLOOKUP(I368,dagsoorttabel1,2,FALSE)</f>
        <v>0.4</v>
      </c>
      <c r="N368" s="109">
        <f>prodnorm97</f>
        <v>0</v>
      </c>
      <c r="O368" s="106" t="s">
        <v>105</v>
      </c>
      <c r="P368" s="28">
        <f>uurtarief97</f>
        <v>0</v>
      </c>
      <c r="Q368" s="108" t="e">
        <f>IF(ISBLANK(N368),0,M368/ROUND(N368,4))</f>
        <v>#DIV/0!</v>
      </c>
      <c r="R368" s="28" t="e">
        <f>ROUND(P368,2)*Q368</f>
        <v>#DIV/0!</v>
      </c>
      <c r="S368" s="108" t="e">
        <f>Q368*dagenperjaar1</f>
        <v>#DIV/0!</v>
      </c>
      <c r="T368" s="29" t="e">
        <f>S368*ROUND(P368,2)</f>
        <v>#DIV/0!</v>
      </c>
    </row>
    <row r="369" spans="1:20" x14ac:dyDescent="0.2">
      <c r="A369" s="105" t="s">
        <v>659</v>
      </c>
      <c r="B369" s="106" t="s">
        <v>37</v>
      </c>
      <c r="C369" s="106" t="s">
        <v>544</v>
      </c>
      <c r="D369" s="106" t="s">
        <v>37</v>
      </c>
      <c r="E369" s="106" t="s">
        <v>37</v>
      </c>
      <c r="F369" s="107" t="s">
        <v>545</v>
      </c>
      <c r="G369" s="106" t="s">
        <v>37</v>
      </c>
      <c r="H369" s="106" t="s">
        <v>298</v>
      </c>
      <c r="I369" s="106" t="s">
        <v>13</v>
      </c>
      <c r="J369" s="106" t="s">
        <v>299</v>
      </c>
      <c r="K369" s="106"/>
      <c r="L369" s="108">
        <v>1</v>
      </c>
      <c r="M369" s="108">
        <f>L369*VLOOKUP(I369,dagsoorttabel1,2,FALSE)</f>
        <v>0.2</v>
      </c>
      <c r="N369" s="109">
        <f>prodnorm21</f>
        <v>0</v>
      </c>
      <c r="O369" s="106" t="s">
        <v>301</v>
      </c>
      <c r="P369" s="28">
        <f>uurtarief21</f>
        <v>0</v>
      </c>
      <c r="Q369" s="108">
        <f>M369*ROUND(N369,4)/60</f>
        <v>0</v>
      </c>
      <c r="R369" s="28">
        <f>ROUND(P369,2)*Q369</f>
        <v>0</v>
      </c>
      <c r="S369" s="108">
        <f>Q369*dagenperjaar1</f>
        <v>0</v>
      </c>
      <c r="T369" s="29">
        <f>S369*ROUND(P369,2)</f>
        <v>0</v>
      </c>
    </row>
    <row r="370" spans="1:20" x14ac:dyDescent="0.2">
      <c r="A370" s="110" t="s">
        <v>659</v>
      </c>
      <c r="B370" s="111" t="s">
        <v>37</v>
      </c>
      <c r="C370" s="111" t="s">
        <v>544</v>
      </c>
      <c r="D370" s="111" t="s">
        <v>37</v>
      </c>
      <c r="E370" s="111" t="s">
        <v>37</v>
      </c>
      <c r="F370" s="112" t="s">
        <v>545</v>
      </c>
      <c r="G370" s="111" t="s">
        <v>37</v>
      </c>
      <c r="H370" s="111" t="s">
        <v>302</v>
      </c>
      <c r="I370" s="111" t="s">
        <v>15</v>
      </c>
      <c r="J370" s="111" t="s">
        <v>299</v>
      </c>
      <c r="K370" s="111"/>
      <c r="L370" s="113">
        <v>1</v>
      </c>
      <c r="M370" s="113">
        <f>L370*VLOOKUP(I370,dagsoorttabel1,2,FALSE)</f>
        <v>4.7058823529411764E-2</v>
      </c>
      <c r="N370" s="114">
        <f>prodnorm24</f>
        <v>0</v>
      </c>
      <c r="O370" s="111" t="s">
        <v>301</v>
      </c>
      <c r="P370" s="38">
        <f>uurtarief24</f>
        <v>0</v>
      </c>
      <c r="Q370" s="113">
        <f>M370*ROUND(N370,4)/60</f>
        <v>0</v>
      </c>
      <c r="R370" s="38">
        <f>ROUND(P370,2)*Q370</f>
        <v>0</v>
      </c>
      <c r="S370" s="113">
        <f>Q370*dagenperjaar1</f>
        <v>0</v>
      </c>
      <c r="T370" s="39">
        <f>S370*ROUND(P370,2)</f>
        <v>0</v>
      </c>
    </row>
    <row r="371" spans="1:20" x14ac:dyDescent="0.2">
      <c r="A371" s="115" t="s">
        <v>546</v>
      </c>
      <c r="B371" s="83"/>
      <c r="C371" s="83"/>
      <c r="D371" s="83"/>
      <c r="E371" s="83"/>
      <c r="F371" s="83"/>
      <c r="G371" s="83"/>
      <c r="H371" s="83"/>
      <c r="I371" s="83"/>
      <c r="J371" s="83"/>
      <c r="K371" s="83"/>
      <c r="L371" s="83"/>
      <c r="M371" s="83"/>
      <c r="N371" s="83"/>
      <c r="O371" s="83"/>
      <c r="P371" s="85" t="e">
        <f>IF(_xlfn.SINGLE(object10_urenjaar1)&gt;0,_xlfn.SINGLE(object10_prijsjaar1)/_xlfn.SINGLE(object10_urenjaar1),0)</f>
        <v>#DIV/0!</v>
      </c>
      <c r="Q371" s="84" t="e">
        <f>SUM(Q353:Q370)</f>
        <v>#DIV/0!</v>
      </c>
      <c r="R371" s="85" t="e">
        <f>SUM(R353:R370)</f>
        <v>#DIV/0!</v>
      </c>
      <c r="S371" s="84" t="e">
        <f>SUM(S353:S370)</f>
        <v>#DIV/0!</v>
      </c>
      <c r="T371" s="86" t="e">
        <f>SUM(T353:T370)</f>
        <v>#DIV/0!</v>
      </c>
    </row>
    <row r="372" spans="1:20" x14ac:dyDescent="0.2">
      <c r="A372" s="91" t="s">
        <v>665</v>
      </c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81"/>
    </row>
    <row r="373" spans="1:20" x14ac:dyDescent="0.2">
      <c r="A373" s="98" t="s">
        <v>666</v>
      </c>
      <c r="B373" s="99" t="s">
        <v>37</v>
      </c>
      <c r="C373" s="99" t="s">
        <v>322</v>
      </c>
      <c r="D373" s="99" t="s">
        <v>323</v>
      </c>
      <c r="E373" s="99" t="s">
        <v>37</v>
      </c>
      <c r="F373" s="100" t="s">
        <v>592</v>
      </c>
      <c r="G373" s="99" t="s">
        <v>593</v>
      </c>
      <c r="H373" s="99" t="s">
        <v>281</v>
      </c>
      <c r="I373" s="99" t="s">
        <v>9</v>
      </c>
      <c r="J373" s="99" t="s">
        <v>231</v>
      </c>
      <c r="K373" s="99"/>
      <c r="L373" s="101">
        <v>1.8</v>
      </c>
      <c r="M373" s="101">
        <f>L373*VLOOKUP(I373,dagsoorttabel1,2,FALSE)</f>
        <v>1.8</v>
      </c>
      <c r="N373" s="102">
        <f>prodnorm129</f>
        <v>0</v>
      </c>
      <c r="O373" s="99" t="s">
        <v>105</v>
      </c>
      <c r="P373" s="103">
        <f>uurtarief129</f>
        <v>0</v>
      </c>
      <c r="Q373" s="101" t="e">
        <f>IF(ISBLANK(N373),0,M373/ROUND(N373,4))</f>
        <v>#DIV/0!</v>
      </c>
      <c r="R373" s="103" t="e">
        <f>ROUND(P373,2)*Q373</f>
        <v>#DIV/0!</v>
      </c>
      <c r="S373" s="101" t="e">
        <f>Q373*dagenperjaar1</f>
        <v>#DIV/0!</v>
      </c>
      <c r="T373" s="104" t="e">
        <f>S373*ROUND(P373,2)</f>
        <v>#DIV/0!</v>
      </c>
    </row>
    <row r="374" spans="1:20" x14ac:dyDescent="0.2">
      <c r="A374" s="105" t="s">
        <v>666</v>
      </c>
      <c r="B374" s="106" t="s">
        <v>37</v>
      </c>
      <c r="C374" s="106" t="s">
        <v>322</v>
      </c>
      <c r="D374" s="106" t="s">
        <v>326</v>
      </c>
      <c r="E374" s="106" t="s">
        <v>37</v>
      </c>
      <c r="F374" s="107" t="s">
        <v>335</v>
      </c>
      <c r="G374" s="106" t="s">
        <v>597</v>
      </c>
      <c r="H374" s="106" t="s">
        <v>273</v>
      </c>
      <c r="I374" s="106" t="s">
        <v>9</v>
      </c>
      <c r="J374" s="106" t="s">
        <v>231</v>
      </c>
      <c r="K374" s="106"/>
      <c r="L374" s="108">
        <v>28.8</v>
      </c>
      <c r="M374" s="108">
        <f>L374*VLOOKUP(I374,dagsoorttabel1,2,FALSE)</f>
        <v>28.8</v>
      </c>
      <c r="N374" s="109">
        <f>prodnorm113</f>
        <v>0</v>
      </c>
      <c r="O374" s="106" t="s">
        <v>105</v>
      </c>
      <c r="P374" s="28">
        <f>uurtarief113</f>
        <v>0</v>
      </c>
      <c r="Q374" s="108" t="e">
        <f>IF(ISBLANK(N374),0,M374/ROUND(N374,4))</f>
        <v>#DIV/0!</v>
      </c>
      <c r="R374" s="28" t="e">
        <f>ROUND(P374,2)*Q374</f>
        <v>#DIV/0!</v>
      </c>
      <c r="S374" s="108" t="e">
        <f>Q374*dagenperjaar1</f>
        <v>#DIV/0!</v>
      </c>
      <c r="T374" s="29" t="e">
        <f>S374*ROUND(P374,2)</f>
        <v>#DIV/0!</v>
      </c>
    </row>
    <row r="375" spans="1:20" x14ac:dyDescent="0.2">
      <c r="A375" s="105" t="s">
        <v>666</v>
      </c>
      <c r="B375" s="106" t="s">
        <v>37</v>
      </c>
      <c r="C375" s="106" t="s">
        <v>322</v>
      </c>
      <c r="D375" s="106" t="s">
        <v>329</v>
      </c>
      <c r="E375" s="106" t="s">
        <v>37</v>
      </c>
      <c r="F375" s="107" t="s">
        <v>618</v>
      </c>
      <c r="G375" s="106" t="s">
        <v>325</v>
      </c>
      <c r="H375" s="106" t="s">
        <v>237</v>
      </c>
      <c r="I375" s="106" t="s">
        <v>9</v>
      </c>
      <c r="J375" s="106" t="s">
        <v>231</v>
      </c>
      <c r="K375" s="106"/>
      <c r="L375" s="108">
        <v>31</v>
      </c>
      <c r="M375" s="108">
        <f>L375*VLOOKUP(I375,dagsoorttabel1,2,FALSE)</f>
        <v>31</v>
      </c>
      <c r="N375" s="109">
        <f>prodnorm43</f>
        <v>0</v>
      </c>
      <c r="O375" s="106" t="s">
        <v>105</v>
      </c>
      <c r="P375" s="28">
        <f>uurtarief43</f>
        <v>0</v>
      </c>
      <c r="Q375" s="108" t="e">
        <f>IF(ISBLANK(N375),0,M375/ROUND(N375,4))</f>
        <v>#DIV/0!</v>
      </c>
      <c r="R375" s="28" t="e">
        <f>ROUND(P375,2)*Q375</f>
        <v>#DIV/0!</v>
      </c>
      <c r="S375" s="108" t="e">
        <f>Q375*dagenperjaar1</f>
        <v>#DIV/0!</v>
      </c>
      <c r="T375" s="29" t="e">
        <f>S375*ROUND(P375,2)</f>
        <v>#DIV/0!</v>
      </c>
    </row>
    <row r="376" spans="1:20" x14ac:dyDescent="0.2">
      <c r="A376" s="105" t="s">
        <v>666</v>
      </c>
      <c r="B376" s="106" t="s">
        <v>37</v>
      </c>
      <c r="C376" s="106" t="s">
        <v>322</v>
      </c>
      <c r="D376" s="106" t="s">
        <v>334</v>
      </c>
      <c r="E376" s="106" t="s">
        <v>37</v>
      </c>
      <c r="F376" s="107" t="s">
        <v>615</v>
      </c>
      <c r="G376" s="106" t="s">
        <v>369</v>
      </c>
      <c r="H376" s="106" t="s">
        <v>267</v>
      </c>
      <c r="I376" s="106" t="s">
        <v>9</v>
      </c>
      <c r="J376" s="106" t="s">
        <v>231</v>
      </c>
      <c r="K376" s="106"/>
      <c r="L376" s="108">
        <v>7</v>
      </c>
      <c r="M376" s="108">
        <f>L376*VLOOKUP(I376,dagsoorttabel1,2,FALSE)</f>
        <v>7</v>
      </c>
      <c r="N376" s="109">
        <f>prodnorm101</f>
        <v>0</v>
      </c>
      <c r="O376" s="106" t="s">
        <v>105</v>
      </c>
      <c r="P376" s="28">
        <f>uurtarief101</f>
        <v>0</v>
      </c>
      <c r="Q376" s="108" t="e">
        <f>IF(ISBLANK(N376),0,M376/ROUND(N376,4))</f>
        <v>#DIV/0!</v>
      </c>
      <c r="R376" s="28" t="e">
        <f>ROUND(P376,2)*Q376</f>
        <v>#DIV/0!</v>
      </c>
      <c r="S376" s="108" t="e">
        <f>Q376*dagenperjaar1</f>
        <v>#DIV/0!</v>
      </c>
      <c r="T376" s="29" t="e">
        <f>S376*ROUND(P376,2)</f>
        <v>#DIV/0!</v>
      </c>
    </row>
    <row r="377" spans="1:20" x14ac:dyDescent="0.2">
      <c r="A377" s="105" t="s">
        <v>666</v>
      </c>
      <c r="B377" s="106" t="s">
        <v>37</v>
      </c>
      <c r="C377" s="106" t="s">
        <v>322</v>
      </c>
      <c r="D377" s="106" t="s">
        <v>336</v>
      </c>
      <c r="E377" s="106" t="s">
        <v>37</v>
      </c>
      <c r="F377" s="107" t="s">
        <v>337</v>
      </c>
      <c r="G377" s="106" t="s">
        <v>325</v>
      </c>
      <c r="H377" s="106" t="s">
        <v>243</v>
      </c>
      <c r="I377" s="106" t="s">
        <v>9</v>
      </c>
      <c r="J377" s="106" t="s">
        <v>231</v>
      </c>
      <c r="K377" s="106"/>
      <c r="L377" s="108">
        <v>22.4</v>
      </c>
      <c r="M377" s="108">
        <f>L377*VLOOKUP(I377,dagsoorttabel1,2,FALSE)</f>
        <v>22.4</v>
      </c>
      <c r="N377" s="109">
        <f>prodnorm51</f>
        <v>0</v>
      </c>
      <c r="O377" s="106" t="s">
        <v>105</v>
      </c>
      <c r="P377" s="28">
        <f>uurtarief51</f>
        <v>0</v>
      </c>
      <c r="Q377" s="108" t="e">
        <f>IF(ISBLANK(N377),0,M377/ROUND(N377,4))</f>
        <v>#DIV/0!</v>
      </c>
      <c r="R377" s="28" t="e">
        <f>ROUND(P377,2)*Q377</f>
        <v>#DIV/0!</v>
      </c>
      <c r="S377" s="108" t="e">
        <f>Q377*dagenperjaar1</f>
        <v>#DIV/0!</v>
      </c>
      <c r="T377" s="29" t="e">
        <f>S377*ROUND(P377,2)</f>
        <v>#DIV/0!</v>
      </c>
    </row>
    <row r="378" spans="1:20" x14ac:dyDescent="0.2">
      <c r="A378" s="105" t="s">
        <v>666</v>
      </c>
      <c r="B378" s="106" t="s">
        <v>37</v>
      </c>
      <c r="C378" s="106" t="s">
        <v>322</v>
      </c>
      <c r="D378" s="106" t="s">
        <v>338</v>
      </c>
      <c r="E378" s="106" t="s">
        <v>37</v>
      </c>
      <c r="F378" s="107" t="s">
        <v>592</v>
      </c>
      <c r="G378" s="106" t="s">
        <v>597</v>
      </c>
      <c r="H378" s="106" t="s">
        <v>279</v>
      </c>
      <c r="I378" s="106" t="s">
        <v>9</v>
      </c>
      <c r="J378" s="106" t="s">
        <v>231</v>
      </c>
      <c r="K378" s="106"/>
      <c r="L378" s="108">
        <v>4.5</v>
      </c>
      <c r="M378" s="108">
        <f>L378*VLOOKUP(I378,dagsoorttabel1,2,FALSE)</f>
        <v>4.5</v>
      </c>
      <c r="N378" s="109">
        <f>prodnorm124</f>
        <v>0</v>
      </c>
      <c r="O378" s="106" t="s">
        <v>105</v>
      </c>
      <c r="P378" s="28">
        <f>uurtarief124</f>
        <v>0</v>
      </c>
      <c r="Q378" s="108" t="e">
        <f>IF(ISBLANK(N378),0,M378/ROUND(N378,4))</f>
        <v>#DIV/0!</v>
      </c>
      <c r="R378" s="28" t="e">
        <f>ROUND(P378,2)*Q378</f>
        <v>#DIV/0!</v>
      </c>
      <c r="S378" s="108" t="e">
        <f>Q378*dagenperjaar1</f>
        <v>#DIV/0!</v>
      </c>
      <c r="T378" s="29" t="e">
        <f>S378*ROUND(P378,2)</f>
        <v>#DIV/0!</v>
      </c>
    </row>
    <row r="379" spans="1:20" x14ac:dyDescent="0.2">
      <c r="A379" s="105" t="s">
        <v>666</v>
      </c>
      <c r="B379" s="106" t="s">
        <v>37</v>
      </c>
      <c r="C379" s="106" t="s">
        <v>322</v>
      </c>
      <c r="D379" s="106" t="s">
        <v>339</v>
      </c>
      <c r="E379" s="106" t="s">
        <v>37</v>
      </c>
      <c r="F379" s="107" t="s">
        <v>667</v>
      </c>
      <c r="G379" s="106" t="s">
        <v>331</v>
      </c>
      <c r="H379" s="106" t="s">
        <v>241</v>
      </c>
      <c r="I379" s="106" t="s">
        <v>9</v>
      </c>
      <c r="J379" s="106" t="s">
        <v>231</v>
      </c>
      <c r="K379" s="106"/>
      <c r="L379" s="108">
        <v>105.8</v>
      </c>
      <c r="M379" s="108">
        <f>L379*VLOOKUP(I379,dagsoorttabel1,2,FALSE)</f>
        <v>105.8</v>
      </c>
      <c r="N379" s="109">
        <f>prodnorm47</f>
        <v>0</v>
      </c>
      <c r="O379" s="106" t="s">
        <v>105</v>
      </c>
      <c r="P379" s="28">
        <f>uurtarief47</f>
        <v>0</v>
      </c>
      <c r="Q379" s="108" t="e">
        <f>IF(ISBLANK(N379),0,M379/ROUND(N379,4))</f>
        <v>#DIV/0!</v>
      </c>
      <c r="R379" s="28" t="e">
        <f>ROUND(P379,2)*Q379</f>
        <v>#DIV/0!</v>
      </c>
      <c r="S379" s="108" t="e">
        <f>Q379*dagenperjaar1</f>
        <v>#DIV/0!</v>
      </c>
      <c r="T379" s="29" t="e">
        <f>S379*ROUND(P379,2)</f>
        <v>#DIV/0!</v>
      </c>
    </row>
    <row r="380" spans="1:20" x14ac:dyDescent="0.2">
      <c r="A380" s="105" t="s">
        <v>666</v>
      </c>
      <c r="B380" s="106" t="s">
        <v>37</v>
      </c>
      <c r="C380" s="106" t="s">
        <v>322</v>
      </c>
      <c r="D380" s="106" t="s">
        <v>342</v>
      </c>
      <c r="E380" s="106" t="s">
        <v>37</v>
      </c>
      <c r="F380" s="107" t="s">
        <v>371</v>
      </c>
      <c r="G380" s="106" t="s">
        <v>331</v>
      </c>
      <c r="H380" s="106" t="s">
        <v>253</v>
      </c>
      <c r="I380" s="106" t="s">
        <v>9</v>
      </c>
      <c r="J380" s="106" t="s">
        <v>231</v>
      </c>
      <c r="K380" s="106"/>
      <c r="L380" s="108">
        <v>7.3</v>
      </c>
      <c r="M380" s="108">
        <f>L380*VLOOKUP(I380,dagsoorttabel1,2,FALSE)</f>
        <v>7.3</v>
      </c>
      <c r="N380" s="109">
        <f>prodnorm68</f>
        <v>0</v>
      </c>
      <c r="O380" s="106" t="s">
        <v>105</v>
      </c>
      <c r="P380" s="28">
        <f>uurtarief68</f>
        <v>0</v>
      </c>
      <c r="Q380" s="108" t="e">
        <f>IF(ISBLANK(N380),0,M380/ROUND(N380,4))</f>
        <v>#DIV/0!</v>
      </c>
      <c r="R380" s="28" t="e">
        <f>ROUND(P380,2)*Q380</f>
        <v>#DIV/0!</v>
      </c>
      <c r="S380" s="108" t="e">
        <f>Q380*dagenperjaar1</f>
        <v>#DIV/0!</v>
      </c>
      <c r="T380" s="29" t="e">
        <f>S380*ROUND(P380,2)</f>
        <v>#DIV/0!</v>
      </c>
    </row>
    <row r="381" spans="1:20" x14ac:dyDescent="0.2">
      <c r="A381" s="105" t="s">
        <v>666</v>
      </c>
      <c r="B381" s="106" t="s">
        <v>37</v>
      </c>
      <c r="C381" s="106" t="s">
        <v>322</v>
      </c>
      <c r="D381" s="106" t="s">
        <v>347</v>
      </c>
      <c r="E381" s="106" t="s">
        <v>37</v>
      </c>
      <c r="F381" s="107" t="s">
        <v>668</v>
      </c>
      <c r="G381" s="106" t="s">
        <v>369</v>
      </c>
      <c r="H381" s="106" t="s">
        <v>251</v>
      </c>
      <c r="I381" s="106" t="s">
        <v>20</v>
      </c>
      <c r="J381" s="106" t="s">
        <v>231</v>
      </c>
      <c r="K381" s="106"/>
      <c r="L381" s="108">
        <v>1.8</v>
      </c>
      <c r="M381" s="108">
        <f>L381*VLOOKUP(I381,dagsoorttabel1,2,FALSE)</f>
        <v>2.823529411764706E-2</v>
      </c>
      <c r="N381" s="109">
        <f>prodnorm63</f>
        <v>0</v>
      </c>
      <c r="O381" s="106" t="s">
        <v>105</v>
      </c>
      <c r="P381" s="28">
        <f>uurtarief63</f>
        <v>0</v>
      </c>
      <c r="Q381" s="108" t="e">
        <f>IF(ISBLANK(N381),0,M381/ROUND(N381,4))</f>
        <v>#DIV/0!</v>
      </c>
      <c r="R381" s="28" t="e">
        <f>ROUND(P381,2)*Q381</f>
        <v>#DIV/0!</v>
      </c>
      <c r="S381" s="108" t="e">
        <f>Q381*dagenperjaar1</f>
        <v>#DIV/0!</v>
      </c>
      <c r="T381" s="29" t="e">
        <f>S381*ROUND(P381,2)</f>
        <v>#DIV/0!</v>
      </c>
    </row>
    <row r="382" spans="1:20" x14ac:dyDescent="0.2">
      <c r="A382" s="105" t="s">
        <v>666</v>
      </c>
      <c r="B382" s="106" t="s">
        <v>37</v>
      </c>
      <c r="C382" s="106" t="s">
        <v>322</v>
      </c>
      <c r="D382" s="106" t="s">
        <v>350</v>
      </c>
      <c r="E382" s="106" t="s">
        <v>37</v>
      </c>
      <c r="F382" s="107" t="s">
        <v>615</v>
      </c>
      <c r="G382" s="106" t="s">
        <v>369</v>
      </c>
      <c r="H382" s="106" t="s">
        <v>267</v>
      </c>
      <c r="I382" s="106" t="s">
        <v>9</v>
      </c>
      <c r="J382" s="106" t="s">
        <v>231</v>
      </c>
      <c r="K382" s="106"/>
      <c r="L382" s="108">
        <v>5.3</v>
      </c>
      <c r="M382" s="108">
        <f>L382*VLOOKUP(I382,dagsoorttabel1,2,FALSE)</f>
        <v>5.3</v>
      </c>
      <c r="N382" s="109">
        <f>prodnorm101</f>
        <v>0</v>
      </c>
      <c r="O382" s="106" t="s">
        <v>105</v>
      </c>
      <c r="P382" s="28">
        <f>uurtarief101</f>
        <v>0</v>
      </c>
      <c r="Q382" s="108" t="e">
        <f>IF(ISBLANK(N382),0,M382/ROUND(N382,4))</f>
        <v>#DIV/0!</v>
      </c>
      <c r="R382" s="28" t="e">
        <f>ROUND(P382,2)*Q382</f>
        <v>#DIV/0!</v>
      </c>
      <c r="S382" s="108" t="e">
        <f>Q382*dagenperjaar1</f>
        <v>#DIV/0!</v>
      </c>
      <c r="T382" s="29" t="e">
        <f>S382*ROUND(P382,2)</f>
        <v>#DIV/0!</v>
      </c>
    </row>
    <row r="383" spans="1:20" x14ac:dyDescent="0.2">
      <c r="A383" s="105" t="s">
        <v>666</v>
      </c>
      <c r="B383" s="106" t="s">
        <v>37</v>
      </c>
      <c r="C383" s="106" t="s">
        <v>544</v>
      </c>
      <c r="D383" s="106" t="s">
        <v>37</v>
      </c>
      <c r="E383" s="106" t="s">
        <v>37</v>
      </c>
      <c r="F383" s="107" t="s">
        <v>545</v>
      </c>
      <c r="G383" s="106" t="s">
        <v>37</v>
      </c>
      <c r="H383" s="106" t="s">
        <v>298</v>
      </c>
      <c r="I383" s="106" t="s">
        <v>13</v>
      </c>
      <c r="J383" s="106" t="s">
        <v>299</v>
      </c>
      <c r="K383" s="106"/>
      <c r="L383" s="108">
        <v>1</v>
      </c>
      <c r="M383" s="108">
        <f>L383*VLOOKUP(I383,dagsoorttabel1,2,FALSE)</f>
        <v>0.2</v>
      </c>
      <c r="N383" s="109">
        <f>prodnorm21</f>
        <v>0</v>
      </c>
      <c r="O383" s="106" t="s">
        <v>301</v>
      </c>
      <c r="P383" s="28">
        <f>uurtarief21</f>
        <v>0</v>
      </c>
      <c r="Q383" s="108">
        <f>M383*ROUND(N383,4)/60</f>
        <v>0</v>
      </c>
      <c r="R383" s="28">
        <f>ROUND(P383,2)*Q383</f>
        <v>0</v>
      </c>
      <c r="S383" s="108">
        <f>Q383*dagenperjaar1</f>
        <v>0</v>
      </c>
      <c r="T383" s="29">
        <f>S383*ROUND(P383,2)</f>
        <v>0</v>
      </c>
    </row>
    <row r="384" spans="1:20" x14ac:dyDescent="0.2">
      <c r="A384" s="105" t="s">
        <v>666</v>
      </c>
      <c r="B384" s="106" t="s">
        <v>37</v>
      </c>
      <c r="C384" s="106" t="s">
        <v>544</v>
      </c>
      <c r="D384" s="106" t="s">
        <v>37</v>
      </c>
      <c r="E384" s="106" t="s">
        <v>37</v>
      </c>
      <c r="F384" s="107" t="s">
        <v>545</v>
      </c>
      <c r="G384" s="106" t="s">
        <v>37</v>
      </c>
      <c r="H384" s="106" t="s">
        <v>302</v>
      </c>
      <c r="I384" s="106" t="s">
        <v>15</v>
      </c>
      <c r="J384" s="106" t="s">
        <v>299</v>
      </c>
      <c r="K384" s="106"/>
      <c r="L384" s="108">
        <v>1</v>
      </c>
      <c r="M384" s="108">
        <f>L384*VLOOKUP(I384,dagsoorttabel1,2,FALSE)</f>
        <v>4.7058823529411764E-2</v>
      </c>
      <c r="N384" s="109">
        <f>prodnorm24</f>
        <v>0</v>
      </c>
      <c r="O384" s="106" t="s">
        <v>301</v>
      </c>
      <c r="P384" s="28">
        <f>uurtarief24</f>
        <v>0</v>
      </c>
      <c r="Q384" s="108">
        <f>M384*ROUND(N384,4)/60</f>
        <v>0</v>
      </c>
      <c r="R384" s="28">
        <f>ROUND(P384,2)*Q384</f>
        <v>0</v>
      </c>
      <c r="S384" s="108">
        <f>Q384*dagenperjaar1</f>
        <v>0</v>
      </c>
      <c r="T384" s="29">
        <f>S384*ROUND(P384,2)</f>
        <v>0</v>
      </c>
    </row>
    <row r="385" spans="1:20" x14ac:dyDescent="0.2">
      <c r="A385" s="110" t="s">
        <v>666</v>
      </c>
      <c r="B385" s="111" t="s">
        <v>37</v>
      </c>
      <c r="C385" s="111" t="s">
        <v>544</v>
      </c>
      <c r="D385" s="111" t="s">
        <v>37</v>
      </c>
      <c r="E385" s="111" t="s">
        <v>37</v>
      </c>
      <c r="F385" s="112" t="s">
        <v>545</v>
      </c>
      <c r="G385" s="111" t="s">
        <v>37</v>
      </c>
      <c r="H385" s="111" t="s">
        <v>304</v>
      </c>
      <c r="I385" s="111" t="s">
        <v>13</v>
      </c>
      <c r="J385" s="111" t="s">
        <v>299</v>
      </c>
      <c r="K385" s="111"/>
      <c r="L385" s="113">
        <v>1</v>
      </c>
      <c r="M385" s="113">
        <f>L385*VLOOKUP(I385,dagsoorttabel1,2,FALSE)</f>
        <v>0.2</v>
      </c>
      <c r="N385" s="114">
        <f>prodnorm25</f>
        <v>0</v>
      </c>
      <c r="O385" s="111" t="s">
        <v>301</v>
      </c>
      <c r="P385" s="38">
        <f>uurtarief25</f>
        <v>0</v>
      </c>
      <c r="Q385" s="113">
        <f>M385*ROUND(N385,4)/60</f>
        <v>0</v>
      </c>
      <c r="R385" s="38">
        <f>ROUND(P385,2)*Q385</f>
        <v>0</v>
      </c>
      <c r="S385" s="113">
        <f>Q385*dagenperjaar1</f>
        <v>0</v>
      </c>
      <c r="T385" s="39">
        <f>S385*ROUND(P385,2)</f>
        <v>0</v>
      </c>
    </row>
    <row r="386" spans="1:20" x14ac:dyDescent="0.2">
      <c r="A386" s="115" t="s">
        <v>546</v>
      </c>
      <c r="B386" s="83"/>
      <c r="C386" s="83"/>
      <c r="D386" s="83"/>
      <c r="E386" s="83"/>
      <c r="F386" s="83"/>
      <c r="G386" s="83"/>
      <c r="H386" s="83"/>
      <c r="I386" s="83"/>
      <c r="J386" s="83"/>
      <c r="K386" s="83"/>
      <c r="L386" s="83"/>
      <c r="M386" s="83"/>
      <c r="N386" s="83"/>
      <c r="O386" s="83"/>
      <c r="P386" s="85" t="e">
        <f>IF(_xlfn.SINGLE(object11_urenjaar1)&gt;0,_xlfn.SINGLE(object11_prijsjaar1)/_xlfn.SINGLE(object11_urenjaar1),0)</f>
        <v>#DIV/0!</v>
      </c>
      <c r="Q386" s="84" t="e">
        <f>SUM(Q373:Q385)</f>
        <v>#DIV/0!</v>
      </c>
      <c r="R386" s="85" t="e">
        <f>SUM(R373:R385)</f>
        <v>#DIV/0!</v>
      </c>
      <c r="S386" s="84" t="e">
        <f>SUM(S373:S385)</f>
        <v>#DIV/0!</v>
      </c>
      <c r="T386" s="86" t="e">
        <f>SUM(T373:T385)</f>
        <v>#DIV/0!</v>
      </c>
    </row>
    <row r="387" spans="1:20" x14ac:dyDescent="0.2">
      <c r="A387" s="91" t="s">
        <v>669</v>
      </c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81"/>
    </row>
    <row r="388" spans="1:20" x14ac:dyDescent="0.2">
      <c r="A388" s="98" t="s">
        <v>670</v>
      </c>
      <c r="B388" s="99" t="s">
        <v>37</v>
      </c>
      <c r="C388" s="99" t="s">
        <v>322</v>
      </c>
      <c r="D388" s="99" t="s">
        <v>323</v>
      </c>
      <c r="E388" s="99" t="s">
        <v>37</v>
      </c>
      <c r="F388" s="100" t="s">
        <v>561</v>
      </c>
      <c r="G388" s="99" t="s">
        <v>376</v>
      </c>
      <c r="H388" s="99" t="s">
        <v>273</v>
      </c>
      <c r="I388" s="99" t="s">
        <v>11</v>
      </c>
      <c r="J388" s="99" t="s">
        <v>231</v>
      </c>
      <c r="K388" s="99"/>
      <c r="L388" s="101">
        <v>47</v>
      </c>
      <c r="M388" s="101">
        <f>L388*VLOOKUP(I388,dagsoorttabel1,2,FALSE)</f>
        <v>28.2</v>
      </c>
      <c r="N388" s="102">
        <f>prodnorm110</f>
        <v>0</v>
      </c>
      <c r="O388" s="99" t="s">
        <v>105</v>
      </c>
      <c r="P388" s="103">
        <f>uurtarief110</f>
        <v>0</v>
      </c>
      <c r="Q388" s="101" t="e">
        <f>IF(ISBLANK(N388),0,M388/ROUND(N388,4))</f>
        <v>#DIV/0!</v>
      </c>
      <c r="R388" s="103" t="e">
        <f>ROUND(P388,2)*Q388</f>
        <v>#DIV/0!</v>
      </c>
      <c r="S388" s="101" t="e">
        <f>Q388*dagenperjaar1</f>
        <v>#DIV/0!</v>
      </c>
      <c r="T388" s="104" t="e">
        <f>S388*ROUND(P388,2)</f>
        <v>#DIV/0!</v>
      </c>
    </row>
    <row r="389" spans="1:20" x14ac:dyDescent="0.2">
      <c r="A389" s="105" t="s">
        <v>670</v>
      </c>
      <c r="B389" s="106" t="s">
        <v>37</v>
      </c>
      <c r="C389" s="106" t="s">
        <v>322</v>
      </c>
      <c r="D389" s="106" t="s">
        <v>326</v>
      </c>
      <c r="E389" s="106" t="s">
        <v>37</v>
      </c>
      <c r="F389" s="107" t="s">
        <v>579</v>
      </c>
      <c r="G389" s="106" t="s">
        <v>331</v>
      </c>
      <c r="H389" s="106" t="s">
        <v>257</v>
      </c>
      <c r="I389" s="106" t="s">
        <v>11</v>
      </c>
      <c r="J389" s="106" t="s">
        <v>231</v>
      </c>
      <c r="K389" s="106"/>
      <c r="L389" s="108">
        <v>20</v>
      </c>
      <c r="M389" s="108">
        <f>L389*VLOOKUP(I389,dagsoorttabel1,2,FALSE)</f>
        <v>12</v>
      </c>
      <c r="N389" s="109">
        <f>prodnorm77</f>
        <v>0</v>
      </c>
      <c r="O389" s="106" t="s">
        <v>105</v>
      </c>
      <c r="P389" s="28">
        <f>uurtarief77</f>
        <v>0</v>
      </c>
      <c r="Q389" s="108" t="e">
        <f>IF(ISBLANK(N389),0,M389/ROUND(N389,4))</f>
        <v>#DIV/0!</v>
      </c>
      <c r="R389" s="28" t="e">
        <f>ROUND(P389,2)*Q389</f>
        <v>#DIV/0!</v>
      </c>
      <c r="S389" s="108" t="e">
        <f>Q389*dagenperjaar1</f>
        <v>#DIV/0!</v>
      </c>
      <c r="T389" s="29" t="e">
        <f>S389*ROUND(P389,2)</f>
        <v>#DIV/0!</v>
      </c>
    </row>
    <row r="390" spans="1:20" x14ac:dyDescent="0.2">
      <c r="A390" s="105" t="s">
        <v>670</v>
      </c>
      <c r="B390" s="106" t="s">
        <v>37</v>
      </c>
      <c r="C390" s="106" t="s">
        <v>322</v>
      </c>
      <c r="D390" s="106" t="s">
        <v>329</v>
      </c>
      <c r="E390" s="106" t="s">
        <v>37</v>
      </c>
      <c r="F390" s="107" t="s">
        <v>671</v>
      </c>
      <c r="G390" s="106" t="s">
        <v>325</v>
      </c>
      <c r="H390" s="106" t="s">
        <v>237</v>
      </c>
      <c r="I390" s="106" t="s">
        <v>11</v>
      </c>
      <c r="J390" s="106" t="s">
        <v>231</v>
      </c>
      <c r="K390" s="106"/>
      <c r="L390" s="108">
        <v>24</v>
      </c>
      <c r="M390" s="108">
        <f>L390*VLOOKUP(I390,dagsoorttabel1,2,FALSE)</f>
        <v>14.399999999999999</v>
      </c>
      <c r="N390" s="109">
        <f>prodnorm41</f>
        <v>0</v>
      </c>
      <c r="O390" s="106" t="s">
        <v>105</v>
      </c>
      <c r="P390" s="28">
        <f>uurtarief41</f>
        <v>0</v>
      </c>
      <c r="Q390" s="108" t="e">
        <f>IF(ISBLANK(N390),0,M390/ROUND(N390,4))</f>
        <v>#DIV/0!</v>
      </c>
      <c r="R390" s="28" t="e">
        <f>ROUND(P390,2)*Q390</f>
        <v>#DIV/0!</v>
      </c>
      <c r="S390" s="108" t="e">
        <f>Q390*dagenperjaar1</f>
        <v>#DIV/0!</v>
      </c>
      <c r="T390" s="29" t="e">
        <f>S390*ROUND(P390,2)</f>
        <v>#DIV/0!</v>
      </c>
    </row>
    <row r="391" spans="1:20" x14ac:dyDescent="0.2">
      <c r="A391" s="105" t="s">
        <v>670</v>
      </c>
      <c r="B391" s="106" t="s">
        <v>37</v>
      </c>
      <c r="C391" s="106" t="s">
        <v>322</v>
      </c>
      <c r="D391" s="106" t="s">
        <v>332</v>
      </c>
      <c r="E391" s="106" t="s">
        <v>37</v>
      </c>
      <c r="F391" s="107" t="s">
        <v>671</v>
      </c>
      <c r="G391" s="106" t="s">
        <v>331</v>
      </c>
      <c r="H391" s="106" t="s">
        <v>235</v>
      </c>
      <c r="I391" s="106" t="s">
        <v>11</v>
      </c>
      <c r="J391" s="106" t="s">
        <v>231</v>
      </c>
      <c r="K391" s="106"/>
      <c r="L391" s="108">
        <v>36</v>
      </c>
      <c r="M391" s="108">
        <f>L391*VLOOKUP(I391,dagsoorttabel1,2,FALSE)</f>
        <v>21.599999999999998</v>
      </c>
      <c r="N391" s="109">
        <f>prodnorm38</f>
        <v>0</v>
      </c>
      <c r="O391" s="106" t="s">
        <v>105</v>
      </c>
      <c r="P391" s="28">
        <f>uurtarief38</f>
        <v>0</v>
      </c>
      <c r="Q391" s="108" t="e">
        <f>IF(ISBLANK(N391),0,M391/ROUND(N391,4))</f>
        <v>#DIV/0!</v>
      </c>
      <c r="R391" s="28" t="e">
        <f>ROUND(P391,2)*Q391</f>
        <v>#DIV/0!</v>
      </c>
      <c r="S391" s="108" t="e">
        <f>Q391*dagenperjaar1</f>
        <v>#DIV/0!</v>
      </c>
      <c r="T391" s="29" t="e">
        <f>S391*ROUND(P391,2)</f>
        <v>#DIV/0!</v>
      </c>
    </row>
    <row r="392" spans="1:20" x14ac:dyDescent="0.2">
      <c r="A392" s="105" t="s">
        <v>670</v>
      </c>
      <c r="B392" s="106" t="s">
        <v>37</v>
      </c>
      <c r="C392" s="106" t="s">
        <v>322</v>
      </c>
      <c r="D392" s="106" t="s">
        <v>334</v>
      </c>
      <c r="E392" s="106" t="s">
        <v>37</v>
      </c>
      <c r="F392" s="107" t="s">
        <v>671</v>
      </c>
      <c r="G392" s="106" t="s">
        <v>331</v>
      </c>
      <c r="H392" s="106" t="s">
        <v>235</v>
      </c>
      <c r="I392" s="106" t="s">
        <v>11</v>
      </c>
      <c r="J392" s="106" t="s">
        <v>231</v>
      </c>
      <c r="K392" s="106"/>
      <c r="L392" s="108">
        <v>42</v>
      </c>
      <c r="M392" s="108">
        <f>L392*VLOOKUP(I392,dagsoorttabel1,2,FALSE)</f>
        <v>25.2</v>
      </c>
      <c r="N392" s="109">
        <f>prodnorm38</f>
        <v>0</v>
      </c>
      <c r="O392" s="106" t="s">
        <v>105</v>
      </c>
      <c r="P392" s="28">
        <f>uurtarief38</f>
        <v>0</v>
      </c>
      <c r="Q392" s="108" t="e">
        <f>IF(ISBLANK(N392),0,M392/ROUND(N392,4))</f>
        <v>#DIV/0!</v>
      </c>
      <c r="R392" s="28" t="e">
        <f>ROUND(P392,2)*Q392</f>
        <v>#DIV/0!</v>
      </c>
      <c r="S392" s="108" t="e">
        <f>Q392*dagenperjaar1</f>
        <v>#DIV/0!</v>
      </c>
      <c r="T392" s="29" t="e">
        <f>S392*ROUND(P392,2)</f>
        <v>#DIV/0!</v>
      </c>
    </row>
    <row r="393" spans="1:20" x14ac:dyDescent="0.2">
      <c r="A393" s="105" t="s">
        <v>670</v>
      </c>
      <c r="B393" s="106" t="s">
        <v>37</v>
      </c>
      <c r="C393" s="106" t="s">
        <v>322</v>
      </c>
      <c r="D393" s="106" t="s">
        <v>336</v>
      </c>
      <c r="E393" s="106" t="s">
        <v>37</v>
      </c>
      <c r="F393" s="107" t="s">
        <v>621</v>
      </c>
      <c r="G393" s="106" t="s">
        <v>376</v>
      </c>
      <c r="H393" s="106" t="s">
        <v>249</v>
      </c>
      <c r="I393" s="106" t="s">
        <v>11</v>
      </c>
      <c r="J393" s="106" t="s">
        <v>231</v>
      </c>
      <c r="K393" s="106"/>
      <c r="L393" s="108">
        <v>15</v>
      </c>
      <c r="M393" s="108">
        <f>L393*VLOOKUP(I393,dagsoorttabel1,2,FALSE)</f>
        <v>9</v>
      </c>
      <c r="N393" s="109">
        <f>prodnorm57</f>
        <v>0</v>
      </c>
      <c r="O393" s="106" t="s">
        <v>105</v>
      </c>
      <c r="P393" s="28">
        <f>uurtarief57</f>
        <v>0</v>
      </c>
      <c r="Q393" s="108" t="e">
        <f>IF(ISBLANK(N393),0,M393/ROUND(N393,4))</f>
        <v>#DIV/0!</v>
      </c>
      <c r="R393" s="28" t="e">
        <f>ROUND(P393,2)*Q393</f>
        <v>#DIV/0!</v>
      </c>
      <c r="S393" s="108" t="e">
        <f>Q393*dagenperjaar1</f>
        <v>#DIV/0!</v>
      </c>
      <c r="T393" s="29" t="e">
        <f>S393*ROUND(P393,2)</f>
        <v>#DIV/0!</v>
      </c>
    </row>
    <row r="394" spans="1:20" x14ac:dyDescent="0.2">
      <c r="A394" s="105" t="s">
        <v>670</v>
      </c>
      <c r="B394" s="106" t="s">
        <v>37</v>
      </c>
      <c r="C394" s="106" t="s">
        <v>322</v>
      </c>
      <c r="D394" s="106" t="s">
        <v>338</v>
      </c>
      <c r="E394" s="106" t="s">
        <v>37</v>
      </c>
      <c r="F394" s="107" t="s">
        <v>667</v>
      </c>
      <c r="G394" s="106" t="s">
        <v>331</v>
      </c>
      <c r="H394" s="106" t="s">
        <v>241</v>
      </c>
      <c r="I394" s="106" t="s">
        <v>11</v>
      </c>
      <c r="J394" s="106" t="s">
        <v>231</v>
      </c>
      <c r="K394" s="106"/>
      <c r="L394" s="108">
        <v>43</v>
      </c>
      <c r="M394" s="108">
        <f>L394*VLOOKUP(I394,dagsoorttabel1,2,FALSE)</f>
        <v>25.8</v>
      </c>
      <c r="N394" s="109">
        <f>prodnorm46</f>
        <v>0</v>
      </c>
      <c r="O394" s="106" t="s">
        <v>105</v>
      </c>
      <c r="P394" s="28">
        <f>uurtarief46</f>
        <v>0</v>
      </c>
      <c r="Q394" s="108" t="e">
        <f>IF(ISBLANK(N394),0,M394/ROUND(N394,4))</f>
        <v>#DIV/0!</v>
      </c>
      <c r="R394" s="28" t="e">
        <f>ROUND(P394,2)*Q394</f>
        <v>#DIV/0!</v>
      </c>
      <c r="S394" s="108" t="e">
        <f>Q394*dagenperjaar1</f>
        <v>#DIV/0!</v>
      </c>
      <c r="T394" s="29" t="e">
        <f>S394*ROUND(P394,2)</f>
        <v>#DIV/0!</v>
      </c>
    </row>
    <row r="395" spans="1:20" x14ac:dyDescent="0.2">
      <c r="A395" s="105" t="s">
        <v>670</v>
      </c>
      <c r="B395" s="106" t="s">
        <v>37</v>
      </c>
      <c r="C395" s="106" t="s">
        <v>322</v>
      </c>
      <c r="D395" s="106" t="s">
        <v>339</v>
      </c>
      <c r="E395" s="106" t="s">
        <v>37</v>
      </c>
      <c r="F395" s="107" t="s">
        <v>657</v>
      </c>
      <c r="G395" s="106" t="s">
        <v>376</v>
      </c>
      <c r="H395" s="106" t="s">
        <v>267</v>
      </c>
      <c r="I395" s="106" t="s">
        <v>11</v>
      </c>
      <c r="J395" s="106" t="s">
        <v>231</v>
      </c>
      <c r="K395" s="106"/>
      <c r="L395" s="108">
        <v>18</v>
      </c>
      <c r="M395" s="108">
        <f>L395*VLOOKUP(I395,dagsoorttabel1,2,FALSE)</f>
        <v>10.799999999999999</v>
      </c>
      <c r="N395" s="109">
        <f>prodnorm98</f>
        <v>0</v>
      </c>
      <c r="O395" s="106" t="s">
        <v>105</v>
      </c>
      <c r="P395" s="28">
        <f>uurtarief98</f>
        <v>0</v>
      </c>
      <c r="Q395" s="108" t="e">
        <f>IF(ISBLANK(N395),0,M395/ROUND(N395,4))</f>
        <v>#DIV/0!</v>
      </c>
      <c r="R395" s="28" t="e">
        <f>ROUND(P395,2)*Q395</f>
        <v>#DIV/0!</v>
      </c>
      <c r="S395" s="108" t="e">
        <f>Q395*dagenperjaar1</f>
        <v>#DIV/0!</v>
      </c>
      <c r="T395" s="29" t="e">
        <f>S395*ROUND(P395,2)</f>
        <v>#DIV/0!</v>
      </c>
    </row>
    <row r="396" spans="1:20" x14ac:dyDescent="0.2">
      <c r="A396" s="105" t="s">
        <v>670</v>
      </c>
      <c r="B396" s="106" t="s">
        <v>37</v>
      </c>
      <c r="C396" s="106" t="s">
        <v>322</v>
      </c>
      <c r="D396" s="106" t="s">
        <v>342</v>
      </c>
      <c r="E396" s="106" t="s">
        <v>37</v>
      </c>
      <c r="F396" s="107" t="s">
        <v>657</v>
      </c>
      <c r="G396" s="106" t="s">
        <v>376</v>
      </c>
      <c r="H396" s="106" t="s">
        <v>267</v>
      </c>
      <c r="I396" s="106" t="s">
        <v>11</v>
      </c>
      <c r="J396" s="106" t="s">
        <v>231</v>
      </c>
      <c r="K396" s="106"/>
      <c r="L396" s="108">
        <v>18</v>
      </c>
      <c r="M396" s="108">
        <f>L396*VLOOKUP(I396,dagsoorttabel1,2,FALSE)</f>
        <v>10.799999999999999</v>
      </c>
      <c r="N396" s="109">
        <f>prodnorm98</f>
        <v>0</v>
      </c>
      <c r="O396" s="106" t="s">
        <v>105</v>
      </c>
      <c r="P396" s="28">
        <f>uurtarief98</f>
        <v>0</v>
      </c>
      <c r="Q396" s="108" t="e">
        <f>IF(ISBLANK(N396),0,M396/ROUND(N396,4))</f>
        <v>#DIV/0!</v>
      </c>
      <c r="R396" s="28" t="e">
        <f>ROUND(P396,2)*Q396</f>
        <v>#DIV/0!</v>
      </c>
      <c r="S396" s="108" t="e">
        <f>Q396*dagenperjaar1</f>
        <v>#DIV/0!</v>
      </c>
      <c r="T396" s="29" t="e">
        <f>S396*ROUND(P396,2)</f>
        <v>#DIV/0!</v>
      </c>
    </row>
    <row r="397" spans="1:20" x14ac:dyDescent="0.2">
      <c r="A397" s="105" t="s">
        <v>670</v>
      </c>
      <c r="B397" s="106" t="s">
        <v>37</v>
      </c>
      <c r="C397" s="106" t="s">
        <v>322</v>
      </c>
      <c r="D397" s="106" t="s">
        <v>344</v>
      </c>
      <c r="E397" s="106" t="s">
        <v>37</v>
      </c>
      <c r="F397" s="107" t="s">
        <v>672</v>
      </c>
      <c r="G397" s="106" t="s">
        <v>376</v>
      </c>
      <c r="H397" s="106" t="s">
        <v>265</v>
      </c>
      <c r="I397" s="106" t="s">
        <v>11</v>
      </c>
      <c r="J397" s="106" t="s">
        <v>231</v>
      </c>
      <c r="K397" s="106"/>
      <c r="L397" s="108">
        <v>9</v>
      </c>
      <c r="M397" s="108">
        <f>L397*VLOOKUP(I397,dagsoorttabel1,2,FALSE)</f>
        <v>5.3999999999999995</v>
      </c>
      <c r="N397" s="109">
        <f>prodnorm91</f>
        <v>0</v>
      </c>
      <c r="O397" s="106" t="s">
        <v>105</v>
      </c>
      <c r="P397" s="28">
        <f>uurtarief91</f>
        <v>0</v>
      </c>
      <c r="Q397" s="108" t="e">
        <f>IF(ISBLANK(N397),0,M397/ROUND(N397,4))</f>
        <v>#DIV/0!</v>
      </c>
      <c r="R397" s="28" t="e">
        <f>ROUND(P397,2)*Q397</f>
        <v>#DIV/0!</v>
      </c>
      <c r="S397" s="108" t="e">
        <f>Q397*dagenperjaar1</f>
        <v>#DIV/0!</v>
      </c>
      <c r="T397" s="29" t="e">
        <f>S397*ROUND(P397,2)</f>
        <v>#DIV/0!</v>
      </c>
    </row>
    <row r="398" spans="1:20" x14ac:dyDescent="0.2">
      <c r="A398" s="105" t="s">
        <v>670</v>
      </c>
      <c r="B398" s="106" t="s">
        <v>37</v>
      </c>
      <c r="C398" s="106" t="s">
        <v>322</v>
      </c>
      <c r="D398" s="106" t="s">
        <v>347</v>
      </c>
      <c r="E398" s="106" t="s">
        <v>37</v>
      </c>
      <c r="F398" s="107" t="s">
        <v>673</v>
      </c>
      <c r="G398" s="106" t="s">
        <v>331</v>
      </c>
      <c r="H398" s="106" t="s">
        <v>241</v>
      </c>
      <c r="I398" s="106" t="s">
        <v>12</v>
      </c>
      <c r="J398" s="106" t="s">
        <v>231</v>
      </c>
      <c r="K398" s="106"/>
      <c r="L398" s="108">
        <v>42</v>
      </c>
      <c r="M398" s="108">
        <f>L398*VLOOKUP(I398,dagsoorttabel1,2,FALSE)</f>
        <v>16.8</v>
      </c>
      <c r="N398" s="109">
        <f>prodnorm45</f>
        <v>0</v>
      </c>
      <c r="O398" s="106" t="s">
        <v>105</v>
      </c>
      <c r="P398" s="28">
        <f>uurtarief45</f>
        <v>0</v>
      </c>
      <c r="Q398" s="108" t="e">
        <f>IF(ISBLANK(N398),0,M398/ROUND(N398,4))</f>
        <v>#DIV/0!</v>
      </c>
      <c r="R398" s="28" t="e">
        <f>ROUND(P398,2)*Q398</f>
        <v>#DIV/0!</v>
      </c>
      <c r="S398" s="108" t="e">
        <f>Q398*dagenperjaar1</f>
        <v>#DIV/0!</v>
      </c>
      <c r="T398" s="29" t="e">
        <f>S398*ROUND(P398,2)</f>
        <v>#DIV/0!</v>
      </c>
    </row>
    <row r="399" spans="1:20" x14ac:dyDescent="0.2">
      <c r="A399" s="105" t="s">
        <v>670</v>
      </c>
      <c r="B399" s="106" t="s">
        <v>37</v>
      </c>
      <c r="C399" s="106" t="s">
        <v>544</v>
      </c>
      <c r="D399" s="106" t="s">
        <v>37</v>
      </c>
      <c r="E399" s="106" t="s">
        <v>37</v>
      </c>
      <c r="F399" s="107" t="s">
        <v>545</v>
      </c>
      <c r="G399" s="106" t="s">
        <v>37</v>
      </c>
      <c r="H399" s="106" t="s">
        <v>298</v>
      </c>
      <c r="I399" s="106" t="s">
        <v>13</v>
      </c>
      <c r="J399" s="106" t="s">
        <v>299</v>
      </c>
      <c r="K399" s="106"/>
      <c r="L399" s="108">
        <v>1</v>
      </c>
      <c r="M399" s="108">
        <f>L399*VLOOKUP(I399,dagsoorttabel1,2,FALSE)</f>
        <v>0.2</v>
      </c>
      <c r="N399" s="109">
        <f>prodnorm21</f>
        <v>0</v>
      </c>
      <c r="O399" s="106" t="s">
        <v>301</v>
      </c>
      <c r="P399" s="28">
        <f>uurtarief21</f>
        <v>0</v>
      </c>
      <c r="Q399" s="108">
        <f>M399*ROUND(N399,4)/60</f>
        <v>0</v>
      </c>
      <c r="R399" s="28">
        <f>ROUND(P399,2)*Q399</f>
        <v>0</v>
      </c>
      <c r="S399" s="108">
        <f>Q399*dagenperjaar1</f>
        <v>0</v>
      </c>
      <c r="T399" s="29">
        <f>S399*ROUND(P399,2)</f>
        <v>0</v>
      </c>
    </row>
    <row r="400" spans="1:20" x14ac:dyDescent="0.2">
      <c r="A400" s="110" t="s">
        <v>670</v>
      </c>
      <c r="B400" s="111" t="s">
        <v>37</v>
      </c>
      <c r="C400" s="111" t="s">
        <v>544</v>
      </c>
      <c r="D400" s="111" t="s">
        <v>37</v>
      </c>
      <c r="E400" s="111" t="s">
        <v>37</v>
      </c>
      <c r="F400" s="112" t="s">
        <v>545</v>
      </c>
      <c r="G400" s="111" t="s">
        <v>37</v>
      </c>
      <c r="H400" s="111" t="s">
        <v>302</v>
      </c>
      <c r="I400" s="111" t="s">
        <v>15</v>
      </c>
      <c r="J400" s="111" t="s">
        <v>299</v>
      </c>
      <c r="K400" s="111"/>
      <c r="L400" s="113">
        <v>1</v>
      </c>
      <c r="M400" s="113">
        <f>L400*VLOOKUP(I400,dagsoorttabel1,2,FALSE)</f>
        <v>4.7058823529411764E-2</v>
      </c>
      <c r="N400" s="114">
        <f>prodnorm24</f>
        <v>0</v>
      </c>
      <c r="O400" s="111" t="s">
        <v>301</v>
      </c>
      <c r="P400" s="38">
        <f>uurtarief24</f>
        <v>0</v>
      </c>
      <c r="Q400" s="113">
        <f>M400*ROUND(N400,4)/60</f>
        <v>0</v>
      </c>
      <c r="R400" s="38">
        <f>ROUND(P400,2)*Q400</f>
        <v>0</v>
      </c>
      <c r="S400" s="113">
        <f>Q400*dagenperjaar1</f>
        <v>0</v>
      </c>
      <c r="T400" s="39">
        <f>S400*ROUND(P400,2)</f>
        <v>0</v>
      </c>
    </row>
    <row r="401" spans="1:20" x14ac:dyDescent="0.2">
      <c r="A401" s="115" t="s">
        <v>546</v>
      </c>
      <c r="B401" s="83"/>
      <c r="C401" s="83"/>
      <c r="D401" s="83"/>
      <c r="E401" s="83"/>
      <c r="F401" s="83"/>
      <c r="G401" s="83"/>
      <c r="H401" s="83"/>
      <c r="I401" s="83"/>
      <c r="J401" s="83"/>
      <c r="K401" s="83"/>
      <c r="L401" s="83"/>
      <c r="M401" s="83"/>
      <c r="N401" s="83"/>
      <c r="O401" s="83"/>
      <c r="P401" s="85" t="e">
        <f>IF(_xlfn.SINGLE(object12_urenjaar1)&gt;0,_xlfn.SINGLE(object12_prijsjaar1)/_xlfn.SINGLE(object12_urenjaar1),0)</f>
        <v>#DIV/0!</v>
      </c>
      <c r="Q401" s="84" t="e">
        <f>SUM(Q388:Q400)</f>
        <v>#DIV/0!</v>
      </c>
      <c r="R401" s="85" t="e">
        <f>SUM(R388:R400)</f>
        <v>#DIV/0!</v>
      </c>
      <c r="S401" s="84" t="e">
        <f>SUM(S388:S400)</f>
        <v>#DIV/0!</v>
      </c>
      <c r="T401" s="86" t="e">
        <f>SUM(T388:T400)</f>
        <v>#DIV/0!</v>
      </c>
    </row>
    <row r="402" spans="1:20" x14ac:dyDescent="0.2">
      <c r="A402" s="91" t="s">
        <v>674</v>
      </c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81"/>
    </row>
    <row r="403" spans="1:20" x14ac:dyDescent="0.2">
      <c r="A403" s="98" t="s">
        <v>675</v>
      </c>
      <c r="B403" s="99" t="s">
        <v>37</v>
      </c>
      <c r="C403" s="99" t="s">
        <v>322</v>
      </c>
      <c r="D403" s="99" t="s">
        <v>676</v>
      </c>
      <c r="E403" s="99" t="s">
        <v>37</v>
      </c>
      <c r="F403" s="100" t="s">
        <v>592</v>
      </c>
      <c r="G403" s="99" t="s">
        <v>677</v>
      </c>
      <c r="H403" s="99" t="s">
        <v>279</v>
      </c>
      <c r="I403" s="99" t="s">
        <v>12</v>
      </c>
      <c r="J403" s="99" t="s">
        <v>231</v>
      </c>
      <c r="K403" s="99"/>
      <c r="L403" s="101">
        <v>6</v>
      </c>
      <c r="M403" s="101">
        <f>L403*VLOOKUP(I403,dagsoorttabel1,2,FALSE)</f>
        <v>2.4000000000000004</v>
      </c>
      <c r="N403" s="102">
        <f>prodnorm122</f>
        <v>0</v>
      </c>
      <c r="O403" s="99" t="s">
        <v>105</v>
      </c>
      <c r="P403" s="103">
        <f>uurtarief122</f>
        <v>0</v>
      </c>
      <c r="Q403" s="101" t="e">
        <f>IF(ISBLANK(N403),0,M403/ROUND(N403,4))</f>
        <v>#DIV/0!</v>
      </c>
      <c r="R403" s="103" t="e">
        <f>ROUND(P403,2)*Q403</f>
        <v>#DIV/0!</v>
      </c>
      <c r="S403" s="101" t="e">
        <f>Q403*dagenperjaar1</f>
        <v>#DIV/0!</v>
      </c>
      <c r="T403" s="104" t="e">
        <f>S403*ROUND(P403,2)</f>
        <v>#DIV/0!</v>
      </c>
    </row>
    <row r="404" spans="1:20" x14ac:dyDescent="0.2">
      <c r="A404" s="105" t="s">
        <v>675</v>
      </c>
      <c r="B404" s="106" t="s">
        <v>37</v>
      </c>
      <c r="C404" s="106" t="s">
        <v>322</v>
      </c>
      <c r="D404" s="106" t="s">
        <v>678</v>
      </c>
      <c r="E404" s="106" t="s">
        <v>37</v>
      </c>
      <c r="F404" s="107" t="s">
        <v>592</v>
      </c>
      <c r="G404" s="106" t="s">
        <v>620</v>
      </c>
      <c r="H404" s="106" t="s">
        <v>281</v>
      </c>
      <c r="I404" s="106" t="s">
        <v>12</v>
      </c>
      <c r="J404" s="106" t="s">
        <v>231</v>
      </c>
      <c r="K404" s="106"/>
      <c r="L404" s="108">
        <v>1.5</v>
      </c>
      <c r="M404" s="108">
        <f>L404*VLOOKUP(I404,dagsoorttabel1,2,FALSE)</f>
        <v>0.60000000000000009</v>
      </c>
      <c r="N404" s="109">
        <f>prodnorm126</f>
        <v>0</v>
      </c>
      <c r="O404" s="106" t="s">
        <v>105</v>
      </c>
      <c r="P404" s="28">
        <f>uurtarief126</f>
        <v>0</v>
      </c>
      <c r="Q404" s="108" t="e">
        <f>IF(ISBLANK(N404),0,M404/ROUND(N404,4))</f>
        <v>#DIV/0!</v>
      </c>
      <c r="R404" s="28" t="e">
        <f>ROUND(P404,2)*Q404</f>
        <v>#DIV/0!</v>
      </c>
      <c r="S404" s="108" t="e">
        <f>Q404*dagenperjaar1</f>
        <v>#DIV/0!</v>
      </c>
      <c r="T404" s="29" t="e">
        <f>S404*ROUND(P404,2)</f>
        <v>#DIV/0!</v>
      </c>
    </row>
    <row r="405" spans="1:20" x14ac:dyDescent="0.2">
      <c r="A405" s="105" t="s">
        <v>675</v>
      </c>
      <c r="B405" s="106" t="s">
        <v>37</v>
      </c>
      <c r="C405" s="106" t="s">
        <v>322</v>
      </c>
      <c r="D405" s="106" t="s">
        <v>326</v>
      </c>
      <c r="E405" s="106" t="s">
        <v>37</v>
      </c>
      <c r="F405" s="107" t="s">
        <v>590</v>
      </c>
      <c r="G405" s="106" t="s">
        <v>677</v>
      </c>
      <c r="H405" s="106" t="s">
        <v>265</v>
      </c>
      <c r="I405" s="106" t="s">
        <v>12</v>
      </c>
      <c r="J405" s="106" t="s">
        <v>231</v>
      </c>
      <c r="K405" s="106"/>
      <c r="L405" s="108">
        <v>11</v>
      </c>
      <c r="M405" s="108">
        <f>L405*VLOOKUP(I405,dagsoorttabel1,2,FALSE)</f>
        <v>4.4000000000000004</v>
      </c>
      <c r="N405" s="109">
        <f>prodnorm90</f>
        <v>0</v>
      </c>
      <c r="O405" s="106" t="s">
        <v>105</v>
      </c>
      <c r="P405" s="28">
        <f>uurtarief90</f>
        <v>0</v>
      </c>
      <c r="Q405" s="108" t="e">
        <f>IF(ISBLANK(N405),0,M405/ROUND(N405,4))</f>
        <v>#DIV/0!</v>
      </c>
      <c r="R405" s="28" t="e">
        <f>ROUND(P405,2)*Q405</f>
        <v>#DIV/0!</v>
      </c>
      <c r="S405" s="108" t="e">
        <f>Q405*dagenperjaar1</f>
        <v>#DIV/0!</v>
      </c>
      <c r="T405" s="29" t="e">
        <f>S405*ROUND(P405,2)</f>
        <v>#DIV/0!</v>
      </c>
    </row>
    <row r="406" spans="1:20" x14ac:dyDescent="0.2">
      <c r="A406" s="105" t="s">
        <v>675</v>
      </c>
      <c r="B406" s="106" t="s">
        <v>37</v>
      </c>
      <c r="C406" s="106" t="s">
        <v>322</v>
      </c>
      <c r="D406" s="106" t="s">
        <v>332</v>
      </c>
      <c r="E406" s="106" t="s">
        <v>37</v>
      </c>
      <c r="F406" s="107" t="s">
        <v>657</v>
      </c>
      <c r="G406" s="106" t="s">
        <v>677</v>
      </c>
      <c r="H406" s="106" t="s">
        <v>267</v>
      </c>
      <c r="I406" s="106" t="s">
        <v>12</v>
      </c>
      <c r="J406" s="106" t="s">
        <v>231</v>
      </c>
      <c r="K406" s="106"/>
      <c r="L406" s="108">
        <v>2</v>
      </c>
      <c r="M406" s="108">
        <f>L406*VLOOKUP(I406,dagsoorttabel1,2,FALSE)</f>
        <v>0.8</v>
      </c>
      <c r="N406" s="109">
        <f>prodnorm97</f>
        <v>0</v>
      </c>
      <c r="O406" s="106" t="s">
        <v>105</v>
      </c>
      <c r="P406" s="28">
        <f>uurtarief97</f>
        <v>0</v>
      </c>
      <c r="Q406" s="108" t="e">
        <f>IF(ISBLANK(N406),0,M406/ROUND(N406,4))</f>
        <v>#DIV/0!</v>
      </c>
      <c r="R406" s="28" t="e">
        <f>ROUND(P406,2)*Q406</f>
        <v>#DIV/0!</v>
      </c>
      <c r="S406" s="108" t="e">
        <f>Q406*dagenperjaar1</f>
        <v>#DIV/0!</v>
      </c>
      <c r="T406" s="29" t="e">
        <f>S406*ROUND(P406,2)</f>
        <v>#DIV/0!</v>
      </c>
    </row>
    <row r="407" spans="1:20" x14ac:dyDescent="0.2">
      <c r="A407" s="105" t="s">
        <v>675</v>
      </c>
      <c r="B407" s="106" t="s">
        <v>37</v>
      </c>
      <c r="C407" s="106" t="s">
        <v>322</v>
      </c>
      <c r="D407" s="106" t="s">
        <v>334</v>
      </c>
      <c r="E407" s="106" t="s">
        <v>37</v>
      </c>
      <c r="F407" s="107" t="s">
        <v>345</v>
      </c>
      <c r="G407" s="106" t="s">
        <v>677</v>
      </c>
      <c r="H407" s="106" t="s">
        <v>273</v>
      </c>
      <c r="I407" s="106" t="s">
        <v>12</v>
      </c>
      <c r="J407" s="106" t="s">
        <v>231</v>
      </c>
      <c r="K407" s="106"/>
      <c r="L407" s="108">
        <v>9.6</v>
      </c>
      <c r="M407" s="108">
        <f>L407*VLOOKUP(I407,dagsoorttabel1,2,FALSE)</f>
        <v>3.84</v>
      </c>
      <c r="N407" s="109">
        <f>prodnorm109</f>
        <v>0</v>
      </c>
      <c r="O407" s="106" t="s">
        <v>105</v>
      </c>
      <c r="P407" s="28">
        <f>uurtarief109</f>
        <v>0</v>
      </c>
      <c r="Q407" s="108" t="e">
        <f>IF(ISBLANK(N407),0,M407/ROUND(N407,4))</f>
        <v>#DIV/0!</v>
      </c>
      <c r="R407" s="28" t="e">
        <f>ROUND(P407,2)*Q407</f>
        <v>#DIV/0!</v>
      </c>
      <c r="S407" s="108" t="e">
        <f>Q407*dagenperjaar1</f>
        <v>#DIV/0!</v>
      </c>
      <c r="T407" s="29" t="e">
        <f>S407*ROUND(P407,2)</f>
        <v>#DIV/0!</v>
      </c>
    </row>
    <row r="408" spans="1:20" x14ac:dyDescent="0.2">
      <c r="A408" s="105" t="s">
        <v>675</v>
      </c>
      <c r="B408" s="106" t="s">
        <v>37</v>
      </c>
      <c r="C408" s="106" t="s">
        <v>322</v>
      </c>
      <c r="D408" s="106" t="s">
        <v>336</v>
      </c>
      <c r="E408" s="106" t="s">
        <v>37</v>
      </c>
      <c r="F408" s="107" t="s">
        <v>348</v>
      </c>
      <c r="G408" s="106" t="s">
        <v>679</v>
      </c>
      <c r="H408" s="106" t="s">
        <v>290</v>
      </c>
      <c r="I408" s="106" t="s">
        <v>12</v>
      </c>
      <c r="J408" s="106" t="s">
        <v>231</v>
      </c>
      <c r="K408" s="106"/>
      <c r="L408" s="108">
        <v>8</v>
      </c>
      <c r="M408" s="108">
        <f>L408*VLOOKUP(I408,dagsoorttabel1,2,FALSE)</f>
        <v>3.2</v>
      </c>
      <c r="N408" s="109">
        <f>prodnorm143</f>
        <v>0</v>
      </c>
      <c r="O408" s="106" t="s">
        <v>105</v>
      </c>
      <c r="P408" s="28">
        <f>uurtarief143</f>
        <v>0</v>
      </c>
      <c r="Q408" s="108" t="e">
        <f>IF(ISBLANK(N408),0,M408/ROUND(N408,4))</f>
        <v>#DIV/0!</v>
      </c>
      <c r="R408" s="28" t="e">
        <f>ROUND(P408,2)*Q408</f>
        <v>#DIV/0!</v>
      </c>
      <c r="S408" s="108" t="e">
        <f>Q408*dagenperjaar1</f>
        <v>#DIV/0!</v>
      </c>
      <c r="T408" s="29" t="e">
        <f>S408*ROUND(P408,2)</f>
        <v>#DIV/0!</v>
      </c>
    </row>
    <row r="409" spans="1:20" x14ac:dyDescent="0.2">
      <c r="A409" s="105" t="s">
        <v>675</v>
      </c>
      <c r="B409" s="106" t="s">
        <v>37</v>
      </c>
      <c r="C409" s="106" t="s">
        <v>322</v>
      </c>
      <c r="D409" s="106" t="s">
        <v>338</v>
      </c>
      <c r="E409" s="106" t="s">
        <v>37</v>
      </c>
      <c r="F409" s="107" t="s">
        <v>345</v>
      </c>
      <c r="G409" s="106" t="s">
        <v>677</v>
      </c>
      <c r="H409" s="106" t="s">
        <v>273</v>
      </c>
      <c r="I409" s="106" t="s">
        <v>12</v>
      </c>
      <c r="J409" s="106" t="s">
        <v>231</v>
      </c>
      <c r="K409" s="106"/>
      <c r="L409" s="108">
        <v>24.4</v>
      </c>
      <c r="M409" s="108">
        <f>L409*VLOOKUP(I409,dagsoorttabel1,2,FALSE)</f>
        <v>9.76</v>
      </c>
      <c r="N409" s="109">
        <f>prodnorm109</f>
        <v>0</v>
      </c>
      <c r="O409" s="106" t="s">
        <v>105</v>
      </c>
      <c r="P409" s="28">
        <f>uurtarief109</f>
        <v>0</v>
      </c>
      <c r="Q409" s="108" t="e">
        <f>IF(ISBLANK(N409),0,M409/ROUND(N409,4))</f>
        <v>#DIV/0!</v>
      </c>
      <c r="R409" s="28" t="e">
        <f>ROUND(P409,2)*Q409</f>
        <v>#DIV/0!</v>
      </c>
      <c r="S409" s="108" t="e">
        <f>Q409*dagenperjaar1</f>
        <v>#DIV/0!</v>
      </c>
      <c r="T409" s="29" t="e">
        <f>S409*ROUND(P409,2)</f>
        <v>#DIV/0!</v>
      </c>
    </row>
    <row r="410" spans="1:20" x14ac:dyDescent="0.2">
      <c r="A410" s="105" t="s">
        <v>675</v>
      </c>
      <c r="B410" s="106" t="s">
        <v>37</v>
      </c>
      <c r="C410" s="106" t="s">
        <v>322</v>
      </c>
      <c r="D410" s="106" t="s">
        <v>339</v>
      </c>
      <c r="E410" s="106" t="s">
        <v>37</v>
      </c>
      <c r="F410" s="107" t="s">
        <v>348</v>
      </c>
      <c r="G410" s="106" t="s">
        <v>632</v>
      </c>
      <c r="H410" s="106" t="s">
        <v>290</v>
      </c>
      <c r="I410" s="106" t="s">
        <v>12</v>
      </c>
      <c r="J410" s="106" t="s">
        <v>231</v>
      </c>
      <c r="K410" s="106"/>
      <c r="L410" s="108">
        <v>7.7</v>
      </c>
      <c r="M410" s="108">
        <f>L410*VLOOKUP(I410,dagsoorttabel1,2,FALSE)</f>
        <v>3.08</v>
      </c>
      <c r="N410" s="109">
        <f>prodnorm143</f>
        <v>0</v>
      </c>
      <c r="O410" s="106" t="s">
        <v>105</v>
      </c>
      <c r="P410" s="28">
        <f>uurtarief143</f>
        <v>0</v>
      </c>
      <c r="Q410" s="108" t="e">
        <f>IF(ISBLANK(N410),0,M410/ROUND(N410,4))</f>
        <v>#DIV/0!</v>
      </c>
      <c r="R410" s="28" t="e">
        <f>ROUND(P410,2)*Q410</f>
        <v>#DIV/0!</v>
      </c>
      <c r="S410" s="108" t="e">
        <f>Q410*dagenperjaar1</f>
        <v>#DIV/0!</v>
      </c>
      <c r="T410" s="29" t="e">
        <f>S410*ROUND(P410,2)</f>
        <v>#DIV/0!</v>
      </c>
    </row>
    <row r="411" spans="1:20" x14ac:dyDescent="0.2">
      <c r="A411" s="105" t="s">
        <v>675</v>
      </c>
      <c r="B411" s="106" t="s">
        <v>37</v>
      </c>
      <c r="C411" s="106" t="s">
        <v>322</v>
      </c>
      <c r="D411" s="106" t="s">
        <v>342</v>
      </c>
      <c r="E411" s="106" t="s">
        <v>37</v>
      </c>
      <c r="F411" s="107" t="s">
        <v>680</v>
      </c>
      <c r="G411" s="106" t="s">
        <v>677</v>
      </c>
      <c r="H411" s="106" t="s">
        <v>273</v>
      </c>
      <c r="I411" s="106" t="s">
        <v>12</v>
      </c>
      <c r="J411" s="106" t="s">
        <v>231</v>
      </c>
      <c r="K411" s="106"/>
      <c r="L411" s="108">
        <v>2.6</v>
      </c>
      <c r="M411" s="108">
        <f>L411*VLOOKUP(I411,dagsoorttabel1,2,FALSE)</f>
        <v>1.04</v>
      </c>
      <c r="N411" s="109">
        <f>prodnorm109</f>
        <v>0</v>
      </c>
      <c r="O411" s="106" t="s">
        <v>105</v>
      </c>
      <c r="P411" s="28">
        <f>uurtarief109</f>
        <v>0</v>
      </c>
      <c r="Q411" s="108" t="e">
        <f>IF(ISBLANK(N411),0,M411/ROUND(N411,4))</f>
        <v>#DIV/0!</v>
      </c>
      <c r="R411" s="28" t="e">
        <f>ROUND(P411,2)*Q411</f>
        <v>#DIV/0!</v>
      </c>
      <c r="S411" s="108" t="e">
        <f>Q411*dagenperjaar1</f>
        <v>#DIV/0!</v>
      </c>
      <c r="T411" s="29" t="e">
        <f>S411*ROUND(P411,2)</f>
        <v>#DIV/0!</v>
      </c>
    </row>
    <row r="412" spans="1:20" x14ac:dyDescent="0.2">
      <c r="A412" s="105" t="s">
        <v>675</v>
      </c>
      <c r="B412" s="106" t="s">
        <v>37</v>
      </c>
      <c r="C412" s="106" t="s">
        <v>322</v>
      </c>
      <c r="D412" s="106" t="s">
        <v>344</v>
      </c>
      <c r="E412" s="106" t="s">
        <v>37</v>
      </c>
      <c r="F412" s="107" t="s">
        <v>366</v>
      </c>
      <c r="G412" s="106" t="s">
        <v>677</v>
      </c>
      <c r="H412" s="106" t="s">
        <v>267</v>
      </c>
      <c r="I412" s="106" t="s">
        <v>12</v>
      </c>
      <c r="J412" s="106" t="s">
        <v>231</v>
      </c>
      <c r="K412" s="106"/>
      <c r="L412" s="108">
        <v>4.7</v>
      </c>
      <c r="M412" s="108">
        <f>L412*VLOOKUP(I412,dagsoorttabel1,2,FALSE)</f>
        <v>1.8800000000000001</v>
      </c>
      <c r="N412" s="109">
        <f>prodnorm97</f>
        <v>0</v>
      </c>
      <c r="O412" s="106" t="s">
        <v>105</v>
      </c>
      <c r="P412" s="28">
        <f>uurtarief97</f>
        <v>0</v>
      </c>
      <c r="Q412" s="108" t="e">
        <f>IF(ISBLANK(N412),0,M412/ROUND(N412,4))</f>
        <v>#DIV/0!</v>
      </c>
      <c r="R412" s="28" t="e">
        <f>ROUND(P412,2)*Q412</f>
        <v>#DIV/0!</v>
      </c>
      <c r="S412" s="108" t="e">
        <f>Q412*dagenperjaar1</f>
        <v>#DIV/0!</v>
      </c>
      <c r="T412" s="29" t="e">
        <f>S412*ROUND(P412,2)</f>
        <v>#DIV/0!</v>
      </c>
    </row>
    <row r="413" spans="1:20" x14ac:dyDescent="0.2">
      <c r="A413" s="105" t="s">
        <v>675</v>
      </c>
      <c r="B413" s="106" t="s">
        <v>37</v>
      </c>
      <c r="C413" s="106" t="s">
        <v>322</v>
      </c>
      <c r="D413" s="106" t="s">
        <v>347</v>
      </c>
      <c r="E413" s="106" t="s">
        <v>37</v>
      </c>
      <c r="F413" s="107" t="s">
        <v>681</v>
      </c>
      <c r="G413" s="106" t="s">
        <v>677</v>
      </c>
      <c r="H413" s="106" t="s">
        <v>267</v>
      </c>
      <c r="I413" s="106" t="s">
        <v>12</v>
      </c>
      <c r="J413" s="106" t="s">
        <v>231</v>
      </c>
      <c r="K413" s="106"/>
      <c r="L413" s="108">
        <v>2</v>
      </c>
      <c r="M413" s="108">
        <f>L413*VLOOKUP(I413,dagsoorttabel1,2,FALSE)</f>
        <v>0.8</v>
      </c>
      <c r="N413" s="109">
        <f>prodnorm97</f>
        <v>0</v>
      </c>
      <c r="O413" s="106" t="s">
        <v>105</v>
      </c>
      <c r="P413" s="28">
        <f>uurtarief97</f>
        <v>0</v>
      </c>
      <c r="Q413" s="108" t="e">
        <f>IF(ISBLANK(N413),0,M413/ROUND(N413,4))</f>
        <v>#DIV/0!</v>
      </c>
      <c r="R413" s="28" t="e">
        <f>ROUND(P413,2)*Q413</f>
        <v>#DIV/0!</v>
      </c>
      <c r="S413" s="108" t="e">
        <f>Q413*dagenperjaar1</f>
        <v>#DIV/0!</v>
      </c>
      <c r="T413" s="29" t="e">
        <f>S413*ROUND(P413,2)</f>
        <v>#DIV/0!</v>
      </c>
    </row>
    <row r="414" spans="1:20" x14ac:dyDescent="0.2">
      <c r="A414" s="105" t="s">
        <v>675</v>
      </c>
      <c r="B414" s="106" t="s">
        <v>37</v>
      </c>
      <c r="C414" s="106" t="s">
        <v>322</v>
      </c>
      <c r="D414" s="106" t="s">
        <v>682</v>
      </c>
      <c r="E414" s="106" t="s">
        <v>37</v>
      </c>
      <c r="F414" s="107" t="s">
        <v>683</v>
      </c>
      <c r="G414" s="106" t="s">
        <v>677</v>
      </c>
      <c r="H414" s="106" t="s">
        <v>273</v>
      </c>
      <c r="I414" s="106" t="s">
        <v>12</v>
      </c>
      <c r="J414" s="106" t="s">
        <v>231</v>
      </c>
      <c r="K414" s="106"/>
      <c r="L414" s="108">
        <v>5.7</v>
      </c>
      <c r="M414" s="108">
        <f>L414*VLOOKUP(I414,dagsoorttabel1,2,FALSE)</f>
        <v>2.2800000000000002</v>
      </c>
      <c r="N414" s="109">
        <f>prodnorm109</f>
        <v>0</v>
      </c>
      <c r="O414" s="106" t="s">
        <v>105</v>
      </c>
      <c r="P414" s="28">
        <f>uurtarief109</f>
        <v>0</v>
      </c>
      <c r="Q414" s="108" t="e">
        <f>IF(ISBLANK(N414),0,M414/ROUND(N414,4))</f>
        <v>#DIV/0!</v>
      </c>
      <c r="R414" s="28" t="e">
        <f>ROUND(P414,2)*Q414</f>
        <v>#DIV/0!</v>
      </c>
      <c r="S414" s="108" t="e">
        <f>Q414*dagenperjaar1</f>
        <v>#DIV/0!</v>
      </c>
      <c r="T414" s="29" t="e">
        <f>S414*ROUND(P414,2)</f>
        <v>#DIV/0!</v>
      </c>
    </row>
    <row r="415" spans="1:20" x14ac:dyDescent="0.2">
      <c r="A415" s="105" t="s">
        <v>675</v>
      </c>
      <c r="B415" s="106" t="s">
        <v>37</v>
      </c>
      <c r="C415" s="106" t="s">
        <v>322</v>
      </c>
      <c r="D415" s="106" t="s">
        <v>684</v>
      </c>
      <c r="E415" s="106" t="s">
        <v>37</v>
      </c>
      <c r="F415" s="107" t="s">
        <v>683</v>
      </c>
      <c r="G415" s="106" t="s">
        <v>331</v>
      </c>
      <c r="H415" s="106" t="s">
        <v>273</v>
      </c>
      <c r="I415" s="106" t="s">
        <v>12</v>
      </c>
      <c r="J415" s="106" t="s">
        <v>231</v>
      </c>
      <c r="K415" s="106"/>
      <c r="L415" s="108">
        <v>6.8</v>
      </c>
      <c r="M415" s="108">
        <f>L415*VLOOKUP(I415,dagsoorttabel1,2,FALSE)</f>
        <v>2.72</v>
      </c>
      <c r="N415" s="109">
        <f>prodnorm109</f>
        <v>0</v>
      </c>
      <c r="O415" s="106" t="s">
        <v>105</v>
      </c>
      <c r="P415" s="28">
        <f>uurtarief109</f>
        <v>0</v>
      </c>
      <c r="Q415" s="108" t="e">
        <f>IF(ISBLANK(N415),0,M415/ROUND(N415,4))</f>
        <v>#DIV/0!</v>
      </c>
      <c r="R415" s="28" t="e">
        <f>ROUND(P415,2)*Q415</f>
        <v>#DIV/0!</v>
      </c>
      <c r="S415" s="108" t="e">
        <f>Q415*dagenperjaar1</f>
        <v>#DIV/0!</v>
      </c>
      <c r="T415" s="29" t="e">
        <f>S415*ROUND(P415,2)</f>
        <v>#DIV/0!</v>
      </c>
    </row>
    <row r="416" spans="1:20" x14ac:dyDescent="0.2">
      <c r="A416" s="105" t="s">
        <v>675</v>
      </c>
      <c r="B416" s="106" t="s">
        <v>37</v>
      </c>
      <c r="C416" s="106" t="s">
        <v>322</v>
      </c>
      <c r="D416" s="106" t="s">
        <v>351</v>
      </c>
      <c r="E416" s="106" t="s">
        <v>37</v>
      </c>
      <c r="F416" s="107" t="s">
        <v>621</v>
      </c>
      <c r="G416" s="106" t="s">
        <v>677</v>
      </c>
      <c r="H416" s="106" t="s">
        <v>249</v>
      </c>
      <c r="I416" s="106" t="s">
        <v>12</v>
      </c>
      <c r="J416" s="106" t="s">
        <v>231</v>
      </c>
      <c r="K416" s="106"/>
      <c r="L416" s="108">
        <v>14</v>
      </c>
      <c r="M416" s="108">
        <f>L416*VLOOKUP(I416,dagsoorttabel1,2,FALSE)</f>
        <v>5.6000000000000005</v>
      </c>
      <c r="N416" s="109">
        <f>prodnorm56</f>
        <v>0</v>
      </c>
      <c r="O416" s="106" t="s">
        <v>105</v>
      </c>
      <c r="P416" s="28">
        <f>uurtarief56</f>
        <v>0</v>
      </c>
      <c r="Q416" s="108" t="e">
        <f>IF(ISBLANK(N416),0,M416/ROUND(N416,4))</f>
        <v>#DIV/0!</v>
      </c>
      <c r="R416" s="28" t="e">
        <f>ROUND(P416,2)*Q416</f>
        <v>#DIV/0!</v>
      </c>
      <c r="S416" s="108" t="e">
        <f>Q416*dagenperjaar1</f>
        <v>#DIV/0!</v>
      </c>
      <c r="T416" s="29" t="e">
        <f>S416*ROUND(P416,2)</f>
        <v>#DIV/0!</v>
      </c>
    </row>
    <row r="417" spans="1:20" x14ac:dyDescent="0.2">
      <c r="A417" s="105" t="s">
        <v>675</v>
      </c>
      <c r="B417" s="106" t="s">
        <v>37</v>
      </c>
      <c r="C417" s="106" t="s">
        <v>415</v>
      </c>
      <c r="D417" s="106" t="s">
        <v>416</v>
      </c>
      <c r="E417" s="106" t="s">
        <v>37</v>
      </c>
      <c r="F417" s="107" t="s">
        <v>685</v>
      </c>
      <c r="G417" s="106" t="s">
        <v>331</v>
      </c>
      <c r="H417" s="106" t="s">
        <v>275</v>
      </c>
      <c r="I417" s="106" t="s">
        <v>12</v>
      </c>
      <c r="J417" s="106" t="s">
        <v>231</v>
      </c>
      <c r="K417" s="106"/>
      <c r="L417" s="108">
        <v>14</v>
      </c>
      <c r="M417" s="108">
        <f>L417*VLOOKUP(I417,dagsoorttabel1,2,FALSE)</f>
        <v>5.6000000000000005</v>
      </c>
      <c r="N417" s="109">
        <f>prodnorm115</f>
        <v>0</v>
      </c>
      <c r="O417" s="106" t="s">
        <v>105</v>
      </c>
      <c r="P417" s="28">
        <f>uurtarief115</f>
        <v>0</v>
      </c>
      <c r="Q417" s="108" t="e">
        <f>IF(ISBLANK(N417),0,M417/ROUND(N417,4))</f>
        <v>#DIV/0!</v>
      </c>
      <c r="R417" s="28" t="e">
        <f>ROUND(P417,2)*Q417</f>
        <v>#DIV/0!</v>
      </c>
      <c r="S417" s="108" t="e">
        <f>Q417*dagenperjaar1</f>
        <v>#DIV/0!</v>
      </c>
      <c r="T417" s="29" t="e">
        <f>S417*ROUND(P417,2)</f>
        <v>#DIV/0!</v>
      </c>
    </row>
    <row r="418" spans="1:20" x14ac:dyDescent="0.2">
      <c r="A418" s="105" t="s">
        <v>675</v>
      </c>
      <c r="B418" s="106" t="s">
        <v>37</v>
      </c>
      <c r="C418" s="106" t="s">
        <v>415</v>
      </c>
      <c r="D418" s="106" t="s">
        <v>417</v>
      </c>
      <c r="E418" s="106" t="s">
        <v>37</v>
      </c>
      <c r="F418" s="107" t="s">
        <v>618</v>
      </c>
      <c r="G418" s="106" t="s">
        <v>331</v>
      </c>
      <c r="H418" s="106" t="s">
        <v>235</v>
      </c>
      <c r="I418" s="106" t="s">
        <v>12</v>
      </c>
      <c r="J418" s="106" t="s">
        <v>231</v>
      </c>
      <c r="K418" s="106"/>
      <c r="L418" s="108">
        <v>41</v>
      </c>
      <c r="M418" s="108">
        <f>L418*VLOOKUP(I418,dagsoorttabel1,2,FALSE)</f>
        <v>16.400000000000002</v>
      </c>
      <c r="N418" s="109">
        <f>prodnorm37</f>
        <v>0</v>
      </c>
      <c r="O418" s="106" t="s">
        <v>105</v>
      </c>
      <c r="P418" s="28">
        <f>uurtarief37</f>
        <v>0</v>
      </c>
      <c r="Q418" s="108" t="e">
        <f>IF(ISBLANK(N418),0,M418/ROUND(N418,4))</f>
        <v>#DIV/0!</v>
      </c>
      <c r="R418" s="28" t="e">
        <f>ROUND(P418,2)*Q418</f>
        <v>#DIV/0!</v>
      </c>
      <c r="S418" s="108" t="e">
        <f>Q418*dagenperjaar1</f>
        <v>#DIV/0!</v>
      </c>
      <c r="T418" s="29" t="e">
        <f>S418*ROUND(P418,2)</f>
        <v>#DIV/0!</v>
      </c>
    </row>
    <row r="419" spans="1:20" x14ac:dyDescent="0.2">
      <c r="A419" s="105" t="s">
        <v>675</v>
      </c>
      <c r="B419" s="106" t="s">
        <v>37</v>
      </c>
      <c r="C419" s="106" t="s">
        <v>415</v>
      </c>
      <c r="D419" s="106" t="s">
        <v>419</v>
      </c>
      <c r="E419" s="106" t="s">
        <v>37</v>
      </c>
      <c r="F419" s="107" t="s">
        <v>579</v>
      </c>
      <c r="G419" s="106" t="s">
        <v>331</v>
      </c>
      <c r="H419" s="106" t="s">
        <v>257</v>
      </c>
      <c r="I419" s="106" t="s">
        <v>12</v>
      </c>
      <c r="J419" s="106" t="s">
        <v>231</v>
      </c>
      <c r="K419" s="106"/>
      <c r="L419" s="108">
        <v>20.3</v>
      </c>
      <c r="M419" s="108">
        <f>L419*VLOOKUP(I419,dagsoorttabel1,2,FALSE)</f>
        <v>8.120000000000001</v>
      </c>
      <c r="N419" s="109">
        <f>prodnorm76</f>
        <v>0</v>
      </c>
      <c r="O419" s="106" t="s">
        <v>105</v>
      </c>
      <c r="P419" s="28">
        <f>uurtarief76</f>
        <v>0</v>
      </c>
      <c r="Q419" s="108" t="e">
        <f>IF(ISBLANK(N419),0,M419/ROUND(N419,4))</f>
        <v>#DIV/0!</v>
      </c>
      <c r="R419" s="28" t="e">
        <f>ROUND(P419,2)*Q419</f>
        <v>#DIV/0!</v>
      </c>
      <c r="S419" s="108" t="e">
        <f>Q419*dagenperjaar1</f>
        <v>#DIV/0!</v>
      </c>
      <c r="T419" s="29" t="e">
        <f>S419*ROUND(P419,2)</f>
        <v>#DIV/0!</v>
      </c>
    </row>
    <row r="420" spans="1:20" ht="25.5" x14ac:dyDescent="0.2">
      <c r="A420" s="105" t="s">
        <v>675</v>
      </c>
      <c r="B420" s="106" t="s">
        <v>37</v>
      </c>
      <c r="C420" s="106" t="s">
        <v>415</v>
      </c>
      <c r="D420" s="106" t="s">
        <v>420</v>
      </c>
      <c r="E420" s="106" t="s">
        <v>37</v>
      </c>
      <c r="F420" s="107" t="s">
        <v>686</v>
      </c>
      <c r="G420" s="106" t="s">
        <v>331</v>
      </c>
      <c r="H420" s="106" t="s">
        <v>235</v>
      </c>
      <c r="I420" s="106" t="s">
        <v>12</v>
      </c>
      <c r="J420" s="106" t="s">
        <v>231</v>
      </c>
      <c r="K420" s="106"/>
      <c r="L420" s="108">
        <v>20.9</v>
      </c>
      <c r="M420" s="108">
        <f>L420*VLOOKUP(I420,dagsoorttabel1,2,FALSE)</f>
        <v>8.36</v>
      </c>
      <c r="N420" s="109">
        <f>prodnorm37</f>
        <v>0</v>
      </c>
      <c r="O420" s="106" t="s">
        <v>105</v>
      </c>
      <c r="P420" s="28">
        <f>uurtarief37</f>
        <v>0</v>
      </c>
      <c r="Q420" s="108" t="e">
        <f>IF(ISBLANK(N420),0,M420/ROUND(N420,4))</f>
        <v>#DIV/0!</v>
      </c>
      <c r="R420" s="28" t="e">
        <f>ROUND(P420,2)*Q420</f>
        <v>#DIV/0!</v>
      </c>
      <c r="S420" s="108" t="e">
        <f>Q420*dagenperjaar1</f>
        <v>#DIV/0!</v>
      </c>
      <c r="T420" s="29" t="e">
        <f>S420*ROUND(P420,2)</f>
        <v>#DIV/0!</v>
      </c>
    </row>
    <row r="421" spans="1:20" x14ac:dyDescent="0.2">
      <c r="A421" s="105" t="s">
        <v>675</v>
      </c>
      <c r="B421" s="106" t="s">
        <v>37</v>
      </c>
      <c r="C421" s="106" t="s">
        <v>415</v>
      </c>
      <c r="D421" s="106" t="s">
        <v>421</v>
      </c>
      <c r="E421" s="106" t="s">
        <v>37</v>
      </c>
      <c r="F421" s="107" t="s">
        <v>687</v>
      </c>
      <c r="G421" s="106" t="s">
        <v>331</v>
      </c>
      <c r="H421" s="106" t="s">
        <v>273</v>
      </c>
      <c r="I421" s="106" t="s">
        <v>12</v>
      </c>
      <c r="J421" s="106" t="s">
        <v>231</v>
      </c>
      <c r="K421" s="106"/>
      <c r="L421" s="108">
        <v>14.3</v>
      </c>
      <c r="M421" s="108">
        <f>L421*VLOOKUP(I421,dagsoorttabel1,2,FALSE)</f>
        <v>5.7200000000000006</v>
      </c>
      <c r="N421" s="109">
        <f>prodnorm109</f>
        <v>0</v>
      </c>
      <c r="O421" s="106" t="s">
        <v>105</v>
      </c>
      <c r="P421" s="28">
        <f>uurtarief109</f>
        <v>0</v>
      </c>
      <c r="Q421" s="108" t="e">
        <f>IF(ISBLANK(N421),0,M421/ROUND(N421,4))</f>
        <v>#DIV/0!</v>
      </c>
      <c r="R421" s="28" t="e">
        <f>ROUND(P421,2)*Q421</f>
        <v>#DIV/0!</v>
      </c>
      <c r="S421" s="108" t="e">
        <f>Q421*dagenperjaar1</f>
        <v>#DIV/0!</v>
      </c>
      <c r="T421" s="29" t="e">
        <f>S421*ROUND(P421,2)</f>
        <v>#DIV/0!</v>
      </c>
    </row>
    <row r="422" spans="1:20" x14ac:dyDescent="0.2">
      <c r="A422" s="105" t="s">
        <v>675</v>
      </c>
      <c r="B422" s="106" t="s">
        <v>37</v>
      </c>
      <c r="C422" s="106" t="s">
        <v>544</v>
      </c>
      <c r="D422" s="106" t="s">
        <v>37</v>
      </c>
      <c r="E422" s="106" t="s">
        <v>37</v>
      </c>
      <c r="F422" s="107" t="s">
        <v>545</v>
      </c>
      <c r="G422" s="106" t="s">
        <v>37</v>
      </c>
      <c r="H422" s="106" t="s">
        <v>302</v>
      </c>
      <c r="I422" s="106" t="s">
        <v>15</v>
      </c>
      <c r="J422" s="106" t="s">
        <v>299</v>
      </c>
      <c r="K422" s="106"/>
      <c r="L422" s="108">
        <v>1</v>
      </c>
      <c r="M422" s="108">
        <f>L422*VLOOKUP(I422,dagsoorttabel1,2,FALSE)</f>
        <v>4.7058823529411764E-2</v>
      </c>
      <c r="N422" s="109">
        <f>prodnorm24</f>
        <v>0</v>
      </c>
      <c r="O422" s="106" t="s">
        <v>301</v>
      </c>
      <c r="P422" s="28">
        <f>uurtarief24</f>
        <v>0</v>
      </c>
      <c r="Q422" s="108">
        <f>M422*ROUND(N422,4)/60</f>
        <v>0</v>
      </c>
      <c r="R422" s="28">
        <f>ROUND(P422,2)*Q422</f>
        <v>0</v>
      </c>
      <c r="S422" s="108">
        <f>Q422*dagenperjaar1</f>
        <v>0</v>
      </c>
      <c r="T422" s="29">
        <f>S422*ROUND(P422,2)</f>
        <v>0</v>
      </c>
    </row>
    <row r="423" spans="1:20" x14ac:dyDescent="0.2">
      <c r="A423" s="110" t="s">
        <v>675</v>
      </c>
      <c r="B423" s="111" t="s">
        <v>37</v>
      </c>
      <c r="C423" s="111" t="s">
        <v>544</v>
      </c>
      <c r="D423" s="111" t="s">
        <v>37</v>
      </c>
      <c r="E423" s="111" t="s">
        <v>37</v>
      </c>
      <c r="F423" s="112" t="s">
        <v>545</v>
      </c>
      <c r="G423" s="111" t="s">
        <v>37</v>
      </c>
      <c r="H423" s="111" t="s">
        <v>304</v>
      </c>
      <c r="I423" s="111" t="s">
        <v>13</v>
      </c>
      <c r="J423" s="111" t="s">
        <v>299</v>
      </c>
      <c r="K423" s="111"/>
      <c r="L423" s="113">
        <v>1</v>
      </c>
      <c r="M423" s="113">
        <f>L423*VLOOKUP(I423,dagsoorttabel1,2,FALSE)</f>
        <v>0.2</v>
      </c>
      <c r="N423" s="114">
        <f>prodnorm25</f>
        <v>0</v>
      </c>
      <c r="O423" s="111" t="s">
        <v>301</v>
      </c>
      <c r="P423" s="38">
        <f>uurtarief25</f>
        <v>0</v>
      </c>
      <c r="Q423" s="113">
        <f>M423*ROUND(N423,4)/60</f>
        <v>0</v>
      </c>
      <c r="R423" s="38">
        <f>ROUND(P423,2)*Q423</f>
        <v>0</v>
      </c>
      <c r="S423" s="113">
        <f>Q423*dagenperjaar1</f>
        <v>0</v>
      </c>
      <c r="T423" s="39">
        <f>S423*ROUND(P423,2)</f>
        <v>0</v>
      </c>
    </row>
    <row r="424" spans="1:20" x14ac:dyDescent="0.2">
      <c r="A424" s="115" t="s">
        <v>546</v>
      </c>
      <c r="B424" s="83"/>
      <c r="C424" s="83"/>
      <c r="D424" s="83"/>
      <c r="E424" s="83"/>
      <c r="F424" s="83"/>
      <c r="G424" s="83"/>
      <c r="H424" s="83"/>
      <c r="I424" s="83"/>
      <c r="J424" s="83"/>
      <c r="K424" s="83"/>
      <c r="L424" s="83"/>
      <c r="M424" s="83"/>
      <c r="N424" s="83"/>
      <c r="O424" s="83"/>
      <c r="P424" s="85" t="e">
        <f>IF(_xlfn.SINGLE(object13_urenjaar1)&gt;0,_xlfn.SINGLE(object13_prijsjaar1)/_xlfn.SINGLE(object13_urenjaar1),0)</f>
        <v>#DIV/0!</v>
      </c>
      <c r="Q424" s="84" t="e">
        <f>SUM(Q403:Q423)</f>
        <v>#DIV/0!</v>
      </c>
      <c r="R424" s="85" t="e">
        <f>SUM(R403:R423)</f>
        <v>#DIV/0!</v>
      </c>
      <c r="S424" s="84" t="e">
        <f>SUM(S403:S423)</f>
        <v>#DIV/0!</v>
      </c>
      <c r="T424" s="86" t="e">
        <f>SUM(T403:T423)</f>
        <v>#DIV/0!</v>
      </c>
    </row>
    <row r="425" spans="1:20" x14ac:dyDescent="0.2">
      <c r="A425" s="91" t="s">
        <v>688</v>
      </c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81"/>
    </row>
    <row r="426" spans="1:20" x14ac:dyDescent="0.2">
      <c r="A426" s="98" t="s">
        <v>689</v>
      </c>
      <c r="B426" s="99" t="s">
        <v>37</v>
      </c>
      <c r="C426" s="99" t="s">
        <v>322</v>
      </c>
      <c r="D426" s="99" t="s">
        <v>323</v>
      </c>
      <c r="E426" s="99" t="s">
        <v>37</v>
      </c>
      <c r="F426" s="100" t="s">
        <v>337</v>
      </c>
      <c r="G426" s="99" t="s">
        <v>325</v>
      </c>
      <c r="H426" s="99" t="s">
        <v>243</v>
      </c>
      <c r="I426" s="99" t="s">
        <v>11</v>
      </c>
      <c r="J426" s="99" t="s">
        <v>231</v>
      </c>
      <c r="K426" s="99"/>
      <c r="L426" s="101">
        <v>17</v>
      </c>
      <c r="M426" s="101">
        <f>L426*VLOOKUP(I426,dagsoorttabel1,2,FALSE)</f>
        <v>10.199999999999999</v>
      </c>
      <c r="N426" s="102">
        <f>prodnorm49</f>
        <v>0</v>
      </c>
      <c r="O426" s="99" t="s">
        <v>105</v>
      </c>
      <c r="P426" s="103">
        <f>uurtarief49</f>
        <v>0</v>
      </c>
      <c r="Q426" s="101" t="e">
        <f>IF(ISBLANK(N426),0,M426/ROUND(N426,4))</f>
        <v>#DIV/0!</v>
      </c>
      <c r="R426" s="103" t="e">
        <f>ROUND(P426,2)*Q426</f>
        <v>#DIV/0!</v>
      </c>
      <c r="S426" s="101" t="e">
        <f>Q426*dagenperjaar1</f>
        <v>#DIV/0!</v>
      </c>
      <c r="T426" s="104" t="e">
        <f>S426*ROUND(P426,2)</f>
        <v>#DIV/0!</v>
      </c>
    </row>
    <row r="427" spans="1:20" x14ac:dyDescent="0.2">
      <c r="A427" s="105" t="s">
        <v>689</v>
      </c>
      <c r="B427" s="106" t="s">
        <v>37</v>
      </c>
      <c r="C427" s="106" t="s">
        <v>322</v>
      </c>
      <c r="D427" s="106" t="s">
        <v>326</v>
      </c>
      <c r="E427" s="106" t="s">
        <v>37</v>
      </c>
      <c r="F427" s="107" t="s">
        <v>618</v>
      </c>
      <c r="G427" s="106" t="s">
        <v>325</v>
      </c>
      <c r="H427" s="106" t="s">
        <v>237</v>
      </c>
      <c r="I427" s="106" t="s">
        <v>11</v>
      </c>
      <c r="J427" s="106" t="s">
        <v>231</v>
      </c>
      <c r="K427" s="106"/>
      <c r="L427" s="108">
        <v>40</v>
      </c>
      <c r="M427" s="108">
        <f>L427*VLOOKUP(I427,dagsoorttabel1,2,FALSE)</f>
        <v>24</v>
      </c>
      <c r="N427" s="109">
        <f>prodnorm41</f>
        <v>0</v>
      </c>
      <c r="O427" s="106" t="s">
        <v>105</v>
      </c>
      <c r="P427" s="28">
        <f>uurtarief41</f>
        <v>0</v>
      </c>
      <c r="Q427" s="108" t="e">
        <f>IF(ISBLANK(N427),0,M427/ROUND(N427,4))</f>
        <v>#DIV/0!</v>
      </c>
      <c r="R427" s="28" t="e">
        <f>ROUND(P427,2)*Q427</f>
        <v>#DIV/0!</v>
      </c>
      <c r="S427" s="108" t="e">
        <f>Q427*dagenperjaar1</f>
        <v>#DIV/0!</v>
      </c>
      <c r="T427" s="29" t="e">
        <f>S427*ROUND(P427,2)</f>
        <v>#DIV/0!</v>
      </c>
    </row>
    <row r="428" spans="1:20" x14ac:dyDescent="0.2">
      <c r="A428" s="105" t="s">
        <v>689</v>
      </c>
      <c r="B428" s="106" t="s">
        <v>37</v>
      </c>
      <c r="C428" s="106" t="s">
        <v>322</v>
      </c>
      <c r="D428" s="106" t="s">
        <v>329</v>
      </c>
      <c r="E428" s="106" t="s">
        <v>37</v>
      </c>
      <c r="F428" s="107" t="s">
        <v>615</v>
      </c>
      <c r="G428" s="106" t="s">
        <v>376</v>
      </c>
      <c r="H428" s="106" t="s">
        <v>267</v>
      </c>
      <c r="I428" s="106" t="s">
        <v>11</v>
      </c>
      <c r="J428" s="106" t="s">
        <v>231</v>
      </c>
      <c r="K428" s="106"/>
      <c r="L428" s="108">
        <v>3</v>
      </c>
      <c r="M428" s="108">
        <f>L428*VLOOKUP(I428,dagsoorttabel1,2,FALSE)</f>
        <v>1.7999999999999998</v>
      </c>
      <c r="N428" s="109">
        <f>prodnorm98</f>
        <v>0</v>
      </c>
      <c r="O428" s="106" t="s">
        <v>105</v>
      </c>
      <c r="P428" s="28">
        <f>uurtarief98</f>
        <v>0</v>
      </c>
      <c r="Q428" s="108" t="e">
        <f>IF(ISBLANK(N428),0,M428/ROUND(N428,4))</f>
        <v>#DIV/0!</v>
      </c>
      <c r="R428" s="28" t="e">
        <f>ROUND(P428,2)*Q428</f>
        <v>#DIV/0!</v>
      </c>
      <c r="S428" s="108" t="e">
        <f>Q428*dagenperjaar1</f>
        <v>#DIV/0!</v>
      </c>
      <c r="T428" s="29" t="e">
        <f>S428*ROUND(P428,2)</f>
        <v>#DIV/0!</v>
      </c>
    </row>
    <row r="429" spans="1:20" x14ac:dyDescent="0.2">
      <c r="A429" s="105" t="s">
        <v>689</v>
      </c>
      <c r="B429" s="106" t="s">
        <v>37</v>
      </c>
      <c r="C429" s="106" t="s">
        <v>322</v>
      </c>
      <c r="D429" s="106" t="s">
        <v>332</v>
      </c>
      <c r="E429" s="106" t="s">
        <v>37</v>
      </c>
      <c r="F429" s="107" t="s">
        <v>615</v>
      </c>
      <c r="G429" s="106" t="s">
        <v>376</v>
      </c>
      <c r="H429" s="106" t="s">
        <v>267</v>
      </c>
      <c r="I429" s="106" t="s">
        <v>11</v>
      </c>
      <c r="J429" s="106" t="s">
        <v>231</v>
      </c>
      <c r="K429" s="106"/>
      <c r="L429" s="108">
        <v>2</v>
      </c>
      <c r="M429" s="108">
        <f>L429*VLOOKUP(I429,dagsoorttabel1,2,FALSE)</f>
        <v>1.2</v>
      </c>
      <c r="N429" s="109">
        <f>prodnorm98</f>
        <v>0</v>
      </c>
      <c r="O429" s="106" t="s">
        <v>105</v>
      </c>
      <c r="P429" s="28">
        <f>uurtarief98</f>
        <v>0</v>
      </c>
      <c r="Q429" s="108" t="e">
        <f>IF(ISBLANK(N429),0,M429/ROUND(N429,4))</f>
        <v>#DIV/0!</v>
      </c>
      <c r="R429" s="28" t="e">
        <f>ROUND(P429,2)*Q429</f>
        <v>#DIV/0!</v>
      </c>
      <c r="S429" s="108" t="e">
        <f>Q429*dagenperjaar1</f>
        <v>#DIV/0!</v>
      </c>
      <c r="T429" s="29" t="e">
        <f>S429*ROUND(P429,2)</f>
        <v>#DIV/0!</v>
      </c>
    </row>
    <row r="430" spans="1:20" x14ac:dyDescent="0.2">
      <c r="A430" s="105" t="s">
        <v>689</v>
      </c>
      <c r="B430" s="106" t="s">
        <v>37</v>
      </c>
      <c r="C430" s="106" t="s">
        <v>322</v>
      </c>
      <c r="D430" s="106" t="s">
        <v>334</v>
      </c>
      <c r="E430" s="106" t="s">
        <v>37</v>
      </c>
      <c r="F430" s="107" t="s">
        <v>590</v>
      </c>
      <c r="G430" s="106" t="s">
        <v>376</v>
      </c>
      <c r="H430" s="106" t="s">
        <v>265</v>
      </c>
      <c r="I430" s="106" t="s">
        <v>11</v>
      </c>
      <c r="J430" s="106" t="s">
        <v>231</v>
      </c>
      <c r="K430" s="106"/>
      <c r="L430" s="108">
        <v>26</v>
      </c>
      <c r="M430" s="108">
        <f>L430*VLOOKUP(I430,dagsoorttabel1,2,FALSE)</f>
        <v>15.6</v>
      </c>
      <c r="N430" s="109">
        <f>prodnorm91</f>
        <v>0</v>
      </c>
      <c r="O430" s="106" t="s">
        <v>105</v>
      </c>
      <c r="P430" s="28">
        <f>uurtarief91</f>
        <v>0</v>
      </c>
      <c r="Q430" s="108" t="e">
        <f>IF(ISBLANK(N430),0,M430/ROUND(N430,4))</f>
        <v>#DIV/0!</v>
      </c>
      <c r="R430" s="28" t="e">
        <f>ROUND(P430,2)*Q430</f>
        <v>#DIV/0!</v>
      </c>
      <c r="S430" s="108" t="e">
        <f>Q430*dagenperjaar1</f>
        <v>#DIV/0!</v>
      </c>
      <c r="T430" s="29" t="e">
        <f>S430*ROUND(P430,2)</f>
        <v>#DIV/0!</v>
      </c>
    </row>
    <row r="431" spans="1:20" x14ac:dyDescent="0.2">
      <c r="A431" s="105" t="s">
        <v>689</v>
      </c>
      <c r="B431" s="106" t="s">
        <v>37</v>
      </c>
      <c r="C431" s="106" t="s">
        <v>322</v>
      </c>
      <c r="D431" s="106" t="s">
        <v>336</v>
      </c>
      <c r="E431" s="106" t="s">
        <v>37</v>
      </c>
      <c r="F431" s="107" t="s">
        <v>619</v>
      </c>
      <c r="G431" s="106" t="s">
        <v>376</v>
      </c>
      <c r="H431" s="106" t="s">
        <v>261</v>
      </c>
      <c r="I431" s="106" t="s">
        <v>11</v>
      </c>
      <c r="J431" s="106" t="s">
        <v>231</v>
      </c>
      <c r="K431" s="106"/>
      <c r="L431" s="108">
        <v>2</v>
      </c>
      <c r="M431" s="108">
        <f>L431*VLOOKUP(I431,dagsoorttabel1,2,FALSE)</f>
        <v>1.2</v>
      </c>
      <c r="N431" s="109">
        <f>prodnorm85</f>
        <v>0</v>
      </c>
      <c r="O431" s="106" t="s">
        <v>105</v>
      </c>
      <c r="P431" s="28">
        <f>uurtarief85</f>
        <v>0</v>
      </c>
      <c r="Q431" s="108" t="e">
        <f>IF(ISBLANK(N431),0,M431/ROUND(N431,4))</f>
        <v>#DIV/0!</v>
      </c>
      <c r="R431" s="28" t="e">
        <f>ROUND(P431,2)*Q431</f>
        <v>#DIV/0!</v>
      </c>
      <c r="S431" s="108" t="e">
        <f>Q431*dagenperjaar1</f>
        <v>#DIV/0!</v>
      </c>
      <c r="T431" s="29" t="e">
        <f>S431*ROUND(P431,2)</f>
        <v>#DIV/0!</v>
      </c>
    </row>
    <row r="432" spans="1:20" x14ac:dyDescent="0.2">
      <c r="A432" s="105" t="s">
        <v>689</v>
      </c>
      <c r="B432" s="106" t="s">
        <v>37</v>
      </c>
      <c r="C432" s="106" t="s">
        <v>322</v>
      </c>
      <c r="D432" s="106" t="s">
        <v>338</v>
      </c>
      <c r="E432" s="106" t="s">
        <v>37</v>
      </c>
      <c r="F432" s="107" t="s">
        <v>615</v>
      </c>
      <c r="G432" s="106" t="s">
        <v>376</v>
      </c>
      <c r="H432" s="106" t="s">
        <v>267</v>
      </c>
      <c r="I432" s="106" t="s">
        <v>11</v>
      </c>
      <c r="J432" s="106" t="s">
        <v>231</v>
      </c>
      <c r="K432" s="106"/>
      <c r="L432" s="108">
        <v>2</v>
      </c>
      <c r="M432" s="108">
        <f>L432*VLOOKUP(I432,dagsoorttabel1,2,FALSE)</f>
        <v>1.2</v>
      </c>
      <c r="N432" s="109">
        <f>prodnorm98</f>
        <v>0</v>
      </c>
      <c r="O432" s="106" t="s">
        <v>105</v>
      </c>
      <c r="P432" s="28">
        <f>uurtarief98</f>
        <v>0</v>
      </c>
      <c r="Q432" s="108" t="e">
        <f>IF(ISBLANK(N432),0,M432/ROUND(N432,4))</f>
        <v>#DIV/0!</v>
      </c>
      <c r="R432" s="28" t="e">
        <f>ROUND(P432,2)*Q432</f>
        <v>#DIV/0!</v>
      </c>
      <c r="S432" s="108" t="e">
        <f>Q432*dagenperjaar1</f>
        <v>#DIV/0!</v>
      </c>
      <c r="T432" s="29" t="e">
        <f>S432*ROUND(P432,2)</f>
        <v>#DIV/0!</v>
      </c>
    </row>
    <row r="433" spans="1:20" x14ac:dyDescent="0.2">
      <c r="A433" s="105" t="s">
        <v>689</v>
      </c>
      <c r="B433" s="106" t="s">
        <v>37</v>
      </c>
      <c r="C433" s="106" t="s">
        <v>322</v>
      </c>
      <c r="D433" s="106" t="s">
        <v>339</v>
      </c>
      <c r="E433" s="106" t="s">
        <v>37</v>
      </c>
      <c r="F433" s="107" t="s">
        <v>615</v>
      </c>
      <c r="G433" s="106" t="s">
        <v>376</v>
      </c>
      <c r="H433" s="106" t="s">
        <v>267</v>
      </c>
      <c r="I433" s="106" t="s">
        <v>11</v>
      </c>
      <c r="J433" s="106" t="s">
        <v>231</v>
      </c>
      <c r="K433" s="106"/>
      <c r="L433" s="108">
        <v>2</v>
      </c>
      <c r="M433" s="108">
        <f>L433*VLOOKUP(I433,dagsoorttabel1,2,FALSE)</f>
        <v>1.2</v>
      </c>
      <c r="N433" s="109">
        <f>prodnorm98</f>
        <v>0</v>
      </c>
      <c r="O433" s="106" t="s">
        <v>105</v>
      </c>
      <c r="P433" s="28">
        <f>uurtarief98</f>
        <v>0</v>
      </c>
      <c r="Q433" s="108" t="e">
        <f>IF(ISBLANK(N433),0,M433/ROUND(N433,4))</f>
        <v>#DIV/0!</v>
      </c>
      <c r="R433" s="28" t="e">
        <f>ROUND(P433,2)*Q433</f>
        <v>#DIV/0!</v>
      </c>
      <c r="S433" s="108" t="e">
        <f>Q433*dagenperjaar1</f>
        <v>#DIV/0!</v>
      </c>
      <c r="T433" s="29" t="e">
        <f>S433*ROUND(P433,2)</f>
        <v>#DIV/0!</v>
      </c>
    </row>
    <row r="434" spans="1:20" x14ac:dyDescent="0.2">
      <c r="A434" s="105" t="s">
        <v>689</v>
      </c>
      <c r="B434" s="106" t="s">
        <v>37</v>
      </c>
      <c r="C434" s="106" t="s">
        <v>322</v>
      </c>
      <c r="D434" s="106" t="s">
        <v>342</v>
      </c>
      <c r="E434" s="106" t="s">
        <v>37</v>
      </c>
      <c r="F434" s="107" t="s">
        <v>592</v>
      </c>
      <c r="G434" s="106" t="s">
        <v>620</v>
      </c>
      <c r="H434" s="106" t="s">
        <v>281</v>
      </c>
      <c r="I434" s="106" t="s">
        <v>11</v>
      </c>
      <c r="J434" s="106" t="s">
        <v>231</v>
      </c>
      <c r="K434" s="106"/>
      <c r="L434" s="108">
        <v>4</v>
      </c>
      <c r="M434" s="108">
        <f>L434*VLOOKUP(I434,dagsoorttabel1,2,FALSE)</f>
        <v>2.4</v>
      </c>
      <c r="N434" s="109">
        <f>prodnorm127</f>
        <v>0</v>
      </c>
      <c r="O434" s="106" t="s">
        <v>105</v>
      </c>
      <c r="P434" s="28">
        <f>uurtarief127</f>
        <v>0</v>
      </c>
      <c r="Q434" s="108" t="e">
        <f>IF(ISBLANK(N434),0,M434/ROUND(N434,4))</f>
        <v>#DIV/0!</v>
      </c>
      <c r="R434" s="28" t="e">
        <f>ROUND(P434,2)*Q434</f>
        <v>#DIV/0!</v>
      </c>
      <c r="S434" s="108" t="e">
        <f>Q434*dagenperjaar1</f>
        <v>#DIV/0!</v>
      </c>
      <c r="T434" s="29" t="e">
        <f>S434*ROUND(P434,2)</f>
        <v>#DIV/0!</v>
      </c>
    </row>
    <row r="435" spans="1:20" x14ac:dyDescent="0.2">
      <c r="A435" s="105" t="s">
        <v>689</v>
      </c>
      <c r="B435" s="106" t="s">
        <v>37</v>
      </c>
      <c r="C435" s="106" t="s">
        <v>322</v>
      </c>
      <c r="D435" s="106" t="s">
        <v>344</v>
      </c>
      <c r="E435" s="106" t="s">
        <v>37</v>
      </c>
      <c r="F435" s="107" t="s">
        <v>574</v>
      </c>
      <c r="G435" s="106" t="s">
        <v>331</v>
      </c>
      <c r="H435" s="106" t="s">
        <v>249</v>
      </c>
      <c r="I435" s="106" t="s">
        <v>11</v>
      </c>
      <c r="J435" s="106" t="s">
        <v>231</v>
      </c>
      <c r="K435" s="106"/>
      <c r="L435" s="108">
        <v>6</v>
      </c>
      <c r="M435" s="108">
        <f>L435*VLOOKUP(I435,dagsoorttabel1,2,FALSE)</f>
        <v>3.5999999999999996</v>
      </c>
      <c r="N435" s="109">
        <f>prodnorm57</f>
        <v>0</v>
      </c>
      <c r="O435" s="106" t="s">
        <v>105</v>
      </c>
      <c r="P435" s="28">
        <f>uurtarief57</f>
        <v>0</v>
      </c>
      <c r="Q435" s="108" t="e">
        <f>IF(ISBLANK(N435),0,M435/ROUND(N435,4))</f>
        <v>#DIV/0!</v>
      </c>
      <c r="R435" s="28" t="e">
        <f>ROUND(P435,2)*Q435</f>
        <v>#DIV/0!</v>
      </c>
      <c r="S435" s="108" t="e">
        <f>Q435*dagenperjaar1</f>
        <v>#DIV/0!</v>
      </c>
      <c r="T435" s="29" t="e">
        <f>S435*ROUND(P435,2)</f>
        <v>#DIV/0!</v>
      </c>
    </row>
    <row r="436" spans="1:20" x14ac:dyDescent="0.2">
      <c r="A436" s="105" t="s">
        <v>689</v>
      </c>
      <c r="B436" s="106" t="s">
        <v>37</v>
      </c>
      <c r="C436" s="106" t="s">
        <v>322</v>
      </c>
      <c r="D436" s="106" t="s">
        <v>347</v>
      </c>
      <c r="E436" s="106" t="s">
        <v>37</v>
      </c>
      <c r="F436" s="107" t="s">
        <v>592</v>
      </c>
      <c r="G436" s="106" t="s">
        <v>376</v>
      </c>
      <c r="H436" s="106" t="s">
        <v>279</v>
      </c>
      <c r="I436" s="106" t="s">
        <v>11</v>
      </c>
      <c r="J436" s="106" t="s">
        <v>231</v>
      </c>
      <c r="K436" s="106"/>
      <c r="L436" s="108">
        <v>26</v>
      </c>
      <c r="M436" s="108">
        <f>L436*VLOOKUP(I436,dagsoorttabel1,2,FALSE)</f>
        <v>15.6</v>
      </c>
      <c r="N436" s="109">
        <f>prodnorm123</f>
        <v>0</v>
      </c>
      <c r="O436" s="106" t="s">
        <v>105</v>
      </c>
      <c r="P436" s="28">
        <f>uurtarief123</f>
        <v>0</v>
      </c>
      <c r="Q436" s="108" t="e">
        <f>IF(ISBLANK(N436),0,M436/ROUND(N436,4))</f>
        <v>#DIV/0!</v>
      </c>
      <c r="R436" s="28" t="e">
        <f>ROUND(P436,2)*Q436</f>
        <v>#DIV/0!</v>
      </c>
      <c r="S436" s="108" t="e">
        <f>Q436*dagenperjaar1</f>
        <v>#DIV/0!</v>
      </c>
      <c r="T436" s="29" t="e">
        <f>S436*ROUND(P436,2)</f>
        <v>#DIV/0!</v>
      </c>
    </row>
    <row r="437" spans="1:20" x14ac:dyDescent="0.2">
      <c r="A437" s="105" t="s">
        <v>689</v>
      </c>
      <c r="B437" s="106" t="s">
        <v>37</v>
      </c>
      <c r="C437" s="106" t="s">
        <v>322</v>
      </c>
      <c r="D437" s="106" t="s">
        <v>349</v>
      </c>
      <c r="E437" s="106" t="s">
        <v>37</v>
      </c>
      <c r="F437" s="107" t="s">
        <v>561</v>
      </c>
      <c r="G437" s="106" t="s">
        <v>376</v>
      </c>
      <c r="H437" s="106" t="s">
        <v>273</v>
      </c>
      <c r="I437" s="106" t="s">
        <v>11</v>
      </c>
      <c r="J437" s="106" t="s">
        <v>231</v>
      </c>
      <c r="K437" s="106"/>
      <c r="L437" s="108">
        <v>14</v>
      </c>
      <c r="M437" s="108">
        <f>L437*VLOOKUP(I437,dagsoorttabel1,2,FALSE)</f>
        <v>8.4</v>
      </c>
      <c r="N437" s="109">
        <f>prodnorm110</f>
        <v>0</v>
      </c>
      <c r="O437" s="106" t="s">
        <v>105</v>
      </c>
      <c r="P437" s="28">
        <f>uurtarief110</f>
        <v>0</v>
      </c>
      <c r="Q437" s="108" t="e">
        <f>IF(ISBLANK(N437),0,M437/ROUND(N437,4))</f>
        <v>#DIV/0!</v>
      </c>
      <c r="R437" s="28" t="e">
        <f>ROUND(P437,2)*Q437</f>
        <v>#DIV/0!</v>
      </c>
      <c r="S437" s="108" t="e">
        <f>Q437*dagenperjaar1</f>
        <v>#DIV/0!</v>
      </c>
      <c r="T437" s="29" t="e">
        <f>S437*ROUND(P437,2)</f>
        <v>#DIV/0!</v>
      </c>
    </row>
    <row r="438" spans="1:20" x14ac:dyDescent="0.2">
      <c r="A438" s="105" t="s">
        <v>689</v>
      </c>
      <c r="B438" s="106" t="s">
        <v>37</v>
      </c>
      <c r="C438" s="106" t="s">
        <v>322</v>
      </c>
      <c r="D438" s="106" t="s">
        <v>350</v>
      </c>
      <c r="E438" s="106" t="s">
        <v>37</v>
      </c>
      <c r="F438" s="107" t="s">
        <v>561</v>
      </c>
      <c r="G438" s="106" t="s">
        <v>376</v>
      </c>
      <c r="H438" s="106" t="s">
        <v>273</v>
      </c>
      <c r="I438" s="106" t="s">
        <v>11</v>
      </c>
      <c r="J438" s="106" t="s">
        <v>231</v>
      </c>
      <c r="K438" s="106"/>
      <c r="L438" s="108">
        <v>5</v>
      </c>
      <c r="M438" s="108">
        <f>L438*VLOOKUP(I438,dagsoorttabel1,2,FALSE)</f>
        <v>3</v>
      </c>
      <c r="N438" s="109">
        <f>prodnorm110</f>
        <v>0</v>
      </c>
      <c r="O438" s="106" t="s">
        <v>105</v>
      </c>
      <c r="P438" s="28">
        <f>uurtarief110</f>
        <v>0</v>
      </c>
      <c r="Q438" s="108" t="e">
        <f>IF(ISBLANK(N438),0,M438/ROUND(N438,4))</f>
        <v>#DIV/0!</v>
      </c>
      <c r="R438" s="28" t="e">
        <f>ROUND(P438,2)*Q438</f>
        <v>#DIV/0!</v>
      </c>
      <c r="S438" s="108" t="e">
        <f>Q438*dagenperjaar1</f>
        <v>#DIV/0!</v>
      </c>
      <c r="T438" s="29" t="e">
        <f>S438*ROUND(P438,2)</f>
        <v>#DIV/0!</v>
      </c>
    </row>
    <row r="439" spans="1:20" x14ac:dyDescent="0.2">
      <c r="A439" s="105" t="s">
        <v>689</v>
      </c>
      <c r="B439" s="106" t="s">
        <v>37</v>
      </c>
      <c r="C439" s="106" t="s">
        <v>322</v>
      </c>
      <c r="D439" s="106" t="s">
        <v>351</v>
      </c>
      <c r="E439" s="106" t="s">
        <v>37</v>
      </c>
      <c r="F439" s="107" t="s">
        <v>579</v>
      </c>
      <c r="G439" s="106" t="s">
        <v>376</v>
      </c>
      <c r="H439" s="106" t="s">
        <v>257</v>
      </c>
      <c r="I439" s="106" t="s">
        <v>11</v>
      </c>
      <c r="J439" s="106" t="s">
        <v>231</v>
      </c>
      <c r="K439" s="106"/>
      <c r="L439" s="108">
        <v>31</v>
      </c>
      <c r="M439" s="108">
        <f>L439*VLOOKUP(I439,dagsoorttabel1,2,FALSE)</f>
        <v>18.599999999999998</v>
      </c>
      <c r="N439" s="109">
        <f>prodnorm77</f>
        <v>0</v>
      </c>
      <c r="O439" s="106" t="s">
        <v>105</v>
      </c>
      <c r="P439" s="28">
        <f>uurtarief77</f>
        <v>0</v>
      </c>
      <c r="Q439" s="108" t="e">
        <f>IF(ISBLANK(N439),0,M439/ROUND(N439,4))</f>
        <v>#DIV/0!</v>
      </c>
      <c r="R439" s="28" t="e">
        <f>ROUND(P439,2)*Q439</f>
        <v>#DIV/0!</v>
      </c>
      <c r="S439" s="108" t="e">
        <f>Q439*dagenperjaar1</f>
        <v>#DIV/0!</v>
      </c>
      <c r="T439" s="29" t="e">
        <f>S439*ROUND(P439,2)</f>
        <v>#DIV/0!</v>
      </c>
    </row>
    <row r="440" spans="1:20" x14ac:dyDescent="0.2">
      <c r="A440" s="105" t="s">
        <v>689</v>
      </c>
      <c r="B440" s="106" t="s">
        <v>37</v>
      </c>
      <c r="C440" s="106" t="s">
        <v>322</v>
      </c>
      <c r="D440" s="106" t="s">
        <v>353</v>
      </c>
      <c r="E440" s="106" t="s">
        <v>37</v>
      </c>
      <c r="F440" s="107" t="s">
        <v>393</v>
      </c>
      <c r="G440" s="106" t="s">
        <v>331</v>
      </c>
      <c r="H440" s="106" t="s">
        <v>235</v>
      </c>
      <c r="I440" s="106" t="s">
        <v>11</v>
      </c>
      <c r="J440" s="106" t="s">
        <v>231</v>
      </c>
      <c r="K440" s="106"/>
      <c r="L440" s="108">
        <v>23</v>
      </c>
      <c r="M440" s="108">
        <f>L440*VLOOKUP(I440,dagsoorttabel1,2,FALSE)</f>
        <v>13.799999999999999</v>
      </c>
      <c r="N440" s="109">
        <f>prodnorm38</f>
        <v>0</v>
      </c>
      <c r="O440" s="106" t="s">
        <v>105</v>
      </c>
      <c r="P440" s="28">
        <f>uurtarief38</f>
        <v>0</v>
      </c>
      <c r="Q440" s="108" t="e">
        <f>IF(ISBLANK(N440),0,M440/ROUND(N440,4))</f>
        <v>#DIV/0!</v>
      </c>
      <c r="R440" s="28" t="e">
        <f>ROUND(P440,2)*Q440</f>
        <v>#DIV/0!</v>
      </c>
      <c r="S440" s="108" t="e">
        <f>Q440*dagenperjaar1</f>
        <v>#DIV/0!</v>
      </c>
      <c r="T440" s="29" t="e">
        <f>S440*ROUND(P440,2)</f>
        <v>#DIV/0!</v>
      </c>
    </row>
    <row r="441" spans="1:20" x14ac:dyDescent="0.2">
      <c r="A441" s="105" t="s">
        <v>689</v>
      </c>
      <c r="B441" s="106" t="s">
        <v>37</v>
      </c>
      <c r="C441" s="106" t="s">
        <v>322</v>
      </c>
      <c r="D441" s="106" t="s">
        <v>356</v>
      </c>
      <c r="E441" s="106" t="s">
        <v>37</v>
      </c>
      <c r="F441" s="107" t="s">
        <v>690</v>
      </c>
      <c r="G441" s="106" t="s">
        <v>331</v>
      </c>
      <c r="H441" s="106" t="s">
        <v>251</v>
      </c>
      <c r="I441" s="106" t="s">
        <v>20</v>
      </c>
      <c r="J441" s="106" t="s">
        <v>231</v>
      </c>
      <c r="K441" s="106"/>
      <c r="L441" s="108">
        <v>15</v>
      </c>
      <c r="M441" s="108">
        <f>L441*VLOOKUP(I441,dagsoorttabel1,2,FALSE)</f>
        <v>0.23529411764705882</v>
      </c>
      <c r="N441" s="109">
        <f>prodnorm63</f>
        <v>0</v>
      </c>
      <c r="O441" s="106" t="s">
        <v>105</v>
      </c>
      <c r="P441" s="28">
        <f>uurtarief63</f>
        <v>0</v>
      </c>
      <c r="Q441" s="108" t="e">
        <f>IF(ISBLANK(N441),0,M441/ROUND(N441,4))</f>
        <v>#DIV/0!</v>
      </c>
      <c r="R441" s="28" t="e">
        <f>ROUND(P441,2)*Q441</f>
        <v>#DIV/0!</v>
      </c>
      <c r="S441" s="108" t="e">
        <f>Q441*dagenperjaar1</f>
        <v>#DIV/0!</v>
      </c>
      <c r="T441" s="29" t="e">
        <f>S441*ROUND(P441,2)</f>
        <v>#DIV/0!</v>
      </c>
    </row>
    <row r="442" spans="1:20" x14ac:dyDescent="0.2">
      <c r="A442" s="105" t="s">
        <v>689</v>
      </c>
      <c r="B442" s="106" t="s">
        <v>37</v>
      </c>
      <c r="C442" s="106" t="s">
        <v>322</v>
      </c>
      <c r="D442" s="106" t="s">
        <v>357</v>
      </c>
      <c r="E442" s="106" t="s">
        <v>37</v>
      </c>
      <c r="F442" s="107" t="s">
        <v>393</v>
      </c>
      <c r="G442" s="106" t="s">
        <v>331</v>
      </c>
      <c r="H442" s="106" t="s">
        <v>235</v>
      </c>
      <c r="I442" s="106" t="s">
        <v>11</v>
      </c>
      <c r="J442" s="106" t="s">
        <v>231</v>
      </c>
      <c r="K442" s="106"/>
      <c r="L442" s="108">
        <v>251</v>
      </c>
      <c r="M442" s="108">
        <f>L442*VLOOKUP(I442,dagsoorttabel1,2,FALSE)</f>
        <v>150.6</v>
      </c>
      <c r="N442" s="109">
        <f>prodnorm38</f>
        <v>0</v>
      </c>
      <c r="O442" s="106" t="s">
        <v>105</v>
      </c>
      <c r="P442" s="28">
        <f>uurtarief38</f>
        <v>0</v>
      </c>
      <c r="Q442" s="108" t="e">
        <f>IF(ISBLANK(N442),0,M442/ROUND(N442,4))</f>
        <v>#DIV/0!</v>
      </c>
      <c r="R442" s="28" t="e">
        <f>ROUND(P442,2)*Q442</f>
        <v>#DIV/0!</v>
      </c>
      <c r="S442" s="108" t="e">
        <f>Q442*dagenperjaar1</f>
        <v>#DIV/0!</v>
      </c>
      <c r="T442" s="29" t="e">
        <f>S442*ROUND(P442,2)</f>
        <v>#DIV/0!</v>
      </c>
    </row>
    <row r="443" spans="1:20" x14ac:dyDescent="0.2">
      <c r="A443" s="105" t="s">
        <v>689</v>
      </c>
      <c r="B443" s="106" t="s">
        <v>37</v>
      </c>
      <c r="C443" s="106" t="s">
        <v>322</v>
      </c>
      <c r="D443" s="106" t="s">
        <v>361</v>
      </c>
      <c r="E443" s="106" t="s">
        <v>37</v>
      </c>
      <c r="F443" s="107" t="s">
        <v>561</v>
      </c>
      <c r="G443" s="106" t="s">
        <v>376</v>
      </c>
      <c r="H443" s="106" t="s">
        <v>273</v>
      </c>
      <c r="I443" s="106" t="s">
        <v>11</v>
      </c>
      <c r="J443" s="106" t="s">
        <v>231</v>
      </c>
      <c r="K443" s="106"/>
      <c r="L443" s="108">
        <v>14</v>
      </c>
      <c r="M443" s="108">
        <f>L443*VLOOKUP(I443,dagsoorttabel1,2,FALSE)</f>
        <v>8.4</v>
      </c>
      <c r="N443" s="109">
        <f>prodnorm110</f>
        <v>0</v>
      </c>
      <c r="O443" s="106" t="s">
        <v>105</v>
      </c>
      <c r="P443" s="28">
        <f>uurtarief110</f>
        <v>0</v>
      </c>
      <c r="Q443" s="108" t="e">
        <f>IF(ISBLANK(N443),0,M443/ROUND(N443,4))</f>
        <v>#DIV/0!</v>
      </c>
      <c r="R443" s="28" t="e">
        <f>ROUND(P443,2)*Q443</f>
        <v>#DIV/0!</v>
      </c>
      <c r="S443" s="108" t="e">
        <f>Q443*dagenperjaar1</f>
        <v>#DIV/0!</v>
      </c>
      <c r="T443" s="29" t="e">
        <f>S443*ROUND(P443,2)</f>
        <v>#DIV/0!</v>
      </c>
    </row>
    <row r="444" spans="1:20" x14ac:dyDescent="0.2">
      <c r="A444" s="105" t="s">
        <v>689</v>
      </c>
      <c r="B444" s="106" t="s">
        <v>37</v>
      </c>
      <c r="C444" s="106" t="s">
        <v>322</v>
      </c>
      <c r="D444" s="106" t="s">
        <v>363</v>
      </c>
      <c r="E444" s="106" t="s">
        <v>37</v>
      </c>
      <c r="F444" s="107" t="s">
        <v>454</v>
      </c>
      <c r="G444" s="106" t="s">
        <v>376</v>
      </c>
      <c r="H444" s="106" t="s">
        <v>273</v>
      </c>
      <c r="I444" s="106" t="s">
        <v>11</v>
      </c>
      <c r="J444" s="106" t="s">
        <v>231</v>
      </c>
      <c r="K444" s="106"/>
      <c r="L444" s="108">
        <v>18</v>
      </c>
      <c r="M444" s="108">
        <f>L444*VLOOKUP(I444,dagsoorttabel1,2,FALSE)</f>
        <v>10.799999999999999</v>
      </c>
      <c r="N444" s="109">
        <f>prodnorm110</f>
        <v>0</v>
      </c>
      <c r="O444" s="106" t="s">
        <v>105</v>
      </c>
      <c r="P444" s="28">
        <f>uurtarief110</f>
        <v>0</v>
      </c>
      <c r="Q444" s="108" t="e">
        <f>IF(ISBLANK(N444),0,M444/ROUND(N444,4))</f>
        <v>#DIV/0!</v>
      </c>
      <c r="R444" s="28" t="e">
        <f>ROUND(P444,2)*Q444</f>
        <v>#DIV/0!</v>
      </c>
      <c r="S444" s="108" t="e">
        <f>Q444*dagenperjaar1</f>
        <v>#DIV/0!</v>
      </c>
      <c r="T444" s="29" t="e">
        <f>S444*ROUND(P444,2)</f>
        <v>#DIV/0!</v>
      </c>
    </row>
    <row r="445" spans="1:20" x14ac:dyDescent="0.2">
      <c r="A445" s="105" t="s">
        <v>689</v>
      </c>
      <c r="B445" s="106" t="s">
        <v>37</v>
      </c>
      <c r="C445" s="106" t="s">
        <v>322</v>
      </c>
      <c r="D445" s="106" t="s">
        <v>365</v>
      </c>
      <c r="E445" s="106" t="s">
        <v>37</v>
      </c>
      <c r="F445" s="107" t="s">
        <v>561</v>
      </c>
      <c r="G445" s="106" t="s">
        <v>376</v>
      </c>
      <c r="H445" s="106" t="s">
        <v>273</v>
      </c>
      <c r="I445" s="106" t="s">
        <v>11</v>
      </c>
      <c r="J445" s="106" t="s">
        <v>231</v>
      </c>
      <c r="K445" s="106"/>
      <c r="L445" s="108">
        <v>10</v>
      </c>
      <c r="M445" s="108">
        <f>L445*VLOOKUP(I445,dagsoorttabel1,2,FALSE)</f>
        <v>6</v>
      </c>
      <c r="N445" s="109">
        <f>prodnorm110</f>
        <v>0</v>
      </c>
      <c r="O445" s="106" t="s">
        <v>105</v>
      </c>
      <c r="P445" s="28">
        <f>uurtarief110</f>
        <v>0</v>
      </c>
      <c r="Q445" s="108" t="e">
        <f>IF(ISBLANK(N445),0,M445/ROUND(N445,4))</f>
        <v>#DIV/0!</v>
      </c>
      <c r="R445" s="28" t="e">
        <f>ROUND(P445,2)*Q445</f>
        <v>#DIV/0!</v>
      </c>
      <c r="S445" s="108" t="e">
        <f>Q445*dagenperjaar1</f>
        <v>#DIV/0!</v>
      </c>
      <c r="T445" s="29" t="e">
        <f>S445*ROUND(P445,2)</f>
        <v>#DIV/0!</v>
      </c>
    </row>
    <row r="446" spans="1:20" x14ac:dyDescent="0.2">
      <c r="A446" s="105" t="s">
        <v>689</v>
      </c>
      <c r="B446" s="106" t="s">
        <v>37</v>
      </c>
      <c r="C446" s="106" t="s">
        <v>322</v>
      </c>
      <c r="D446" s="106" t="s">
        <v>367</v>
      </c>
      <c r="E446" s="106" t="s">
        <v>37</v>
      </c>
      <c r="F446" s="107" t="s">
        <v>561</v>
      </c>
      <c r="G446" s="106" t="s">
        <v>376</v>
      </c>
      <c r="H446" s="106" t="s">
        <v>273</v>
      </c>
      <c r="I446" s="106" t="s">
        <v>11</v>
      </c>
      <c r="J446" s="106" t="s">
        <v>231</v>
      </c>
      <c r="K446" s="106"/>
      <c r="L446" s="108">
        <v>4</v>
      </c>
      <c r="M446" s="108">
        <f>L446*VLOOKUP(I446,dagsoorttabel1,2,FALSE)</f>
        <v>2.4</v>
      </c>
      <c r="N446" s="109">
        <f>prodnorm110</f>
        <v>0</v>
      </c>
      <c r="O446" s="106" t="s">
        <v>105</v>
      </c>
      <c r="P446" s="28">
        <f>uurtarief110</f>
        <v>0</v>
      </c>
      <c r="Q446" s="108" t="e">
        <f>IF(ISBLANK(N446),0,M446/ROUND(N446,4))</f>
        <v>#DIV/0!</v>
      </c>
      <c r="R446" s="28" t="e">
        <f>ROUND(P446,2)*Q446</f>
        <v>#DIV/0!</v>
      </c>
      <c r="S446" s="108" t="e">
        <f>Q446*dagenperjaar1</f>
        <v>#DIV/0!</v>
      </c>
      <c r="T446" s="29" t="e">
        <f>S446*ROUND(P446,2)</f>
        <v>#DIV/0!</v>
      </c>
    </row>
    <row r="447" spans="1:20" x14ac:dyDescent="0.2">
      <c r="A447" s="105" t="s">
        <v>689</v>
      </c>
      <c r="B447" s="106" t="s">
        <v>37</v>
      </c>
      <c r="C447" s="106" t="s">
        <v>322</v>
      </c>
      <c r="D447" s="106" t="s">
        <v>370</v>
      </c>
      <c r="E447" s="106" t="s">
        <v>37</v>
      </c>
      <c r="F447" s="107" t="s">
        <v>561</v>
      </c>
      <c r="G447" s="106" t="s">
        <v>376</v>
      </c>
      <c r="H447" s="106" t="s">
        <v>273</v>
      </c>
      <c r="I447" s="106" t="s">
        <v>11</v>
      </c>
      <c r="J447" s="106" t="s">
        <v>231</v>
      </c>
      <c r="K447" s="106"/>
      <c r="L447" s="108">
        <v>14</v>
      </c>
      <c r="M447" s="108">
        <f>L447*VLOOKUP(I447,dagsoorttabel1,2,FALSE)</f>
        <v>8.4</v>
      </c>
      <c r="N447" s="109">
        <f>prodnorm110</f>
        <v>0</v>
      </c>
      <c r="O447" s="106" t="s">
        <v>105</v>
      </c>
      <c r="P447" s="28">
        <f>uurtarief110</f>
        <v>0</v>
      </c>
      <c r="Q447" s="108" t="e">
        <f>IF(ISBLANK(N447),0,M447/ROUND(N447,4))</f>
        <v>#DIV/0!</v>
      </c>
      <c r="R447" s="28" t="e">
        <f>ROUND(P447,2)*Q447</f>
        <v>#DIV/0!</v>
      </c>
      <c r="S447" s="108" t="e">
        <f>Q447*dagenperjaar1</f>
        <v>#DIV/0!</v>
      </c>
      <c r="T447" s="29" t="e">
        <f>S447*ROUND(P447,2)</f>
        <v>#DIV/0!</v>
      </c>
    </row>
    <row r="448" spans="1:20" ht="25.5" x14ac:dyDescent="0.2">
      <c r="A448" s="105" t="s">
        <v>689</v>
      </c>
      <c r="B448" s="106" t="s">
        <v>37</v>
      </c>
      <c r="C448" s="106" t="s">
        <v>415</v>
      </c>
      <c r="D448" s="106" t="s">
        <v>691</v>
      </c>
      <c r="E448" s="106" t="s">
        <v>37</v>
      </c>
      <c r="F448" s="107" t="s">
        <v>692</v>
      </c>
      <c r="G448" s="106" t="s">
        <v>331</v>
      </c>
      <c r="H448" s="106" t="s">
        <v>235</v>
      </c>
      <c r="I448" s="106" t="s">
        <v>13</v>
      </c>
      <c r="J448" s="106" t="s">
        <v>231</v>
      </c>
      <c r="K448" s="106"/>
      <c r="L448" s="108">
        <v>50.8</v>
      </c>
      <c r="M448" s="108">
        <f>L448*VLOOKUP(I448,dagsoorttabel1,2,FALSE)</f>
        <v>10.16</v>
      </c>
      <c r="N448" s="109">
        <f>prodnorm35</f>
        <v>0</v>
      </c>
      <c r="O448" s="106" t="s">
        <v>105</v>
      </c>
      <c r="P448" s="28">
        <f>uurtarief35</f>
        <v>0</v>
      </c>
      <c r="Q448" s="108" t="e">
        <f>IF(ISBLANK(N448),0,M448/ROUND(N448,4))</f>
        <v>#DIV/0!</v>
      </c>
      <c r="R448" s="28" t="e">
        <f>ROUND(P448,2)*Q448</f>
        <v>#DIV/0!</v>
      </c>
      <c r="S448" s="108" t="e">
        <f>Q448*dagenperjaar1</f>
        <v>#DIV/0!</v>
      </c>
      <c r="T448" s="29" t="e">
        <f>S448*ROUND(P448,2)</f>
        <v>#DIV/0!</v>
      </c>
    </row>
    <row r="449" spans="1:20" x14ac:dyDescent="0.2">
      <c r="A449" s="105" t="s">
        <v>689</v>
      </c>
      <c r="B449" s="106" t="s">
        <v>37</v>
      </c>
      <c r="C449" s="106" t="s">
        <v>415</v>
      </c>
      <c r="D449" s="106" t="s">
        <v>693</v>
      </c>
      <c r="E449" s="106" t="s">
        <v>37</v>
      </c>
      <c r="F449" s="107" t="s">
        <v>694</v>
      </c>
      <c r="G449" s="106" t="s">
        <v>331</v>
      </c>
      <c r="H449" s="106" t="s">
        <v>255</v>
      </c>
      <c r="I449" s="106" t="s">
        <v>13</v>
      </c>
      <c r="J449" s="106" t="s">
        <v>231</v>
      </c>
      <c r="K449" s="106"/>
      <c r="L449" s="108">
        <v>4.4000000000000004</v>
      </c>
      <c r="M449" s="108">
        <f>L449*VLOOKUP(I449,dagsoorttabel1,2,FALSE)</f>
        <v>0.88000000000000012</v>
      </c>
      <c r="N449" s="109">
        <f>prodnorm69</f>
        <v>0</v>
      </c>
      <c r="O449" s="106" t="s">
        <v>105</v>
      </c>
      <c r="P449" s="28">
        <f>uurtarief69</f>
        <v>0</v>
      </c>
      <c r="Q449" s="108" t="e">
        <f>IF(ISBLANK(N449),0,M449/ROUND(N449,4))</f>
        <v>#DIV/0!</v>
      </c>
      <c r="R449" s="28" t="e">
        <f>ROUND(P449,2)*Q449</f>
        <v>#DIV/0!</v>
      </c>
      <c r="S449" s="108" t="e">
        <f>Q449*dagenperjaar1</f>
        <v>#DIV/0!</v>
      </c>
      <c r="T449" s="29" t="e">
        <f>S449*ROUND(P449,2)</f>
        <v>#DIV/0!</v>
      </c>
    </row>
    <row r="450" spans="1:20" x14ac:dyDescent="0.2">
      <c r="A450" s="105" t="s">
        <v>689</v>
      </c>
      <c r="B450" s="106" t="s">
        <v>37</v>
      </c>
      <c r="C450" s="106" t="s">
        <v>415</v>
      </c>
      <c r="D450" s="106" t="s">
        <v>695</v>
      </c>
      <c r="E450" s="106" t="s">
        <v>37</v>
      </c>
      <c r="F450" s="107" t="s">
        <v>696</v>
      </c>
      <c r="G450" s="106" t="s">
        <v>369</v>
      </c>
      <c r="H450" s="106" t="s">
        <v>273</v>
      </c>
      <c r="I450" s="106" t="s">
        <v>13</v>
      </c>
      <c r="J450" s="106" t="s">
        <v>231</v>
      </c>
      <c r="K450" s="106"/>
      <c r="L450" s="108">
        <v>3.1</v>
      </c>
      <c r="M450" s="108">
        <f>L450*VLOOKUP(I450,dagsoorttabel1,2,FALSE)</f>
        <v>0.62000000000000011</v>
      </c>
      <c r="N450" s="109">
        <f>prodnorm106</f>
        <v>0</v>
      </c>
      <c r="O450" s="106" t="s">
        <v>105</v>
      </c>
      <c r="P450" s="28">
        <f>uurtarief106</f>
        <v>0</v>
      </c>
      <c r="Q450" s="108" t="e">
        <f>IF(ISBLANK(N450),0,M450/ROUND(N450,4))</f>
        <v>#DIV/0!</v>
      </c>
      <c r="R450" s="28" t="e">
        <f>ROUND(P450,2)*Q450</f>
        <v>#DIV/0!</v>
      </c>
      <c r="S450" s="108" t="e">
        <f>Q450*dagenperjaar1</f>
        <v>#DIV/0!</v>
      </c>
      <c r="T450" s="29" t="e">
        <f>S450*ROUND(P450,2)</f>
        <v>#DIV/0!</v>
      </c>
    </row>
    <row r="451" spans="1:20" ht="25.5" x14ac:dyDescent="0.2">
      <c r="A451" s="105" t="s">
        <v>689</v>
      </c>
      <c r="B451" s="106" t="s">
        <v>37</v>
      </c>
      <c r="C451" s="106" t="s">
        <v>415</v>
      </c>
      <c r="D451" s="106" t="s">
        <v>697</v>
      </c>
      <c r="E451" s="106" t="s">
        <v>37</v>
      </c>
      <c r="F451" s="107" t="s">
        <v>698</v>
      </c>
      <c r="G451" s="106" t="s">
        <v>369</v>
      </c>
      <c r="H451" s="106" t="s">
        <v>273</v>
      </c>
      <c r="I451" s="106" t="s">
        <v>13</v>
      </c>
      <c r="J451" s="106" t="s">
        <v>231</v>
      </c>
      <c r="K451" s="106"/>
      <c r="L451" s="108">
        <v>3.4</v>
      </c>
      <c r="M451" s="108">
        <f>L451*VLOOKUP(I451,dagsoorttabel1,2,FALSE)</f>
        <v>0.68</v>
      </c>
      <c r="N451" s="109">
        <f>prodnorm106</f>
        <v>0</v>
      </c>
      <c r="O451" s="106" t="s">
        <v>105</v>
      </c>
      <c r="P451" s="28">
        <f>uurtarief106</f>
        <v>0</v>
      </c>
      <c r="Q451" s="108" t="e">
        <f>IF(ISBLANK(N451),0,M451/ROUND(N451,4))</f>
        <v>#DIV/0!</v>
      </c>
      <c r="R451" s="28" t="e">
        <f>ROUND(P451,2)*Q451</f>
        <v>#DIV/0!</v>
      </c>
      <c r="S451" s="108" t="e">
        <f>Q451*dagenperjaar1</f>
        <v>#DIV/0!</v>
      </c>
      <c r="T451" s="29" t="e">
        <f>S451*ROUND(P451,2)</f>
        <v>#DIV/0!</v>
      </c>
    </row>
    <row r="452" spans="1:20" ht="25.5" x14ac:dyDescent="0.2">
      <c r="A452" s="105" t="s">
        <v>689</v>
      </c>
      <c r="B452" s="106" t="s">
        <v>37</v>
      </c>
      <c r="C452" s="106" t="s">
        <v>415</v>
      </c>
      <c r="D452" s="106" t="s">
        <v>699</v>
      </c>
      <c r="E452" s="106" t="s">
        <v>37</v>
      </c>
      <c r="F452" s="107" t="s">
        <v>700</v>
      </c>
      <c r="G452" s="106" t="s">
        <v>369</v>
      </c>
      <c r="H452" s="106" t="s">
        <v>267</v>
      </c>
      <c r="I452" s="106" t="s">
        <v>13</v>
      </c>
      <c r="J452" s="106" t="s">
        <v>231</v>
      </c>
      <c r="K452" s="106"/>
      <c r="L452" s="108">
        <v>6</v>
      </c>
      <c r="M452" s="108">
        <f>L452*VLOOKUP(I452,dagsoorttabel1,2,FALSE)</f>
        <v>1.2000000000000002</v>
      </c>
      <c r="N452" s="109">
        <f>prodnorm94</f>
        <v>0</v>
      </c>
      <c r="O452" s="106" t="s">
        <v>105</v>
      </c>
      <c r="P452" s="28">
        <f>uurtarief94</f>
        <v>0</v>
      </c>
      <c r="Q452" s="108" t="e">
        <f>IF(ISBLANK(N452),0,M452/ROUND(N452,4))</f>
        <v>#DIV/0!</v>
      </c>
      <c r="R452" s="28" t="e">
        <f>ROUND(P452,2)*Q452</f>
        <v>#DIV/0!</v>
      </c>
      <c r="S452" s="108" t="e">
        <f>Q452*dagenperjaar1</f>
        <v>#DIV/0!</v>
      </c>
      <c r="T452" s="29" t="e">
        <f>S452*ROUND(P452,2)</f>
        <v>#DIV/0!</v>
      </c>
    </row>
    <row r="453" spans="1:20" x14ac:dyDescent="0.2">
      <c r="A453" s="105" t="s">
        <v>689</v>
      </c>
      <c r="B453" s="106" t="s">
        <v>37</v>
      </c>
      <c r="C453" s="106" t="s">
        <v>544</v>
      </c>
      <c r="D453" s="106" t="s">
        <v>37</v>
      </c>
      <c r="E453" s="106" t="s">
        <v>37</v>
      </c>
      <c r="F453" s="107" t="s">
        <v>545</v>
      </c>
      <c r="G453" s="106" t="s">
        <v>37</v>
      </c>
      <c r="H453" s="106" t="s">
        <v>298</v>
      </c>
      <c r="I453" s="106" t="s">
        <v>13</v>
      </c>
      <c r="J453" s="106" t="s">
        <v>299</v>
      </c>
      <c r="K453" s="106"/>
      <c r="L453" s="108">
        <v>1</v>
      </c>
      <c r="M453" s="108">
        <f>L453*VLOOKUP(I453,dagsoorttabel1,2,FALSE)</f>
        <v>0.2</v>
      </c>
      <c r="N453" s="109">
        <f>prodnorm21</f>
        <v>0</v>
      </c>
      <c r="O453" s="106" t="s">
        <v>301</v>
      </c>
      <c r="P453" s="28">
        <f>uurtarief21</f>
        <v>0</v>
      </c>
      <c r="Q453" s="108">
        <f>M453*ROUND(N453,4)/60</f>
        <v>0</v>
      </c>
      <c r="R453" s="28">
        <f>ROUND(P453,2)*Q453</f>
        <v>0</v>
      </c>
      <c r="S453" s="108">
        <f>Q453*dagenperjaar1</f>
        <v>0</v>
      </c>
      <c r="T453" s="29">
        <f>S453*ROUND(P453,2)</f>
        <v>0</v>
      </c>
    </row>
    <row r="454" spans="1:20" x14ac:dyDescent="0.2">
      <c r="A454" s="110" t="s">
        <v>689</v>
      </c>
      <c r="B454" s="111" t="s">
        <v>37</v>
      </c>
      <c r="C454" s="111" t="s">
        <v>544</v>
      </c>
      <c r="D454" s="111" t="s">
        <v>37</v>
      </c>
      <c r="E454" s="111" t="s">
        <v>37</v>
      </c>
      <c r="F454" s="112" t="s">
        <v>545</v>
      </c>
      <c r="G454" s="111" t="s">
        <v>37</v>
      </c>
      <c r="H454" s="111" t="s">
        <v>302</v>
      </c>
      <c r="I454" s="111" t="s">
        <v>15</v>
      </c>
      <c r="J454" s="111" t="s">
        <v>299</v>
      </c>
      <c r="K454" s="111"/>
      <c r="L454" s="113">
        <v>1</v>
      </c>
      <c r="M454" s="113">
        <f>L454*VLOOKUP(I454,dagsoorttabel1,2,FALSE)</f>
        <v>4.7058823529411764E-2</v>
      </c>
      <c r="N454" s="114">
        <f>prodnorm24</f>
        <v>0</v>
      </c>
      <c r="O454" s="111" t="s">
        <v>301</v>
      </c>
      <c r="P454" s="38">
        <f>uurtarief24</f>
        <v>0</v>
      </c>
      <c r="Q454" s="113">
        <f>M454*ROUND(N454,4)/60</f>
        <v>0</v>
      </c>
      <c r="R454" s="38">
        <f>ROUND(P454,2)*Q454</f>
        <v>0</v>
      </c>
      <c r="S454" s="113">
        <f>Q454*dagenperjaar1</f>
        <v>0</v>
      </c>
      <c r="T454" s="39">
        <f>S454*ROUND(P454,2)</f>
        <v>0</v>
      </c>
    </row>
    <row r="455" spans="1:20" x14ac:dyDescent="0.2">
      <c r="A455" s="115" t="s">
        <v>546</v>
      </c>
      <c r="B455" s="83"/>
      <c r="C455" s="83"/>
      <c r="D455" s="83"/>
      <c r="E455" s="83"/>
      <c r="F455" s="83"/>
      <c r="G455" s="83"/>
      <c r="H455" s="83"/>
      <c r="I455" s="83"/>
      <c r="J455" s="83"/>
      <c r="K455" s="83"/>
      <c r="L455" s="83"/>
      <c r="M455" s="83"/>
      <c r="N455" s="83"/>
      <c r="O455" s="83"/>
      <c r="P455" s="85" t="e">
        <f>IF(_xlfn.SINGLE(object14_urenjaar1)&gt;0,_xlfn.SINGLE(object14_prijsjaar1)/_xlfn.SINGLE(object14_urenjaar1),0)</f>
        <v>#DIV/0!</v>
      </c>
      <c r="Q455" s="84" t="e">
        <f>SUM(Q426:Q454)</f>
        <v>#DIV/0!</v>
      </c>
      <c r="R455" s="85" t="e">
        <f>SUM(R426:R454)</f>
        <v>#DIV/0!</v>
      </c>
      <c r="S455" s="84" t="e">
        <f>SUM(S426:S454)</f>
        <v>#DIV/0!</v>
      </c>
      <c r="T455" s="86" t="e">
        <f>SUM(T426:T454)</f>
        <v>#DIV/0!</v>
      </c>
    </row>
    <row r="456" spans="1:20" x14ac:dyDescent="0.2">
      <c r="A456" s="91" t="s">
        <v>701</v>
      </c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81"/>
    </row>
    <row r="457" spans="1:20" x14ac:dyDescent="0.2">
      <c r="A457" s="98" t="s">
        <v>702</v>
      </c>
      <c r="B457" s="99" t="s">
        <v>37</v>
      </c>
      <c r="C457" s="99" t="s">
        <v>322</v>
      </c>
      <c r="D457" s="99" t="s">
        <v>323</v>
      </c>
      <c r="E457" s="99" t="s">
        <v>37</v>
      </c>
      <c r="F457" s="100" t="s">
        <v>592</v>
      </c>
      <c r="G457" s="99" t="s">
        <v>376</v>
      </c>
      <c r="H457" s="99" t="s">
        <v>279</v>
      </c>
      <c r="I457" s="99" t="s">
        <v>13</v>
      </c>
      <c r="J457" s="99" t="s">
        <v>231</v>
      </c>
      <c r="K457" s="99"/>
      <c r="L457" s="101">
        <v>3</v>
      </c>
      <c r="M457" s="101">
        <f>L457*VLOOKUP(I457,dagsoorttabel1,2,FALSE)</f>
        <v>0.60000000000000009</v>
      </c>
      <c r="N457" s="102">
        <f>prodnorm120</f>
        <v>0</v>
      </c>
      <c r="O457" s="99" t="s">
        <v>105</v>
      </c>
      <c r="P457" s="103">
        <f>uurtarief120</f>
        <v>0</v>
      </c>
      <c r="Q457" s="101" t="e">
        <f>IF(ISBLANK(N457),0,M457/ROUND(N457,4))</f>
        <v>#DIV/0!</v>
      </c>
      <c r="R457" s="103" t="e">
        <f>ROUND(P457,2)*Q457</f>
        <v>#DIV/0!</v>
      </c>
      <c r="S457" s="101" t="e">
        <f>Q457*dagenperjaar1</f>
        <v>#DIV/0!</v>
      </c>
      <c r="T457" s="104" t="e">
        <f>S457*ROUND(P457,2)</f>
        <v>#DIV/0!</v>
      </c>
    </row>
    <row r="458" spans="1:20" x14ac:dyDescent="0.2">
      <c r="A458" s="105" t="s">
        <v>702</v>
      </c>
      <c r="B458" s="106" t="s">
        <v>37</v>
      </c>
      <c r="C458" s="106" t="s">
        <v>322</v>
      </c>
      <c r="D458" s="106" t="s">
        <v>326</v>
      </c>
      <c r="E458" s="106" t="s">
        <v>37</v>
      </c>
      <c r="F458" s="107" t="s">
        <v>615</v>
      </c>
      <c r="G458" s="106" t="s">
        <v>376</v>
      </c>
      <c r="H458" s="106" t="s">
        <v>267</v>
      </c>
      <c r="I458" s="106" t="s">
        <v>13</v>
      </c>
      <c r="J458" s="106" t="s">
        <v>231</v>
      </c>
      <c r="K458" s="106"/>
      <c r="L458" s="108">
        <v>1</v>
      </c>
      <c r="M458" s="108">
        <f>L458*VLOOKUP(I458,dagsoorttabel1,2,FALSE)</f>
        <v>0.2</v>
      </c>
      <c r="N458" s="109">
        <f>prodnorm94</f>
        <v>0</v>
      </c>
      <c r="O458" s="106" t="s">
        <v>105</v>
      </c>
      <c r="P458" s="28">
        <f>uurtarief94</f>
        <v>0</v>
      </c>
      <c r="Q458" s="108" t="e">
        <f>IF(ISBLANK(N458),0,M458/ROUND(N458,4))</f>
        <v>#DIV/0!</v>
      </c>
      <c r="R458" s="28" t="e">
        <f>ROUND(P458,2)*Q458</f>
        <v>#DIV/0!</v>
      </c>
      <c r="S458" s="108" t="e">
        <f>Q458*dagenperjaar1</f>
        <v>#DIV/0!</v>
      </c>
      <c r="T458" s="29" t="e">
        <f>S458*ROUND(P458,2)</f>
        <v>#DIV/0!</v>
      </c>
    </row>
    <row r="459" spans="1:20" x14ac:dyDescent="0.2">
      <c r="A459" s="105" t="s">
        <v>702</v>
      </c>
      <c r="B459" s="106" t="s">
        <v>37</v>
      </c>
      <c r="C459" s="106" t="s">
        <v>322</v>
      </c>
      <c r="D459" s="106" t="s">
        <v>329</v>
      </c>
      <c r="E459" s="106" t="s">
        <v>37</v>
      </c>
      <c r="F459" s="107" t="s">
        <v>579</v>
      </c>
      <c r="G459" s="106" t="s">
        <v>331</v>
      </c>
      <c r="H459" s="106" t="s">
        <v>257</v>
      </c>
      <c r="I459" s="106" t="s">
        <v>13</v>
      </c>
      <c r="J459" s="106" t="s">
        <v>231</v>
      </c>
      <c r="K459" s="106"/>
      <c r="L459" s="108">
        <v>18</v>
      </c>
      <c r="M459" s="108">
        <f>L459*VLOOKUP(I459,dagsoorttabel1,2,FALSE)</f>
        <v>3.6</v>
      </c>
      <c r="N459" s="109">
        <f>prodnorm74</f>
        <v>0</v>
      </c>
      <c r="O459" s="106" t="s">
        <v>105</v>
      </c>
      <c r="P459" s="28">
        <f>uurtarief74</f>
        <v>0</v>
      </c>
      <c r="Q459" s="108" t="e">
        <f>IF(ISBLANK(N459),0,M459/ROUND(N459,4))</f>
        <v>#DIV/0!</v>
      </c>
      <c r="R459" s="28" t="e">
        <f>ROUND(P459,2)*Q459</f>
        <v>#DIV/0!</v>
      </c>
      <c r="S459" s="108" t="e">
        <f>Q459*dagenperjaar1</f>
        <v>#DIV/0!</v>
      </c>
      <c r="T459" s="29" t="e">
        <f>S459*ROUND(P459,2)</f>
        <v>#DIV/0!</v>
      </c>
    </row>
    <row r="460" spans="1:20" x14ac:dyDescent="0.2">
      <c r="A460" s="105" t="s">
        <v>702</v>
      </c>
      <c r="B460" s="106" t="s">
        <v>37</v>
      </c>
      <c r="C460" s="106" t="s">
        <v>322</v>
      </c>
      <c r="D460" s="106" t="s">
        <v>332</v>
      </c>
      <c r="E460" s="106" t="s">
        <v>37</v>
      </c>
      <c r="F460" s="107" t="s">
        <v>393</v>
      </c>
      <c r="G460" s="106" t="s">
        <v>331</v>
      </c>
      <c r="H460" s="106" t="s">
        <v>235</v>
      </c>
      <c r="I460" s="106" t="s">
        <v>13</v>
      </c>
      <c r="J460" s="106" t="s">
        <v>231</v>
      </c>
      <c r="K460" s="106"/>
      <c r="L460" s="108">
        <v>5</v>
      </c>
      <c r="M460" s="108">
        <f>L460*VLOOKUP(I460,dagsoorttabel1,2,FALSE)</f>
        <v>1</v>
      </c>
      <c r="N460" s="109">
        <f>prodnorm35</f>
        <v>0</v>
      </c>
      <c r="O460" s="106" t="s">
        <v>105</v>
      </c>
      <c r="P460" s="28">
        <f>uurtarief35</f>
        <v>0</v>
      </c>
      <c r="Q460" s="108" t="e">
        <f>IF(ISBLANK(N460),0,M460/ROUND(N460,4))</f>
        <v>#DIV/0!</v>
      </c>
      <c r="R460" s="28" t="e">
        <f>ROUND(P460,2)*Q460</f>
        <v>#DIV/0!</v>
      </c>
      <c r="S460" s="108" t="e">
        <f>Q460*dagenperjaar1</f>
        <v>#DIV/0!</v>
      </c>
      <c r="T460" s="29" t="e">
        <f>S460*ROUND(P460,2)</f>
        <v>#DIV/0!</v>
      </c>
    </row>
    <row r="461" spans="1:20" x14ac:dyDescent="0.2">
      <c r="A461" s="105" t="s">
        <v>702</v>
      </c>
      <c r="B461" s="106" t="s">
        <v>37</v>
      </c>
      <c r="C461" s="106" t="s">
        <v>415</v>
      </c>
      <c r="D461" s="106" t="s">
        <v>416</v>
      </c>
      <c r="E461" s="106" t="s">
        <v>37</v>
      </c>
      <c r="F461" s="107" t="s">
        <v>592</v>
      </c>
      <c r="G461" s="106" t="s">
        <v>376</v>
      </c>
      <c r="H461" s="106" t="s">
        <v>279</v>
      </c>
      <c r="I461" s="106" t="s">
        <v>13</v>
      </c>
      <c r="J461" s="106" t="s">
        <v>231</v>
      </c>
      <c r="K461" s="106"/>
      <c r="L461" s="108">
        <v>2</v>
      </c>
      <c r="M461" s="108">
        <f>L461*VLOOKUP(I461,dagsoorttabel1,2,FALSE)</f>
        <v>0.4</v>
      </c>
      <c r="N461" s="109">
        <f>prodnorm120</f>
        <v>0</v>
      </c>
      <c r="O461" s="106" t="s">
        <v>105</v>
      </c>
      <c r="P461" s="28">
        <f>uurtarief120</f>
        <v>0</v>
      </c>
      <c r="Q461" s="108" t="e">
        <f>IF(ISBLANK(N461),0,M461/ROUND(N461,4))</f>
        <v>#DIV/0!</v>
      </c>
      <c r="R461" s="28" t="e">
        <f>ROUND(P461,2)*Q461</f>
        <v>#DIV/0!</v>
      </c>
      <c r="S461" s="108" t="e">
        <f>Q461*dagenperjaar1</f>
        <v>#DIV/0!</v>
      </c>
      <c r="T461" s="29" t="e">
        <f>S461*ROUND(P461,2)</f>
        <v>#DIV/0!</v>
      </c>
    </row>
    <row r="462" spans="1:20" x14ac:dyDescent="0.2">
      <c r="A462" s="105" t="s">
        <v>702</v>
      </c>
      <c r="B462" s="106" t="s">
        <v>37</v>
      </c>
      <c r="C462" s="106" t="s">
        <v>415</v>
      </c>
      <c r="D462" s="106" t="s">
        <v>417</v>
      </c>
      <c r="E462" s="106" t="s">
        <v>37</v>
      </c>
      <c r="F462" s="107" t="s">
        <v>621</v>
      </c>
      <c r="G462" s="106" t="s">
        <v>331</v>
      </c>
      <c r="H462" s="106" t="s">
        <v>249</v>
      </c>
      <c r="I462" s="106" t="s">
        <v>13</v>
      </c>
      <c r="J462" s="106" t="s">
        <v>231</v>
      </c>
      <c r="K462" s="106"/>
      <c r="L462" s="108">
        <v>29</v>
      </c>
      <c r="M462" s="108">
        <f>L462*VLOOKUP(I462,dagsoorttabel1,2,FALSE)</f>
        <v>5.8000000000000007</v>
      </c>
      <c r="N462" s="109">
        <f>prodnorm55</f>
        <v>0</v>
      </c>
      <c r="O462" s="106" t="s">
        <v>105</v>
      </c>
      <c r="P462" s="28">
        <f>uurtarief55</f>
        <v>0</v>
      </c>
      <c r="Q462" s="108" t="e">
        <f>IF(ISBLANK(N462),0,M462/ROUND(N462,4))</f>
        <v>#DIV/0!</v>
      </c>
      <c r="R462" s="28" t="e">
        <f>ROUND(P462,2)*Q462</f>
        <v>#DIV/0!</v>
      </c>
      <c r="S462" s="108" t="e">
        <f>Q462*dagenperjaar1</f>
        <v>#DIV/0!</v>
      </c>
      <c r="T462" s="29" t="e">
        <f>S462*ROUND(P462,2)</f>
        <v>#DIV/0!</v>
      </c>
    </row>
    <row r="463" spans="1:20" x14ac:dyDescent="0.2">
      <c r="A463" s="105" t="s">
        <v>702</v>
      </c>
      <c r="B463" s="106" t="s">
        <v>37</v>
      </c>
      <c r="C463" s="106" t="s">
        <v>415</v>
      </c>
      <c r="D463" s="106" t="s">
        <v>419</v>
      </c>
      <c r="E463" s="106" t="s">
        <v>37</v>
      </c>
      <c r="F463" s="107" t="s">
        <v>657</v>
      </c>
      <c r="G463" s="106" t="s">
        <v>376</v>
      </c>
      <c r="H463" s="106" t="s">
        <v>267</v>
      </c>
      <c r="I463" s="106" t="s">
        <v>13</v>
      </c>
      <c r="J463" s="106" t="s">
        <v>231</v>
      </c>
      <c r="K463" s="106"/>
      <c r="L463" s="108">
        <v>2</v>
      </c>
      <c r="M463" s="108">
        <f>L463*VLOOKUP(I463,dagsoorttabel1,2,FALSE)</f>
        <v>0.4</v>
      </c>
      <c r="N463" s="109">
        <f>prodnorm94</f>
        <v>0</v>
      </c>
      <c r="O463" s="106" t="s">
        <v>105</v>
      </c>
      <c r="P463" s="28">
        <f>uurtarief94</f>
        <v>0</v>
      </c>
      <c r="Q463" s="108" t="e">
        <f>IF(ISBLANK(N463),0,M463/ROUND(N463,4))</f>
        <v>#DIV/0!</v>
      </c>
      <c r="R463" s="28" t="e">
        <f>ROUND(P463,2)*Q463</f>
        <v>#DIV/0!</v>
      </c>
      <c r="S463" s="108" t="e">
        <f>Q463*dagenperjaar1</f>
        <v>#DIV/0!</v>
      </c>
      <c r="T463" s="29" t="e">
        <f>S463*ROUND(P463,2)</f>
        <v>#DIV/0!</v>
      </c>
    </row>
    <row r="464" spans="1:20" x14ac:dyDescent="0.2">
      <c r="A464" s="105" t="s">
        <v>702</v>
      </c>
      <c r="B464" s="106" t="s">
        <v>37</v>
      </c>
      <c r="C464" s="106" t="s">
        <v>415</v>
      </c>
      <c r="D464" s="106" t="s">
        <v>420</v>
      </c>
      <c r="E464" s="106" t="s">
        <v>37</v>
      </c>
      <c r="F464" s="107" t="s">
        <v>619</v>
      </c>
      <c r="G464" s="106" t="s">
        <v>376</v>
      </c>
      <c r="H464" s="106" t="s">
        <v>261</v>
      </c>
      <c r="I464" s="106" t="s">
        <v>13</v>
      </c>
      <c r="J464" s="106" t="s">
        <v>231</v>
      </c>
      <c r="K464" s="106"/>
      <c r="L464" s="108">
        <v>2</v>
      </c>
      <c r="M464" s="108">
        <f>L464*VLOOKUP(I464,dagsoorttabel1,2,FALSE)</f>
        <v>0.4</v>
      </c>
      <c r="N464" s="109">
        <f>prodnorm83</f>
        <v>0</v>
      </c>
      <c r="O464" s="106" t="s">
        <v>105</v>
      </c>
      <c r="P464" s="28">
        <f>uurtarief83</f>
        <v>0</v>
      </c>
      <c r="Q464" s="108" t="e">
        <f>IF(ISBLANK(N464),0,M464/ROUND(N464,4))</f>
        <v>#DIV/0!</v>
      </c>
      <c r="R464" s="28" t="e">
        <f>ROUND(P464,2)*Q464</f>
        <v>#DIV/0!</v>
      </c>
      <c r="S464" s="108" t="e">
        <f>Q464*dagenperjaar1</f>
        <v>#DIV/0!</v>
      </c>
      <c r="T464" s="29" t="e">
        <f>S464*ROUND(P464,2)</f>
        <v>#DIV/0!</v>
      </c>
    </row>
    <row r="465" spans="1:20" x14ac:dyDescent="0.2">
      <c r="A465" s="105" t="s">
        <v>702</v>
      </c>
      <c r="B465" s="106" t="s">
        <v>37</v>
      </c>
      <c r="C465" s="106" t="s">
        <v>415</v>
      </c>
      <c r="D465" s="106" t="s">
        <v>421</v>
      </c>
      <c r="E465" s="106" t="s">
        <v>37</v>
      </c>
      <c r="F465" s="107" t="s">
        <v>703</v>
      </c>
      <c r="G465" s="106" t="s">
        <v>376</v>
      </c>
      <c r="H465" s="106" t="s">
        <v>267</v>
      </c>
      <c r="I465" s="106" t="s">
        <v>13</v>
      </c>
      <c r="J465" s="106" t="s">
        <v>231</v>
      </c>
      <c r="K465" s="106"/>
      <c r="L465" s="108">
        <v>3</v>
      </c>
      <c r="M465" s="108">
        <f>L465*VLOOKUP(I465,dagsoorttabel1,2,FALSE)</f>
        <v>0.60000000000000009</v>
      </c>
      <c r="N465" s="109">
        <f>prodnorm94</f>
        <v>0</v>
      </c>
      <c r="O465" s="106" t="s">
        <v>105</v>
      </c>
      <c r="P465" s="28">
        <f>uurtarief94</f>
        <v>0</v>
      </c>
      <c r="Q465" s="108" t="e">
        <f>IF(ISBLANK(N465),0,M465/ROUND(N465,4))</f>
        <v>#DIV/0!</v>
      </c>
      <c r="R465" s="28" t="e">
        <f>ROUND(P465,2)*Q465</f>
        <v>#DIV/0!</v>
      </c>
      <c r="S465" s="108" t="e">
        <f>Q465*dagenperjaar1</f>
        <v>#DIV/0!</v>
      </c>
      <c r="T465" s="29" t="e">
        <f>S465*ROUND(P465,2)</f>
        <v>#DIV/0!</v>
      </c>
    </row>
    <row r="466" spans="1:20" x14ac:dyDescent="0.2">
      <c r="A466" s="105" t="s">
        <v>702</v>
      </c>
      <c r="B466" s="106" t="s">
        <v>37</v>
      </c>
      <c r="C466" s="106" t="s">
        <v>415</v>
      </c>
      <c r="D466" s="106" t="s">
        <v>422</v>
      </c>
      <c r="E466" s="106" t="s">
        <v>37</v>
      </c>
      <c r="F466" s="107" t="s">
        <v>590</v>
      </c>
      <c r="G466" s="106" t="s">
        <v>331</v>
      </c>
      <c r="H466" s="106" t="s">
        <v>265</v>
      </c>
      <c r="I466" s="106" t="s">
        <v>13</v>
      </c>
      <c r="J466" s="106" t="s">
        <v>231</v>
      </c>
      <c r="K466" s="106"/>
      <c r="L466" s="108">
        <v>12</v>
      </c>
      <c r="M466" s="108">
        <f>L466*VLOOKUP(I466,dagsoorttabel1,2,FALSE)</f>
        <v>2.4000000000000004</v>
      </c>
      <c r="N466" s="109">
        <f>prodnorm88</f>
        <v>0</v>
      </c>
      <c r="O466" s="106" t="s">
        <v>105</v>
      </c>
      <c r="P466" s="28">
        <f>uurtarief88</f>
        <v>0</v>
      </c>
      <c r="Q466" s="108" t="e">
        <f>IF(ISBLANK(N466),0,M466/ROUND(N466,4))</f>
        <v>#DIV/0!</v>
      </c>
      <c r="R466" s="28" t="e">
        <f>ROUND(P466,2)*Q466</f>
        <v>#DIV/0!</v>
      </c>
      <c r="S466" s="108" t="e">
        <f>Q466*dagenperjaar1</f>
        <v>#DIV/0!</v>
      </c>
      <c r="T466" s="29" t="e">
        <f>S466*ROUND(P466,2)</f>
        <v>#DIV/0!</v>
      </c>
    </row>
    <row r="467" spans="1:20" x14ac:dyDescent="0.2">
      <c r="A467" s="105" t="s">
        <v>702</v>
      </c>
      <c r="B467" s="106" t="s">
        <v>37</v>
      </c>
      <c r="C467" s="106" t="s">
        <v>415</v>
      </c>
      <c r="D467" s="106" t="s">
        <v>424</v>
      </c>
      <c r="E467" s="106" t="s">
        <v>37</v>
      </c>
      <c r="F467" s="107" t="s">
        <v>561</v>
      </c>
      <c r="G467" s="106" t="s">
        <v>331</v>
      </c>
      <c r="H467" s="106" t="s">
        <v>273</v>
      </c>
      <c r="I467" s="106" t="s">
        <v>13</v>
      </c>
      <c r="J467" s="106" t="s">
        <v>231</v>
      </c>
      <c r="K467" s="106"/>
      <c r="L467" s="108">
        <v>10</v>
      </c>
      <c r="M467" s="108">
        <f>L467*VLOOKUP(I467,dagsoorttabel1,2,FALSE)</f>
        <v>2</v>
      </c>
      <c r="N467" s="109">
        <f>prodnorm106</f>
        <v>0</v>
      </c>
      <c r="O467" s="106" t="s">
        <v>105</v>
      </c>
      <c r="P467" s="28">
        <f>uurtarief106</f>
        <v>0</v>
      </c>
      <c r="Q467" s="108" t="e">
        <f>IF(ISBLANK(N467),0,M467/ROUND(N467,4))</f>
        <v>#DIV/0!</v>
      </c>
      <c r="R467" s="28" t="e">
        <f>ROUND(P467,2)*Q467</f>
        <v>#DIV/0!</v>
      </c>
      <c r="S467" s="108" t="e">
        <f>Q467*dagenperjaar1</f>
        <v>#DIV/0!</v>
      </c>
      <c r="T467" s="29" t="e">
        <f>S467*ROUND(P467,2)</f>
        <v>#DIV/0!</v>
      </c>
    </row>
    <row r="468" spans="1:20" x14ac:dyDescent="0.2">
      <c r="A468" s="110" t="s">
        <v>702</v>
      </c>
      <c r="B468" s="111" t="s">
        <v>37</v>
      </c>
      <c r="C468" s="111" t="s">
        <v>544</v>
      </c>
      <c r="D468" s="111" t="s">
        <v>37</v>
      </c>
      <c r="E468" s="111" t="s">
        <v>37</v>
      </c>
      <c r="F468" s="112" t="s">
        <v>545</v>
      </c>
      <c r="G468" s="111" t="s">
        <v>37</v>
      </c>
      <c r="H468" s="111" t="s">
        <v>302</v>
      </c>
      <c r="I468" s="111" t="s">
        <v>15</v>
      </c>
      <c r="J468" s="111" t="s">
        <v>299</v>
      </c>
      <c r="K468" s="111"/>
      <c r="L468" s="113">
        <v>1</v>
      </c>
      <c r="M468" s="113">
        <f>L468*VLOOKUP(I468,dagsoorttabel1,2,FALSE)</f>
        <v>4.7058823529411764E-2</v>
      </c>
      <c r="N468" s="114">
        <f>prodnorm24</f>
        <v>0</v>
      </c>
      <c r="O468" s="111" t="s">
        <v>301</v>
      </c>
      <c r="P468" s="38">
        <f>uurtarief24</f>
        <v>0</v>
      </c>
      <c r="Q468" s="113">
        <f>M468*ROUND(N468,4)/60</f>
        <v>0</v>
      </c>
      <c r="R468" s="38">
        <f>ROUND(P468,2)*Q468</f>
        <v>0</v>
      </c>
      <c r="S468" s="113">
        <f>Q468*dagenperjaar1</f>
        <v>0</v>
      </c>
      <c r="T468" s="39">
        <f>S468*ROUND(P468,2)</f>
        <v>0</v>
      </c>
    </row>
    <row r="469" spans="1:20" x14ac:dyDescent="0.2">
      <c r="A469" s="115" t="s">
        <v>546</v>
      </c>
      <c r="B469" s="83"/>
      <c r="C469" s="83"/>
      <c r="D469" s="83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5" t="e">
        <f>IF(_xlfn.SINGLE(object15_urenjaar1)&gt;0,_xlfn.SINGLE(object15_prijsjaar1)/_xlfn.SINGLE(object15_urenjaar1),0)</f>
        <v>#DIV/0!</v>
      </c>
      <c r="Q469" s="84" t="e">
        <f>SUM(Q457:Q468)</f>
        <v>#DIV/0!</v>
      </c>
      <c r="R469" s="85" t="e">
        <f>SUM(R457:R468)</f>
        <v>#DIV/0!</v>
      </c>
      <c r="S469" s="84" t="e">
        <f>SUM(S457:S468)</f>
        <v>#DIV/0!</v>
      </c>
      <c r="T469" s="86" t="e">
        <f>SUM(T457:T468)</f>
        <v>#DIV/0!</v>
      </c>
    </row>
    <row r="470" spans="1:20" x14ac:dyDescent="0.2">
      <c r="A470" s="91" t="s">
        <v>704</v>
      </c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81"/>
    </row>
    <row r="471" spans="1:20" x14ac:dyDescent="0.2">
      <c r="A471" s="98" t="s">
        <v>705</v>
      </c>
      <c r="B471" s="99" t="s">
        <v>37</v>
      </c>
      <c r="C471" s="99" t="s">
        <v>322</v>
      </c>
      <c r="D471" s="99" t="s">
        <v>323</v>
      </c>
      <c r="E471" s="99" t="s">
        <v>37</v>
      </c>
      <c r="F471" s="100" t="s">
        <v>592</v>
      </c>
      <c r="G471" s="99" t="s">
        <v>376</v>
      </c>
      <c r="H471" s="99" t="s">
        <v>279</v>
      </c>
      <c r="I471" s="99" t="s">
        <v>14</v>
      </c>
      <c r="J471" s="99" t="s">
        <v>231</v>
      </c>
      <c r="K471" s="99"/>
      <c r="L471" s="101">
        <v>17</v>
      </c>
      <c r="M471" s="101">
        <f>L471*VLOOKUP(I471,dagsoorttabel1,2,FALSE)</f>
        <v>1.7333333333333334</v>
      </c>
      <c r="N471" s="102">
        <f>prodnorm121</f>
        <v>0</v>
      </c>
      <c r="O471" s="99" t="s">
        <v>105</v>
      </c>
      <c r="P471" s="103">
        <f>uurtarief121</f>
        <v>0</v>
      </c>
      <c r="Q471" s="101" t="e">
        <f>IF(ISBLANK(N471),0,M471/ROUND(N471,4))</f>
        <v>#DIV/0!</v>
      </c>
      <c r="R471" s="103" t="e">
        <f>ROUND(P471,2)*Q471</f>
        <v>#DIV/0!</v>
      </c>
      <c r="S471" s="101" t="e">
        <f>Q471*dagenperjaar1</f>
        <v>#DIV/0!</v>
      </c>
      <c r="T471" s="104" t="e">
        <f>S471*ROUND(P471,2)</f>
        <v>#DIV/0!</v>
      </c>
    </row>
    <row r="472" spans="1:20" x14ac:dyDescent="0.2">
      <c r="A472" s="105" t="s">
        <v>705</v>
      </c>
      <c r="B472" s="106" t="s">
        <v>37</v>
      </c>
      <c r="C472" s="106" t="s">
        <v>322</v>
      </c>
      <c r="D472" s="106" t="s">
        <v>326</v>
      </c>
      <c r="E472" s="106" t="s">
        <v>37</v>
      </c>
      <c r="F472" s="107" t="s">
        <v>654</v>
      </c>
      <c r="G472" s="106" t="s">
        <v>376</v>
      </c>
      <c r="H472" s="106" t="s">
        <v>290</v>
      </c>
      <c r="I472" s="106" t="s">
        <v>14</v>
      </c>
      <c r="J472" s="106" t="s">
        <v>231</v>
      </c>
      <c r="K472" s="106"/>
      <c r="L472" s="108">
        <v>8</v>
      </c>
      <c r="M472" s="108">
        <f>L472*VLOOKUP(I472,dagsoorttabel1,2,FALSE)</f>
        <v>0.81568627450980391</v>
      </c>
      <c r="N472" s="109">
        <f>prodnorm141</f>
        <v>0</v>
      </c>
      <c r="O472" s="106" t="s">
        <v>105</v>
      </c>
      <c r="P472" s="28">
        <f>uurtarief141</f>
        <v>0</v>
      </c>
      <c r="Q472" s="108" t="e">
        <f>IF(ISBLANK(N472),0,M472/ROUND(N472,4))</f>
        <v>#DIV/0!</v>
      </c>
      <c r="R472" s="28" t="e">
        <f>ROUND(P472,2)*Q472</f>
        <v>#DIV/0!</v>
      </c>
      <c r="S472" s="108" t="e">
        <f>Q472*dagenperjaar1</f>
        <v>#DIV/0!</v>
      </c>
      <c r="T472" s="29" t="e">
        <f>S472*ROUND(P472,2)</f>
        <v>#DIV/0!</v>
      </c>
    </row>
    <row r="473" spans="1:20" x14ac:dyDescent="0.2">
      <c r="A473" s="105" t="s">
        <v>705</v>
      </c>
      <c r="B473" s="106" t="s">
        <v>37</v>
      </c>
      <c r="C473" s="106" t="s">
        <v>322</v>
      </c>
      <c r="D473" s="106" t="s">
        <v>329</v>
      </c>
      <c r="E473" s="106" t="s">
        <v>37</v>
      </c>
      <c r="F473" s="107" t="s">
        <v>706</v>
      </c>
      <c r="G473" s="106" t="s">
        <v>376</v>
      </c>
      <c r="H473" s="106" t="s">
        <v>235</v>
      </c>
      <c r="I473" s="106" t="s">
        <v>14</v>
      </c>
      <c r="J473" s="106" t="s">
        <v>231</v>
      </c>
      <c r="K473" s="106"/>
      <c r="L473" s="108">
        <v>14</v>
      </c>
      <c r="M473" s="108">
        <f>L473*VLOOKUP(I473,dagsoorttabel1,2,FALSE)</f>
        <v>1.4274509803921569</v>
      </c>
      <c r="N473" s="109">
        <f>prodnorm36</f>
        <v>0</v>
      </c>
      <c r="O473" s="106" t="s">
        <v>105</v>
      </c>
      <c r="P473" s="28">
        <f>uurtarief36</f>
        <v>0</v>
      </c>
      <c r="Q473" s="108" t="e">
        <f>IF(ISBLANK(N473),0,M473/ROUND(N473,4))</f>
        <v>#DIV/0!</v>
      </c>
      <c r="R473" s="28" t="e">
        <f>ROUND(P473,2)*Q473</f>
        <v>#DIV/0!</v>
      </c>
      <c r="S473" s="108" t="e">
        <f>Q473*dagenperjaar1</f>
        <v>#DIV/0!</v>
      </c>
      <c r="T473" s="29" t="e">
        <f>S473*ROUND(P473,2)</f>
        <v>#DIV/0!</v>
      </c>
    </row>
    <row r="474" spans="1:20" x14ac:dyDescent="0.2">
      <c r="A474" s="105" t="s">
        <v>705</v>
      </c>
      <c r="B474" s="106" t="s">
        <v>37</v>
      </c>
      <c r="C474" s="106" t="s">
        <v>322</v>
      </c>
      <c r="D474" s="106" t="s">
        <v>332</v>
      </c>
      <c r="E474" s="106" t="s">
        <v>37</v>
      </c>
      <c r="F474" s="107" t="s">
        <v>590</v>
      </c>
      <c r="G474" s="106" t="s">
        <v>376</v>
      </c>
      <c r="H474" s="106" t="s">
        <v>265</v>
      </c>
      <c r="I474" s="106" t="s">
        <v>14</v>
      </c>
      <c r="J474" s="106" t="s">
        <v>231</v>
      </c>
      <c r="K474" s="106"/>
      <c r="L474" s="108">
        <v>5</v>
      </c>
      <c r="M474" s="108">
        <f>L474*VLOOKUP(I474,dagsoorttabel1,2,FALSE)</f>
        <v>0.50980392156862742</v>
      </c>
      <c r="N474" s="109">
        <f>prodnorm89</f>
        <v>0</v>
      </c>
      <c r="O474" s="106" t="s">
        <v>105</v>
      </c>
      <c r="P474" s="28">
        <f>uurtarief89</f>
        <v>0</v>
      </c>
      <c r="Q474" s="108" t="e">
        <f>IF(ISBLANK(N474),0,M474/ROUND(N474,4))</f>
        <v>#DIV/0!</v>
      </c>
      <c r="R474" s="28" t="e">
        <f>ROUND(P474,2)*Q474</f>
        <v>#DIV/0!</v>
      </c>
      <c r="S474" s="108" t="e">
        <f>Q474*dagenperjaar1</f>
        <v>#DIV/0!</v>
      </c>
      <c r="T474" s="29" t="e">
        <f>S474*ROUND(P474,2)</f>
        <v>#DIV/0!</v>
      </c>
    </row>
    <row r="475" spans="1:20" x14ac:dyDescent="0.2">
      <c r="A475" s="105" t="s">
        <v>705</v>
      </c>
      <c r="B475" s="106" t="s">
        <v>37</v>
      </c>
      <c r="C475" s="106" t="s">
        <v>322</v>
      </c>
      <c r="D475" s="106" t="s">
        <v>334</v>
      </c>
      <c r="E475" s="106" t="s">
        <v>37</v>
      </c>
      <c r="F475" s="107" t="s">
        <v>707</v>
      </c>
      <c r="G475" s="106" t="s">
        <v>376</v>
      </c>
      <c r="H475" s="106" t="s">
        <v>267</v>
      </c>
      <c r="I475" s="106" t="s">
        <v>14</v>
      </c>
      <c r="J475" s="106" t="s">
        <v>231</v>
      </c>
      <c r="K475" s="106"/>
      <c r="L475" s="108">
        <v>3</v>
      </c>
      <c r="M475" s="108">
        <f>L475*VLOOKUP(I475,dagsoorttabel1,2,FALSE)</f>
        <v>0.30588235294117649</v>
      </c>
      <c r="N475" s="109">
        <f>prodnorm95</f>
        <v>0</v>
      </c>
      <c r="O475" s="106" t="s">
        <v>105</v>
      </c>
      <c r="P475" s="28">
        <f>uurtarief95</f>
        <v>0</v>
      </c>
      <c r="Q475" s="108" t="e">
        <f>IF(ISBLANK(N475),0,M475/ROUND(N475,4))</f>
        <v>#DIV/0!</v>
      </c>
      <c r="R475" s="28" t="e">
        <f>ROUND(P475,2)*Q475</f>
        <v>#DIV/0!</v>
      </c>
      <c r="S475" s="108" t="e">
        <f>Q475*dagenperjaar1</f>
        <v>#DIV/0!</v>
      </c>
      <c r="T475" s="29" t="e">
        <f>S475*ROUND(P475,2)</f>
        <v>#DIV/0!</v>
      </c>
    </row>
    <row r="476" spans="1:20" x14ac:dyDescent="0.2">
      <c r="A476" s="110" t="s">
        <v>705</v>
      </c>
      <c r="B476" s="111" t="s">
        <v>37</v>
      </c>
      <c r="C476" s="111" t="s">
        <v>322</v>
      </c>
      <c r="D476" s="111" t="s">
        <v>336</v>
      </c>
      <c r="E476" s="111" t="s">
        <v>37</v>
      </c>
      <c r="F476" s="112" t="s">
        <v>618</v>
      </c>
      <c r="G476" s="111" t="s">
        <v>331</v>
      </c>
      <c r="H476" s="111" t="s">
        <v>235</v>
      </c>
      <c r="I476" s="111" t="s">
        <v>14</v>
      </c>
      <c r="J476" s="111" t="s">
        <v>231</v>
      </c>
      <c r="K476" s="111"/>
      <c r="L476" s="113">
        <v>23</v>
      </c>
      <c r="M476" s="113">
        <f>L476*VLOOKUP(I476,dagsoorttabel1,2,FALSE)</f>
        <v>2.3450980392156864</v>
      </c>
      <c r="N476" s="114">
        <f>prodnorm36</f>
        <v>0</v>
      </c>
      <c r="O476" s="111" t="s">
        <v>105</v>
      </c>
      <c r="P476" s="38">
        <f>uurtarief36</f>
        <v>0</v>
      </c>
      <c r="Q476" s="113" t="e">
        <f>IF(ISBLANK(N476),0,M476/ROUND(N476,4))</f>
        <v>#DIV/0!</v>
      </c>
      <c r="R476" s="38" t="e">
        <f>ROUND(P476,2)*Q476</f>
        <v>#DIV/0!</v>
      </c>
      <c r="S476" s="113" t="e">
        <f>Q476*dagenperjaar1</f>
        <v>#DIV/0!</v>
      </c>
      <c r="T476" s="39" t="e">
        <f>S476*ROUND(P476,2)</f>
        <v>#DIV/0!</v>
      </c>
    </row>
    <row r="477" spans="1:20" x14ac:dyDescent="0.2">
      <c r="A477" s="115" t="s">
        <v>546</v>
      </c>
      <c r="B477" s="83"/>
      <c r="C477" s="83"/>
      <c r="D477" s="83"/>
      <c r="E477" s="83"/>
      <c r="F477" s="83"/>
      <c r="G477" s="83"/>
      <c r="H477" s="83"/>
      <c r="I477" s="83"/>
      <c r="J477" s="83"/>
      <c r="K477" s="83"/>
      <c r="L477" s="83"/>
      <c r="M477" s="83"/>
      <c r="N477" s="83"/>
      <c r="O477" s="83"/>
      <c r="P477" s="85" t="e">
        <f>IF(_xlfn.SINGLE(object16_urenjaar1)&gt;0,_xlfn.SINGLE(object16_prijsjaar1)/_xlfn.SINGLE(object16_urenjaar1),0)</f>
        <v>#DIV/0!</v>
      </c>
      <c r="Q477" s="84" t="e">
        <f>SUM(Q471:Q476)</f>
        <v>#DIV/0!</v>
      </c>
      <c r="R477" s="85" t="e">
        <f>SUM(R471:R476)</f>
        <v>#DIV/0!</v>
      </c>
      <c r="S477" s="84" t="e">
        <f>SUM(S471:S476)</f>
        <v>#DIV/0!</v>
      </c>
      <c r="T477" s="86" t="e">
        <f>SUM(T471:T476)</f>
        <v>#DIV/0!</v>
      </c>
    </row>
    <row r="478" spans="1:20" x14ac:dyDescent="0.2">
      <c r="A478" s="91" t="s">
        <v>708</v>
      </c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81"/>
    </row>
    <row r="479" spans="1:20" x14ac:dyDescent="0.2">
      <c r="A479" s="98" t="s">
        <v>709</v>
      </c>
      <c r="B479" s="99" t="s">
        <v>37</v>
      </c>
      <c r="C479" s="99" t="s">
        <v>322</v>
      </c>
      <c r="D479" s="99" t="s">
        <v>323</v>
      </c>
      <c r="E479" s="99" t="s">
        <v>37</v>
      </c>
      <c r="F479" s="100" t="s">
        <v>592</v>
      </c>
      <c r="G479" s="99" t="s">
        <v>593</v>
      </c>
      <c r="H479" s="99" t="s">
        <v>281</v>
      </c>
      <c r="I479" s="99" t="s">
        <v>11</v>
      </c>
      <c r="J479" s="99" t="s">
        <v>231</v>
      </c>
      <c r="K479" s="99"/>
      <c r="L479" s="101">
        <v>5.8</v>
      </c>
      <c r="M479" s="101">
        <f>L479*VLOOKUP(I479,dagsoorttabel1,2,FALSE)</f>
        <v>3.48</v>
      </c>
      <c r="N479" s="102">
        <f>prodnorm127</f>
        <v>0</v>
      </c>
      <c r="O479" s="99" t="s">
        <v>105</v>
      </c>
      <c r="P479" s="103">
        <f>uurtarief127</f>
        <v>0</v>
      </c>
      <c r="Q479" s="101" t="e">
        <f>IF(ISBLANK(N479),0,M479/ROUND(N479,4))</f>
        <v>#DIV/0!</v>
      </c>
      <c r="R479" s="103" t="e">
        <f>ROUND(P479,2)*Q479</f>
        <v>#DIV/0!</v>
      </c>
      <c r="S479" s="101" t="e">
        <f>Q479*dagenperjaar1</f>
        <v>#DIV/0!</v>
      </c>
      <c r="T479" s="104" t="e">
        <f>S479*ROUND(P479,2)</f>
        <v>#DIV/0!</v>
      </c>
    </row>
    <row r="480" spans="1:20" x14ac:dyDescent="0.2">
      <c r="A480" s="105" t="s">
        <v>709</v>
      </c>
      <c r="B480" s="106" t="s">
        <v>37</v>
      </c>
      <c r="C480" s="106" t="s">
        <v>322</v>
      </c>
      <c r="D480" s="106" t="s">
        <v>326</v>
      </c>
      <c r="E480" s="106" t="s">
        <v>37</v>
      </c>
      <c r="F480" s="107" t="s">
        <v>335</v>
      </c>
      <c r="G480" s="106" t="s">
        <v>369</v>
      </c>
      <c r="H480" s="106" t="s">
        <v>273</v>
      </c>
      <c r="I480" s="106" t="s">
        <v>11</v>
      </c>
      <c r="J480" s="106" t="s">
        <v>231</v>
      </c>
      <c r="K480" s="106"/>
      <c r="L480" s="108">
        <v>46.3</v>
      </c>
      <c r="M480" s="108">
        <f>L480*VLOOKUP(I480,dagsoorttabel1,2,FALSE)</f>
        <v>27.779999999999998</v>
      </c>
      <c r="N480" s="109">
        <f>prodnorm110</f>
        <v>0</v>
      </c>
      <c r="O480" s="106" t="s">
        <v>105</v>
      </c>
      <c r="P480" s="28">
        <f>uurtarief110</f>
        <v>0</v>
      </c>
      <c r="Q480" s="108" t="e">
        <f>IF(ISBLANK(N480),0,M480/ROUND(N480,4))</f>
        <v>#DIV/0!</v>
      </c>
      <c r="R480" s="28" t="e">
        <f>ROUND(P480,2)*Q480</f>
        <v>#DIV/0!</v>
      </c>
      <c r="S480" s="108" t="e">
        <f>Q480*dagenperjaar1</f>
        <v>#DIV/0!</v>
      </c>
      <c r="T480" s="29" t="e">
        <f>S480*ROUND(P480,2)</f>
        <v>#DIV/0!</v>
      </c>
    </row>
    <row r="481" spans="1:20" x14ac:dyDescent="0.2">
      <c r="A481" s="105" t="s">
        <v>709</v>
      </c>
      <c r="B481" s="106" t="s">
        <v>37</v>
      </c>
      <c r="C481" s="106" t="s">
        <v>322</v>
      </c>
      <c r="D481" s="106" t="s">
        <v>329</v>
      </c>
      <c r="E481" s="106" t="s">
        <v>37</v>
      </c>
      <c r="F481" s="107" t="s">
        <v>590</v>
      </c>
      <c r="G481" s="106" t="s">
        <v>369</v>
      </c>
      <c r="H481" s="106" t="s">
        <v>265</v>
      </c>
      <c r="I481" s="106" t="s">
        <v>11</v>
      </c>
      <c r="J481" s="106" t="s">
        <v>231</v>
      </c>
      <c r="K481" s="106"/>
      <c r="L481" s="108">
        <v>28.3</v>
      </c>
      <c r="M481" s="108">
        <f>L481*VLOOKUP(I481,dagsoorttabel1,2,FALSE)</f>
        <v>16.98</v>
      </c>
      <c r="N481" s="109">
        <f>prodnorm91</f>
        <v>0</v>
      </c>
      <c r="O481" s="106" t="s">
        <v>105</v>
      </c>
      <c r="P481" s="28">
        <f>uurtarief91</f>
        <v>0</v>
      </c>
      <c r="Q481" s="108" t="e">
        <f>IF(ISBLANK(N481),0,M481/ROUND(N481,4))</f>
        <v>#DIV/0!</v>
      </c>
      <c r="R481" s="28" t="e">
        <f>ROUND(P481,2)*Q481</f>
        <v>#DIV/0!</v>
      </c>
      <c r="S481" s="108" t="e">
        <f>Q481*dagenperjaar1</f>
        <v>#DIV/0!</v>
      </c>
      <c r="T481" s="29" t="e">
        <f>S481*ROUND(P481,2)</f>
        <v>#DIV/0!</v>
      </c>
    </row>
    <row r="482" spans="1:20" x14ac:dyDescent="0.2">
      <c r="A482" s="105" t="s">
        <v>709</v>
      </c>
      <c r="B482" s="106" t="s">
        <v>37</v>
      </c>
      <c r="C482" s="106" t="s">
        <v>322</v>
      </c>
      <c r="D482" s="106" t="s">
        <v>332</v>
      </c>
      <c r="E482" s="106" t="s">
        <v>37</v>
      </c>
      <c r="F482" s="107" t="s">
        <v>335</v>
      </c>
      <c r="G482" s="106" t="s">
        <v>369</v>
      </c>
      <c r="H482" s="106" t="s">
        <v>273</v>
      </c>
      <c r="I482" s="106" t="s">
        <v>11</v>
      </c>
      <c r="J482" s="106" t="s">
        <v>231</v>
      </c>
      <c r="K482" s="106"/>
      <c r="L482" s="108">
        <v>17.100000000000001</v>
      </c>
      <c r="M482" s="108">
        <f>L482*VLOOKUP(I482,dagsoorttabel1,2,FALSE)</f>
        <v>10.26</v>
      </c>
      <c r="N482" s="109">
        <f>prodnorm110</f>
        <v>0</v>
      </c>
      <c r="O482" s="106" t="s">
        <v>105</v>
      </c>
      <c r="P482" s="28">
        <f>uurtarief110</f>
        <v>0</v>
      </c>
      <c r="Q482" s="108" t="e">
        <f>IF(ISBLANK(N482),0,M482/ROUND(N482,4))</f>
        <v>#DIV/0!</v>
      </c>
      <c r="R482" s="28" t="e">
        <f>ROUND(P482,2)*Q482</f>
        <v>#DIV/0!</v>
      </c>
      <c r="S482" s="108" t="e">
        <f>Q482*dagenperjaar1</f>
        <v>#DIV/0!</v>
      </c>
      <c r="T482" s="29" t="e">
        <f>S482*ROUND(P482,2)</f>
        <v>#DIV/0!</v>
      </c>
    </row>
    <row r="483" spans="1:20" x14ac:dyDescent="0.2">
      <c r="A483" s="105" t="s">
        <v>709</v>
      </c>
      <c r="B483" s="106" t="s">
        <v>37</v>
      </c>
      <c r="C483" s="106" t="s">
        <v>322</v>
      </c>
      <c r="D483" s="106" t="s">
        <v>334</v>
      </c>
      <c r="E483" s="106" t="s">
        <v>37</v>
      </c>
      <c r="F483" s="107" t="s">
        <v>561</v>
      </c>
      <c r="G483" s="106" t="s">
        <v>369</v>
      </c>
      <c r="H483" s="106" t="s">
        <v>273</v>
      </c>
      <c r="I483" s="106" t="s">
        <v>11</v>
      </c>
      <c r="J483" s="106" t="s">
        <v>231</v>
      </c>
      <c r="K483" s="106"/>
      <c r="L483" s="108">
        <v>7.9</v>
      </c>
      <c r="M483" s="108">
        <f>L483*VLOOKUP(I483,dagsoorttabel1,2,FALSE)</f>
        <v>4.74</v>
      </c>
      <c r="N483" s="109">
        <f>prodnorm110</f>
        <v>0</v>
      </c>
      <c r="O483" s="106" t="s">
        <v>105</v>
      </c>
      <c r="P483" s="28">
        <f>uurtarief110</f>
        <v>0</v>
      </c>
      <c r="Q483" s="108" t="e">
        <f>IF(ISBLANK(N483),0,M483/ROUND(N483,4))</f>
        <v>#DIV/0!</v>
      </c>
      <c r="R483" s="28" t="e">
        <f>ROUND(P483,2)*Q483</f>
        <v>#DIV/0!</v>
      </c>
      <c r="S483" s="108" t="e">
        <f>Q483*dagenperjaar1</f>
        <v>#DIV/0!</v>
      </c>
      <c r="T483" s="29" t="e">
        <f>S483*ROUND(P483,2)</f>
        <v>#DIV/0!</v>
      </c>
    </row>
    <row r="484" spans="1:20" x14ac:dyDescent="0.2">
      <c r="A484" s="105" t="s">
        <v>709</v>
      </c>
      <c r="B484" s="106" t="s">
        <v>37</v>
      </c>
      <c r="C484" s="106" t="s">
        <v>322</v>
      </c>
      <c r="D484" s="106" t="s">
        <v>336</v>
      </c>
      <c r="E484" s="106" t="s">
        <v>37</v>
      </c>
      <c r="F484" s="107" t="s">
        <v>615</v>
      </c>
      <c r="G484" s="106" t="s">
        <v>369</v>
      </c>
      <c r="H484" s="106" t="s">
        <v>267</v>
      </c>
      <c r="I484" s="106" t="s">
        <v>11</v>
      </c>
      <c r="J484" s="106" t="s">
        <v>231</v>
      </c>
      <c r="K484" s="106"/>
      <c r="L484" s="108">
        <v>5</v>
      </c>
      <c r="M484" s="108">
        <f>L484*VLOOKUP(I484,dagsoorttabel1,2,FALSE)</f>
        <v>3</v>
      </c>
      <c r="N484" s="109">
        <f>prodnorm98</f>
        <v>0</v>
      </c>
      <c r="O484" s="106" t="s">
        <v>105</v>
      </c>
      <c r="P484" s="28">
        <f>uurtarief98</f>
        <v>0</v>
      </c>
      <c r="Q484" s="108" t="e">
        <f>IF(ISBLANK(N484),0,M484/ROUND(N484,4))</f>
        <v>#DIV/0!</v>
      </c>
      <c r="R484" s="28" t="e">
        <f>ROUND(P484,2)*Q484</f>
        <v>#DIV/0!</v>
      </c>
      <c r="S484" s="108" t="e">
        <f>Q484*dagenperjaar1</f>
        <v>#DIV/0!</v>
      </c>
      <c r="T484" s="29" t="e">
        <f>S484*ROUND(P484,2)</f>
        <v>#DIV/0!</v>
      </c>
    </row>
    <row r="485" spans="1:20" x14ac:dyDescent="0.2">
      <c r="A485" s="105" t="s">
        <v>709</v>
      </c>
      <c r="B485" s="106" t="s">
        <v>37</v>
      </c>
      <c r="C485" s="106" t="s">
        <v>322</v>
      </c>
      <c r="D485" s="106" t="s">
        <v>338</v>
      </c>
      <c r="E485" s="106" t="s">
        <v>37</v>
      </c>
      <c r="F485" s="107" t="s">
        <v>615</v>
      </c>
      <c r="G485" s="106" t="s">
        <v>369</v>
      </c>
      <c r="H485" s="106" t="s">
        <v>267</v>
      </c>
      <c r="I485" s="106" t="s">
        <v>11</v>
      </c>
      <c r="J485" s="106" t="s">
        <v>231</v>
      </c>
      <c r="K485" s="106"/>
      <c r="L485" s="108">
        <v>4.7</v>
      </c>
      <c r="M485" s="108">
        <f>L485*VLOOKUP(I485,dagsoorttabel1,2,FALSE)</f>
        <v>2.82</v>
      </c>
      <c r="N485" s="109">
        <f>prodnorm98</f>
        <v>0</v>
      </c>
      <c r="O485" s="106" t="s">
        <v>105</v>
      </c>
      <c r="P485" s="28">
        <f>uurtarief98</f>
        <v>0</v>
      </c>
      <c r="Q485" s="108" t="e">
        <f>IF(ISBLANK(N485),0,M485/ROUND(N485,4))</f>
        <v>#DIV/0!</v>
      </c>
      <c r="R485" s="28" t="e">
        <f>ROUND(P485,2)*Q485</f>
        <v>#DIV/0!</v>
      </c>
      <c r="S485" s="108" t="e">
        <f>Q485*dagenperjaar1</f>
        <v>#DIV/0!</v>
      </c>
      <c r="T485" s="29" t="e">
        <f>S485*ROUND(P485,2)</f>
        <v>#DIV/0!</v>
      </c>
    </row>
    <row r="486" spans="1:20" x14ac:dyDescent="0.2">
      <c r="A486" s="105" t="s">
        <v>709</v>
      </c>
      <c r="B486" s="106" t="s">
        <v>37</v>
      </c>
      <c r="C486" s="106" t="s">
        <v>322</v>
      </c>
      <c r="D486" s="106" t="s">
        <v>344</v>
      </c>
      <c r="E486" s="106" t="s">
        <v>37</v>
      </c>
      <c r="F486" s="107" t="s">
        <v>621</v>
      </c>
      <c r="G486" s="106" t="s">
        <v>369</v>
      </c>
      <c r="H486" s="106" t="s">
        <v>249</v>
      </c>
      <c r="I486" s="106" t="s">
        <v>11</v>
      </c>
      <c r="J486" s="106" t="s">
        <v>231</v>
      </c>
      <c r="K486" s="106"/>
      <c r="L486" s="108">
        <v>11.1</v>
      </c>
      <c r="M486" s="108">
        <f>L486*VLOOKUP(I486,dagsoorttabel1,2,FALSE)</f>
        <v>6.6599999999999993</v>
      </c>
      <c r="N486" s="109">
        <f>prodnorm57</f>
        <v>0</v>
      </c>
      <c r="O486" s="106" t="s">
        <v>105</v>
      </c>
      <c r="P486" s="28">
        <f>uurtarief57</f>
        <v>0</v>
      </c>
      <c r="Q486" s="108" t="e">
        <f>IF(ISBLANK(N486),0,M486/ROUND(N486,4))</f>
        <v>#DIV/0!</v>
      </c>
      <c r="R486" s="28" t="e">
        <f>ROUND(P486,2)*Q486</f>
        <v>#DIV/0!</v>
      </c>
      <c r="S486" s="108" t="e">
        <f>Q486*dagenperjaar1</f>
        <v>#DIV/0!</v>
      </c>
      <c r="T486" s="29" t="e">
        <f>S486*ROUND(P486,2)</f>
        <v>#DIV/0!</v>
      </c>
    </row>
    <row r="487" spans="1:20" x14ac:dyDescent="0.2">
      <c r="A487" s="105" t="s">
        <v>709</v>
      </c>
      <c r="B487" s="106" t="s">
        <v>37</v>
      </c>
      <c r="C487" s="106" t="s">
        <v>415</v>
      </c>
      <c r="D487" s="106" t="s">
        <v>416</v>
      </c>
      <c r="E487" s="106" t="s">
        <v>37</v>
      </c>
      <c r="F487" s="107" t="s">
        <v>654</v>
      </c>
      <c r="G487" s="106" t="s">
        <v>710</v>
      </c>
      <c r="H487" s="106" t="s">
        <v>290</v>
      </c>
      <c r="I487" s="106" t="s">
        <v>11</v>
      </c>
      <c r="J487" s="106" t="s">
        <v>231</v>
      </c>
      <c r="K487" s="106"/>
      <c r="L487" s="108">
        <v>10</v>
      </c>
      <c r="M487" s="108">
        <f>L487*VLOOKUP(I487,dagsoorttabel1,2,FALSE)</f>
        <v>6</v>
      </c>
      <c r="N487" s="109">
        <f>prodnorm144</f>
        <v>0</v>
      </c>
      <c r="O487" s="106" t="s">
        <v>105</v>
      </c>
      <c r="P487" s="28">
        <f>uurtarief144</f>
        <v>0</v>
      </c>
      <c r="Q487" s="108" t="e">
        <f>IF(ISBLANK(N487),0,M487/ROUND(N487,4))</f>
        <v>#DIV/0!</v>
      </c>
      <c r="R487" s="28" t="e">
        <f>ROUND(P487,2)*Q487</f>
        <v>#DIV/0!</v>
      </c>
      <c r="S487" s="108" t="e">
        <f>Q487*dagenperjaar1</f>
        <v>#DIV/0!</v>
      </c>
      <c r="T487" s="29" t="e">
        <f>S487*ROUND(P487,2)</f>
        <v>#DIV/0!</v>
      </c>
    </row>
    <row r="488" spans="1:20" x14ac:dyDescent="0.2">
      <c r="A488" s="105" t="s">
        <v>709</v>
      </c>
      <c r="B488" s="106" t="s">
        <v>37</v>
      </c>
      <c r="C488" s="106" t="s">
        <v>415</v>
      </c>
      <c r="D488" s="106" t="s">
        <v>417</v>
      </c>
      <c r="E488" s="106" t="s">
        <v>37</v>
      </c>
      <c r="F488" s="107" t="s">
        <v>454</v>
      </c>
      <c r="G488" s="106" t="s">
        <v>369</v>
      </c>
      <c r="H488" s="106" t="s">
        <v>273</v>
      </c>
      <c r="I488" s="106" t="s">
        <v>11</v>
      </c>
      <c r="J488" s="106" t="s">
        <v>231</v>
      </c>
      <c r="K488" s="106"/>
      <c r="L488" s="108">
        <v>4</v>
      </c>
      <c r="M488" s="108">
        <f>L488*VLOOKUP(I488,dagsoorttabel1,2,FALSE)</f>
        <v>2.4</v>
      </c>
      <c r="N488" s="109">
        <f>prodnorm110</f>
        <v>0</v>
      </c>
      <c r="O488" s="106" t="s">
        <v>105</v>
      </c>
      <c r="P488" s="28">
        <f>uurtarief110</f>
        <v>0</v>
      </c>
      <c r="Q488" s="108" t="e">
        <f>IF(ISBLANK(N488),0,M488/ROUND(N488,4))</f>
        <v>#DIV/0!</v>
      </c>
      <c r="R488" s="28" t="e">
        <f>ROUND(P488,2)*Q488</f>
        <v>#DIV/0!</v>
      </c>
      <c r="S488" s="108" t="e">
        <f>Q488*dagenperjaar1</f>
        <v>#DIV/0!</v>
      </c>
      <c r="T488" s="29" t="e">
        <f>S488*ROUND(P488,2)</f>
        <v>#DIV/0!</v>
      </c>
    </row>
    <row r="489" spans="1:20" x14ac:dyDescent="0.2">
      <c r="A489" s="105" t="s">
        <v>709</v>
      </c>
      <c r="B489" s="106" t="s">
        <v>37</v>
      </c>
      <c r="C489" s="106" t="s">
        <v>415</v>
      </c>
      <c r="D489" s="106" t="s">
        <v>419</v>
      </c>
      <c r="E489" s="106" t="s">
        <v>37</v>
      </c>
      <c r="F489" s="107" t="s">
        <v>711</v>
      </c>
      <c r="G489" s="106" t="s">
        <v>632</v>
      </c>
      <c r="H489" s="106" t="s">
        <v>251</v>
      </c>
      <c r="I489" s="106" t="s">
        <v>20</v>
      </c>
      <c r="J489" s="106" t="s">
        <v>231</v>
      </c>
      <c r="K489" s="106"/>
      <c r="L489" s="108">
        <v>13.8</v>
      </c>
      <c r="M489" s="108">
        <f>L489*VLOOKUP(I489,dagsoorttabel1,2,FALSE)</f>
        <v>0.21647058823529414</v>
      </c>
      <c r="N489" s="109">
        <f>prodnorm63</f>
        <v>0</v>
      </c>
      <c r="O489" s="106" t="s">
        <v>105</v>
      </c>
      <c r="P489" s="28">
        <f>uurtarief63</f>
        <v>0</v>
      </c>
      <c r="Q489" s="108" t="e">
        <f>IF(ISBLANK(N489),0,M489/ROUND(N489,4))</f>
        <v>#DIV/0!</v>
      </c>
      <c r="R489" s="28" t="e">
        <f>ROUND(P489,2)*Q489</f>
        <v>#DIV/0!</v>
      </c>
      <c r="S489" s="108" t="e">
        <f>Q489*dagenperjaar1</f>
        <v>#DIV/0!</v>
      </c>
      <c r="T489" s="29" t="e">
        <f>S489*ROUND(P489,2)</f>
        <v>#DIV/0!</v>
      </c>
    </row>
    <row r="490" spans="1:20" x14ac:dyDescent="0.2">
      <c r="A490" s="105" t="s">
        <v>709</v>
      </c>
      <c r="B490" s="106" t="s">
        <v>37</v>
      </c>
      <c r="C490" s="106" t="s">
        <v>415</v>
      </c>
      <c r="D490" s="106" t="s">
        <v>420</v>
      </c>
      <c r="E490" s="106" t="s">
        <v>37</v>
      </c>
      <c r="F490" s="107" t="s">
        <v>579</v>
      </c>
      <c r="G490" s="106" t="s">
        <v>369</v>
      </c>
      <c r="H490" s="106" t="s">
        <v>257</v>
      </c>
      <c r="I490" s="106" t="s">
        <v>11</v>
      </c>
      <c r="J490" s="106" t="s">
        <v>231</v>
      </c>
      <c r="K490" s="106"/>
      <c r="L490" s="108">
        <v>33.6</v>
      </c>
      <c r="M490" s="108">
        <f>L490*VLOOKUP(I490,dagsoorttabel1,2,FALSE)</f>
        <v>20.16</v>
      </c>
      <c r="N490" s="109">
        <f>prodnorm77</f>
        <v>0</v>
      </c>
      <c r="O490" s="106" t="s">
        <v>105</v>
      </c>
      <c r="P490" s="28">
        <f>uurtarief77</f>
        <v>0</v>
      </c>
      <c r="Q490" s="108" t="e">
        <f>IF(ISBLANK(N490),0,M490/ROUND(N490,4))</f>
        <v>#DIV/0!</v>
      </c>
      <c r="R490" s="28" t="e">
        <f>ROUND(P490,2)*Q490</f>
        <v>#DIV/0!</v>
      </c>
      <c r="S490" s="108" t="e">
        <f>Q490*dagenperjaar1</f>
        <v>#DIV/0!</v>
      </c>
      <c r="T490" s="29" t="e">
        <f>S490*ROUND(P490,2)</f>
        <v>#DIV/0!</v>
      </c>
    </row>
    <row r="491" spans="1:20" x14ac:dyDescent="0.2">
      <c r="A491" s="105" t="s">
        <v>709</v>
      </c>
      <c r="B491" s="106" t="s">
        <v>37</v>
      </c>
      <c r="C491" s="106" t="s">
        <v>415</v>
      </c>
      <c r="D491" s="106" t="s">
        <v>421</v>
      </c>
      <c r="E491" s="106" t="s">
        <v>37</v>
      </c>
      <c r="F491" s="107" t="s">
        <v>618</v>
      </c>
      <c r="G491" s="106" t="s">
        <v>325</v>
      </c>
      <c r="H491" s="106" t="s">
        <v>237</v>
      </c>
      <c r="I491" s="106" t="s">
        <v>11</v>
      </c>
      <c r="J491" s="106" t="s">
        <v>231</v>
      </c>
      <c r="K491" s="106"/>
      <c r="L491" s="108">
        <v>34.799999999999997</v>
      </c>
      <c r="M491" s="108">
        <f>L491*VLOOKUP(I491,dagsoorttabel1,2,FALSE)</f>
        <v>20.88</v>
      </c>
      <c r="N491" s="109">
        <f>prodnorm41</f>
        <v>0</v>
      </c>
      <c r="O491" s="106" t="s">
        <v>105</v>
      </c>
      <c r="P491" s="28">
        <f>uurtarief41</f>
        <v>0</v>
      </c>
      <c r="Q491" s="108" t="e">
        <f>IF(ISBLANK(N491),0,M491/ROUND(N491,4))</f>
        <v>#DIV/0!</v>
      </c>
      <c r="R491" s="28" t="e">
        <f>ROUND(P491,2)*Q491</f>
        <v>#DIV/0!</v>
      </c>
      <c r="S491" s="108" t="e">
        <f>Q491*dagenperjaar1</f>
        <v>#DIV/0!</v>
      </c>
      <c r="T491" s="29" t="e">
        <f>S491*ROUND(P491,2)</f>
        <v>#DIV/0!</v>
      </c>
    </row>
    <row r="492" spans="1:20" x14ac:dyDescent="0.2">
      <c r="A492" s="105" t="s">
        <v>709</v>
      </c>
      <c r="B492" s="106" t="s">
        <v>37</v>
      </c>
      <c r="C492" s="106" t="s">
        <v>415</v>
      </c>
      <c r="D492" s="106" t="s">
        <v>422</v>
      </c>
      <c r="E492" s="106" t="s">
        <v>37</v>
      </c>
      <c r="F492" s="107" t="s">
        <v>307</v>
      </c>
      <c r="G492" s="106" t="s">
        <v>325</v>
      </c>
      <c r="H492" s="106" t="s">
        <v>237</v>
      </c>
      <c r="I492" s="106" t="s">
        <v>11</v>
      </c>
      <c r="J492" s="106" t="s">
        <v>231</v>
      </c>
      <c r="K492" s="106"/>
      <c r="L492" s="108">
        <v>36.799999999999997</v>
      </c>
      <c r="M492" s="108">
        <f>L492*VLOOKUP(I492,dagsoorttabel1,2,FALSE)</f>
        <v>22.08</v>
      </c>
      <c r="N492" s="109">
        <f>prodnorm41</f>
        <v>0</v>
      </c>
      <c r="O492" s="106" t="s">
        <v>105</v>
      </c>
      <c r="P492" s="28">
        <f>uurtarief41</f>
        <v>0</v>
      </c>
      <c r="Q492" s="108" t="e">
        <f>IF(ISBLANK(N492),0,M492/ROUND(N492,4))</f>
        <v>#DIV/0!</v>
      </c>
      <c r="R492" s="28" t="e">
        <f>ROUND(P492,2)*Q492</f>
        <v>#DIV/0!</v>
      </c>
      <c r="S492" s="108" t="e">
        <f>Q492*dagenperjaar1</f>
        <v>#DIV/0!</v>
      </c>
      <c r="T492" s="29" t="e">
        <f>S492*ROUND(P492,2)</f>
        <v>#DIV/0!</v>
      </c>
    </row>
    <row r="493" spans="1:20" x14ac:dyDescent="0.2">
      <c r="A493" s="105" t="s">
        <v>709</v>
      </c>
      <c r="B493" s="106" t="s">
        <v>37</v>
      </c>
      <c r="C493" s="106" t="s">
        <v>544</v>
      </c>
      <c r="D493" s="106" t="s">
        <v>37</v>
      </c>
      <c r="E493" s="106" t="s">
        <v>37</v>
      </c>
      <c r="F493" s="107" t="s">
        <v>545</v>
      </c>
      <c r="G493" s="106" t="s">
        <v>37</v>
      </c>
      <c r="H493" s="106" t="s">
        <v>298</v>
      </c>
      <c r="I493" s="106" t="s">
        <v>13</v>
      </c>
      <c r="J493" s="106" t="s">
        <v>299</v>
      </c>
      <c r="K493" s="106"/>
      <c r="L493" s="108">
        <v>1</v>
      </c>
      <c r="M493" s="108">
        <f>L493*VLOOKUP(I493,dagsoorttabel1,2,FALSE)</f>
        <v>0.2</v>
      </c>
      <c r="N493" s="109">
        <f>prodnorm21</f>
        <v>0</v>
      </c>
      <c r="O493" s="106" t="s">
        <v>301</v>
      </c>
      <c r="P493" s="28">
        <f>uurtarief21</f>
        <v>0</v>
      </c>
      <c r="Q493" s="108">
        <f>M493*ROUND(N493,4)/60</f>
        <v>0</v>
      </c>
      <c r="R493" s="28">
        <f>ROUND(P493,2)*Q493</f>
        <v>0</v>
      </c>
      <c r="S493" s="108">
        <f>Q493*dagenperjaar1</f>
        <v>0</v>
      </c>
      <c r="T493" s="29">
        <f>S493*ROUND(P493,2)</f>
        <v>0</v>
      </c>
    </row>
    <row r="494" spans="1:20" x14ac:dyDescent="0.2">
      <c r="A494" s="110" t="s">
        <v>709</v>
      </c>
      <c r="B494" s="111" t="s">
        <v>37</v>
      </c>
      <c r="C494" s="111" t="s">
        <v>544</v>
      </c>
      <c r="D494" s="111" t="s">
        <v>37</v>
      </c>
      <c r="E494" s="111" t="s">
        <v>37</v>
      </c>
      <c r="F494" s="112" t="s">
        <v>545</v>
      </c>
      <c r="G494" s="111" t="s">
        <v>37</v>
      </c>
      <c r="H494" s="111" t="s">
        <v>302</v>
      </c>
      <c r="I494" s="111" t="s">
        <v>15</v>
      </c>
      <c r="J494" s="111" t="s">
        <v>299</v>
      </c>
      <c r="K494" s="111"/>
      <c r="L494" s="113">
        <v>1</v>
      </c>
      <c r="M494" s="113">
        <f>L494*VLOOKUP(I494,dagsoorttabel1,2,FALSE)</f>
        <v>4.7058823529411764E-2</v>
      </c>
      <c r="N494" s="114">
        <f>prodnorm24</f>
        <v>0</v>
      </c>
      <c r="O494" s="111" t="s">
        <v>301</v>
      </c>
      <c r="P494" s="38">
        <f>uurtarief24</f>
        <v>0</v>
      </c>
      <c r="Q494" s="113">
        <f>M494*ROUND(N494,4)/60</f>
        <v>0</v>
      </c>
      <c r="R494" s="38">
        <f>ROUND(P494,2)*Q494</f>
        <v>0</v>
      </c>
      <c r="S494" s="113">
        <f>Q494*dagenperjaar1</f>
        <v>0</v>
      </c>
      <c r="T494" s="39">
        <f>S494*ROUND(P494,2)</f>
        <v>0</v>
      </c>
    </row>
    <row r="495" spans="1:20" x14ac:dyDescent="0.2">
      <c r="A495" s="115" t="s">
        <v>546</v>
      </c>
      <c r="B495" s="83"/>
      <c r="C495" s="83"/>
      <c r="D495" s="83"/>
      <c r="E495" s="83"/>
      <c r="F495" s="83"/>
      <c r="G495" s="83"/>
      <c r="H495" s="83"/>
      <c r="I495" s="83"/>
      <c r="J495" s="83"/>
      <c r="K495" s="83"/>
      <c r="L495" s="83"/>
      <c r="M495" s="83"/>
      <c r="N495" s="83"/>
      <c r="O495" s="83"/>
      <c r="P495" s="85" t="e">
        <f>IF(_xlfn.SINGLE(object17_urenjaar1)&gt;0,_xlfn.SINGLE(object17_prijsjaar1)/_xlfn.SINGLE(object17_urenjaar1),0)</f>
        <v>#DIV/0!</v>
      </c>
      <c r="Q495" s="84" t="e">
        <f>SUM(Q479:Q494)</f>
        <v>#DIV/0!</v>
      </c>
      <c r="R495" s="85" t="e">
        <f>SUM(R479:R494)</f>
        <v>#DIV/0!</v>
      </c>
      <c r="S495" s="84" t="e">
        <f>SUM(S479:S494)</f>
        <v>#DIV/0!</v>
      </c>
      <c r="T495" s="86" t="e">
        <f>SUM(T479:T494)</f>
        <v>#DIV/0!</v>
      </c>
    </row>
    <row r="496" spans="1:20" x14ac:dyDescent="0.2">
      <c r="A496" s="91" t="s">
        <v>712</v>
      </c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81"/>
    </row>
    <row r="497" spans="1:20" x14ac:dyDescent="0.2">
      <c r="A497" s="98" t="s">
        <v>713</v>
      </c>
      <c r="B497" s="99" t="s">
        <v>37</v>
      </c>
      <c r="C497" s="99" t="s">
        <v>322</v>
      </c>
      <c r="D497" s="99" t="s">
        <v>323</v>
      </c>
      <c r="E497" s="99" t="s">
        <v>37</v>
      </c>
      <c r="F497" s="100" t="s">
        <v>592</v>
      </c>
      <c r="G497" s="99" t="s">
        <v>593</v>
      </c>
      <c r="H497" s="99" t="s">
        <v>281</v>
      </c>
      <c r="I497" s="99" t="s">
        <v>11</v>
      </c>
      <c r="J497" s="99" t="s">
        <v>231</v>
      </c>
      <c r="K497" s="99"/>
      <c r="L497" s="101">
        <v>4.8</v>
      </c>
      <c r="M497" s="101">
        <f>L497*VLOOKUP(I497,dagsoorttabel1,2,FALSE)</f>
        <v>2.88</v>
      </c>
      <c r="N497" s="102">
        <f>prodnorm127</f>
        <v>0</v>
      </c>
      <c r="O497" s="99" t="s">
        <v>105</v>
      </c>
      <c r="P497" s="103">
        <f>uurtarief127</f>
        <v>0</v>
      </c>
      <c r="Q497" s="101" t="e">
        <f>IF(ISBLANK(N497),0,M497/ROUND(N497,4))</f>
        <v>#DIV/0!</v>
      </c>
      <c r="R497" s="103" t="e">
        <f>ROUND(P497,2)*Q497</f>
        <v>#DIV/0!</v>
      </c>
      <c r="S497" s="101" t="e">
        <f>Q497*dagenperjaar1</f>
        <v>#DIV/0!</v>
      </c>
      <c r="T497" s="104" t="e">
        <f>S497*ROUND(P497,2)</f>
        <v>#DIV/0!</v>
      </c>
    </row>
    <row r="498" spans="1:20" x14ac:dyDescent="0.2">
      <c r="A498" s="105" t="s">
        <v>713</v>
      </c>
      <c r="B498" s="106" t="s">
        <v>37</v>
      </c>
      <c r="C498" s="106" t="s">
        <v>322</v>
      </c>
      <c r="D498" s="106" t="s">
        <v>326</v>
      </c>
      <c r="E498" s="106" t="s">
        <v>37</v>
      </c>
      <c r="F498" s="107" t="s">
        <v>335</v>
      </c>
      <c r="G498" s="106" t="s">
        <v>369</v>
      </c>
      <c r="H498" s="106" t="s">
        <v>273</v>
      </c>
      <c r="I498" s="106" t="s">
        <v>11</v>
      </c>
      <c r="J498" s="106" t="s">
        <v>231</v>
      </c>
      <c r="K498" s="106"/>
      <c r="L498" s="108">
        <v>33.799999999999997</v>
      </c>
      <c r="M498" s="108">
        <f>L498*VLOOKUP(I498,dagsoorttabel1,2,FALSE)</f>
        <v>20.279999999999998</v>
      </c>
      <c r="N498" s="109">
        <f>prodnorm110</f>
        <v>0</v>
      </c>
      <c r="O498" s="106" t="s">
        <v>105</v>
      </c>
      <c r="P498" s="28">
        <f>uurtarief110</f>
        <v>0</v>
      </c>
      <c r="Q498" s="108" t="e">
        <f>IF(ISBLANK(N498),0,M498/ROUND(N498,4))</f>
        <v>#DIV/0!</v>
      </c>
      <c r="R498" s="28" t="e">
        <f>ROUND(P498,2)*Q498</f>
        <v>#DIV/0!</v>
      </c>
      <c r="S498" s="108" t="e">
        <f>Q498*dagenperjaar1</f>
        <v>#DIV/0!</v>
      </c>
      <c r="T498" s="29" t="e">
        <f>S498*ROUND(P498,2)</f>
        <v>#DIV/0!</v>
      </c>
    </row>
    <row r="499" spans="1:20" x14ac:dyDescent="0.2">
      <c r="A499" s="105" t="s">
        <v>713</v>
      </c>
      <c r="B499" s="106" t="s">
        <v>37</v>
      </c>
      <c r="C499" s="106" t="s">
        <v>322</v>
      </c>
      <c r="D499" s="106" t="s">
        <v>329</v>
      </c>
      <c r="E499" s="106" t="s">
        <v>37</v>
      </c>
      <c r="F499" s="107" t="s">
        <v>579</v>
      </c>
      <c r="G499" s="106" t="s">
        <v>369</v>
      </c>
      <c r="H499" s="106" t="s">
        <v>257</v>
      </c>
      <c r="I499" s="106" t="s">
        <v>11</v>
      </c>
      <c r="J499" s="106" t="s">
        <v>231</v>
      </c>
      <c r="K499" s="106"/>
      <c r="L499" s="108">
        <v>19.399999999999999</v>
      </c>
      <c r="M499" s="108">
        <f>L499*VLOOKUP(I499,dagsoorttabel1,2,FALSE)</f>
        <v>11.639999999999999</v>
      </c>
      <c r="N499" s="109">
        <f>prodnorm77</f>
        <v>0</v>
      </c>
      <c r="O499" s="106" t="s">
        <v>105</v>
      </c>
      <c r="P499" s="28">
        <f>uurtarief77</f>
        <v>0</v>
      </c>
      <c r="Q499" s="108" t="e">
        <f>IF(ISBLANK(N499),0,M499/ROUND(N499,4))</f>
        <v>#DIV/0!</v>
      </c>
      <c r="R499" s="28" t="e">
        <f>ROUND(P499,2)*Q499</f>
        <v>#DIV/0!</v>
      </c>
      <c r="S499" s="108" t="e">
        <f>Q499*dagenperjaar1</f>
        <v>#DIV/0!</v>
      </c>
      <c r="T499" s="29" t="e">
        <f>S499*ROUND(P499,2)</f>
        <v>#DIV/0!</v>
      </c>
    </row>
    <row r="500" spans="1:20" x14ac:dyDescent="0.2">
      <c r="A500" s="105" t="s">
        <v>713</v>
      </c>
      <c r="B500" s="106" t="s">
        <v>37</v>
      </c>
      <c r="C500" s="106" t="s">
        <v>322</v>
      </c>
      <c r="D500" s="106" t="s">
        <v>332</v>
      </c>
      <c r="E500" s="106" t="s">
        <v>37</v>
      </c>
      <c r="F500" s="107" t="s">
        <v>371</v>
      </c>
      <c r="G500" s="106" t="s">
        <v>369</v>
      </c>
      <c r="H500" s="106" t="s">
        <v>253</v>
      </c>
      <c r="I500" s="106" t="s">
        <v>11</v>
      </c>
      <c r="J500" s="106" t="s">
        <v>231</v>
      </c>
      <c r="K500" s="106"/>
      <c r="L500" s="108">
        <v>7.4</v>
      </c>
      <c r="M500" s="108">
        <f>L500*VLOOKUP(I500,dagsoorttabel1,2,FALSE)</f>
        <v>4.4400000000000004</v>
      </c>
      <c r="N500" s="109">
        <f>prodnorm65</f>
        <v>0</v>
      </c>
      <c r="O500" s="106" t="s">
        <v>105</v>
      </c>
      <c r="P500" s="28">
        <f>uurtarief65</f>
        <v>0</v>
      </c>
      <c r="Q500" s="108" t="e">
        <f>IF(ISBLANK(N500),0,M500/ROUND(N500,4))</f>
        <v>#DIV/0!</v>
      </c>
      <c r="R500" s="28" t="e">
        <f>ROUND(P500,2)*Q500</f>
        <v>#DIV/0!</v>
      </c>
      <c r="S500" s="108" t="e">
        <f>Q500*dagenperjaar1</f>
        <v>#DIV/0!</v>
      </c>
      <c r="T500" s="29" t="e">
        <f>S500*ROUND(P500,2)</f>
        <v>#DIV/0!</v>
      </c>
    </row>
    <row r="501" spans="1:20" x14ac:dyDescent="0.2">
      <c r="A501" s="105" t="s">
        <v>713</v>
      </c>
      <c r="B501" s="106" t="s">
        <v>37</v>
      </c>
      <c r="C501" s="106" t="s">
        <v>322</v>
      </c>
      <c r="D501" s="106" t="s">
        <v>334</v>
      </c>
      <c r="E501" s="106" t="s">
        <v>37</v>
      </c>
      <c r="F501" s="107" t="s">
        <v>714</v>
      </c>
      <c r="G501" s="106" t="s">
        <v>369</v>
      </c>
      <c r="H501" s="106" t="s">
        <v>251</v>
      </c>
      <c r="I501" s="106" t="s">
        <v>15</v>
      </c>
      <c r="J501" s="106" t="s">
        <v>231</v>
      </c>
      <c r="K501" s="106"/>
      <c r="L501" s="108">
        <v>2.2000000000000002</v>
      </c>
      <c r="M501" s="108">
        <f>L501*VLOOKUP(I501,dagsoorttabel1,2,FALSE)</f>
        <v>0.10352941176470588</v>
      </c>
      <c r="N501" s="109">
        <f>prodnorm59</f>
        <v>0</v>
      </c>
      <c r="O501" s="106" t="s">
        <v>105</v>
      </c>
      <c r="P501" s="28">
        <f>uurtarief59</f>
        <v>0</v>
      </c>
      <c r="Q501" s="108" t="e">
        <f>IF(ISBLANK(N501),0,M501/ROUND(N501,4))</f>
        <v>#DIV/0!</v>
      </c>
      <c r="R501" s="28" t="e">
        <f>ROUND(P501,2)*Q501</f>
        <v>#DIV/0!</v>
      </c>
      <c r="S501" s="108" t="e">
        <f>Q501*dagenperjaar1</f>
        <v>#DIV/0!</v>
      </c>
      <c r="T501" s="29" t="e">
        <f>S501*ROUND(P501,2)</f>
        <v>#DIV/0!</v>
      </c>
    </row>
    <row r="502" spans="1:20" x14ac:dyDescent="0.2">
      <c r="A502" s="105" t="s">
        <v>713</v>
      </c>
      <c r="B502" s="106" t="s">
        <v>37</v>
      </c>
      <c r="C502" s="106" t="s">
        <v>322</v>
      </c>
      <c r="D502" s="106" t="s">
        <v>336</v>
      </c>
      <c r="E502" s="106" t="s">
        <v>37</v>
      </c>
      <c r="F502" s="107" t="s">
        <v>621</v>
      </c>
      <c r="G502" s="106" t="s">
        <v>369</v>
      </c>
      <c r="H502" s="106" t="s">
        <v>249</v>
      </c>
      <c r="I502" s="106" t="s">
        <v>11</v>
      </c>
      <c r="J502" s="106" t="s">
        <v>231</v>
      </c>
      <c r="K502" s="106"/>
      <c r="L502" s="108">
        <v>9.8000000000000007</v>
      </c>
      <c r="M502" s="108">
        <f>L502*VLOOKUP(I502,dagsoorttabel1,2,FALSE)</f>
        <v>5.88</v>
      </c>
      <c r="N502" s="109">
        <f>prodnorm57</f>
        <v>0</v>
      </c>
      <c r="O502" s="106" t="s">
        <v>105</v>
      </c>
      <c r="P502" s="28">
        <f>uurtarief57</f>
        <v>0</v>
      </c>
      <c r="Q502" s="108" t="e">
        <f>IF(ISBLANK(N502),0,M502/ROUND(N502,4))</f>
        <v>#DIV/0!</v>
      </c>
      <c r="R502" s="28" t="e">
        <f>ROUND(P502,2)*Q502</f>
        <v>#DIV/0!</v>
      </c>
      <c r="S502" s="108" t="e">
        <f>Q502*dagenperjaar1</f>
        <v>#DIV/0!</v>
      </c>
      <c r="T502" s="29" t="e">
        <f>S502*ROUND(P502,2)</f>
        <v>#DIV/0!</v>
      </c>
    </row>
    <row r="503" spans="1:20" x14ac:dyDescent="0.2">
      <c r="A503" s="105" t="s">
        <v>713</v>
      </c>
      <c r="B503" s="106" t="s">
        <v>37</v>
      </c>
      <c r="C503" s="106" t="s">
        <v>322</v>
      </c>
      <c r="D503" s="106" t="s">
        <v>338</v>
      </c>
      <c r="E503" s="106" t="s">
        <v>37</v>
      </c>
      <c r="F503" s="107" t="s">
        <v>615</v>
      </c>
      <c r="G503" s="106" t="s">
        <v>369</v>
      </c>
      <c r="H503" s="106" t="s">
        <v>267</v>
      </c>
      <c r="I503" s="106" t="s">
        <v>11</v>
      </c>
      <c r="J503" s="106" t="s">
        <v>231</v>
      </c>
      <c r="K503" s="106"/>
      <c r="L503" s="108">
        <v>1.3</v>
      </c>
      <c r="M503" s="108">
        <f>L503*VLOOKUP(I503,dagsoorttabel1,2,FALSE)</f>
        <v>0.78</v>
      </c>
      <c r="N503" s="109">
        <f>prodnorm98</f>
        <v>0</v>
      </c>
      <c r="O503" s="106" t="s">
        <v>105</v>
      </c>
      <c r="P503" s="28">
        <f>uurtarief98</f>
        <v>0</v>
      </c>
      <c r="Q503" s="108" t="e">
        <f>IF(ISBLANK(N503),0,M503/ROUND(N503,4))</f>
        <v>#DIV/0!</v>
      </c>
      <c r="R503" s="28" t="e">
        <f>ROUND(P503,2)*Q503</f>
        <v>#DIV/0!</v>
      </c>
      <c r="S503" s="108" t="e">
        <f>Q503*dagenperjaar1</f>
        <v>#DIV/0!</v>
      </c>
      <c r="T503" s="29" t="e">
        <f>S503*ROUND(P503,2)</f>
        <v>#DIV/0!</v>
      </c>
    </row>
    <row r="504" spans="1:20" x14ac:dyDescent="0.2">
      <c r="A504" s="105" t="s">
        <v>713</v>
      </c>
      <c r="B504" s="106" t="s">
        <v>37</v>
      </c>
      <c r="C504" s="106" t="s">
        <v>322</v>
      </c>
      <c r="D504" s="106" t="s">
        <v>342</v>
      </c>
      <c r="E504" s="106" t="s">
        <v>37</v>
      </c>
      <c r="F504" s="107" t="s">
        <v>640</v>
      </c>
      <c r="G504" s="106" t="s">
        <v>369</v>
      </c>
      <c r="H504" s="106" t="s">
        <v>267</v>
      </c>
      <c r="I504" s="106" t="s">
        <v>11</v>
      </c>
      <c r="J504" s="106" t="s">
        <v>231</v>
      </c>
      <c r="K504" s="106"/>
      <c r="L504" s="108">
        <v>25</v>
      </c>
      <c r="M504" s="108">
        <f>L504*VLOOKUP(I504,dagsoorttabel1,2,FALSE)</f>
        <v>15</v>
      </c>
      <c r="N504" s="109">
        <f>prodnorm98</f>
        <v>0</v>
      </c>
      <c r="O504" s="106" t="s">
        <v>105</v>
      </c>
      <c r="P504" s="28">
        <f>uurtarief98</f>
        <v>0</v>
      </c>
      <c r="Q504" s="108" t="e">
        <f>IF(ISBLANK(N504),0,M504/ROUND(N504,4))</f>
        <v>#DIV/0!</v>
      </c>
      <c r="R504" s="28" t="e">
        <f>ROUND(P504,2)*Q504</f>
        <v>#DIV/0!</v>
      </c>
      <c r="S504" s="108" t="e">
        <f>Q504*dagenperjaar1</f>
        <v>#DIV/0!</v>
      </c>
      <c r="T504" s="29" t="e">
        <f>S504*ROUND(P504,2)</f>
        <v>#DIV/0!</v>
      </c>
    </row>
    <row r="505" spans="1:20" x14ac:dyDescent="0.2">
      <c r="A505" s="105" t="s">
        <v>713</v>
      </c>
      <c r="B505" s="106" t="s">
        <v>37</v>
      </c>
      <c r="C505" s="106" t="s">
        <v>322</v>
      </c>
      <c r="D505" s="106" t="s">
        <v>344</v>
      </c>
      <c r="E505" s="106" t="s">
        <v>37</v>
      </c>
      <c r="F505" s="107" t="s">
        <v>454</v>
      </c>
      <c r="G505" s="106" t="s">
        <v>620</v>
      </c>
      <c r="H505" s="106" t="s">
        <v>275</v>
      </c>
      <c r="I505" s="106" t="s">
        <v>11</v>
      </c>
      <c r="J505" s="106" t="s">
        <v>231</v>
      </c>
      <c r="K505" s="106"/>
      <c r="L505" s="108">
        <v>2.4</v>
      </c>
      <c r="M505" s="108">
        <f>L505*VLOOKUP(I505,dagsoorttabel1,2,FALSE)</f>
        <v>1.44</v>
      </c>
      <c r="N505" s="109">
        <f>prodnorm116</f>
        <v>0</v>
      </c>
      <c r="O505" s="106" t="s">
        <v>105</v>
      </c>
      <c r="P505" s="28">
        <f>uurtarief116</f>
        <v>0</v>
      </c>
      <c r="Q505" s="108" t="e">
        <f>IF(ISBLANK(N505),0,M505/ROUND(N505,4))</f>
        <v>#DIV/0!</v>
      </c>
      <c r="R505" s="28" t="e">
        <f>ROUND(P505,2)*Q505</f>
        <v>#DIV/0!</v>
      </c>
      <c r="S505" s="108" t="e">
        <f>Q505*dagenperjaar1</f>
        <v>#DIV/0!</v>
      </c>
      <c r="T505" s="29" t="e">
        <f>S505*ROUND(P505,2)</f>
        <v>#DIV/0!</v>
      </c>
    </row>
    <row r="506" spans="1:20" x14ac:dyDescent="0.2">
      <c r="A506" s="105" t="s">
        <v>713</v>
      </c>
      <c r="B506" s="106" t="s">
        <v>37</v>
      </c>
      <c r="C506" s="106" t="s">
        <v>322</v>
      </c>
      <c r="D506" s="106" t="s">
        <v>347</v>
      </c>
      <c r="E506" s="106" t="s">
        <v>37</v>
      </c>
      <c r="F506" s="107" t="s">
        <v>307</v>
      </c>
      <c r="G506" s="106" t="s">
        <v>331</v>
      </c>
      <c r="H506" s="106" t="s">
        <v>306</v>
      </c>
      <c r="I506" s="106" t="s">
        <v>11</v>
      </c>
      <c r="J506" s="106" t="s">
        <v>299</v>
      </c>
      <c r="K506" s="106"/>
      <c r="L506" s="108">
        <v>86.7</v>
      </c>
      <c r="M506" s="108">
        <f>L506*VLOOKUP(I506,dagsoorttabel1,2,FALSE)</f>
        <v>52.02</v>
      </c>
      <c r="N506" s="109">
        <f>prodnorm29</f>
        <v>0</v>
      </c>
      <c r="O506" s="106" t="s">
        <v>105</v>
      </c>
      <c r="P506" s="28">
        <f>uurtarief29</f>
        <v>0</v>
      </c>
      <c r="Q506" s="108" t="e">
        <f>IF(ISBLANK(N506),0,M506/ROUND(N506,4))</f>
        <v>#DIV/0!</v>
      </c>
      <c r="R506" s="28" t="e">
        <f>ROUND(P506,2)*Q506</f>
        <v>#DIV/0!</v>
      </c>
      <c r="S506" s="108" t="e">
        <f>Q506*dagenperjaar1</f>
        <v>#DIV/0!</v>
      </c>
      <c r="T506" s="29" t="e">
        <f>S506*ROUND(P506,2)</f>
        <v>#DIV/0!</v>
      </c>
    </row>
    <row r="507" spans="1:20" x14ac:dyDescent="0.2">
      <c r="A507" s="110" t="s">
        <v>713</v>
      </c>
      <c r="B507" s="111" t="s">
        <v>37</v>
      </c>
      <c r="C507" s="111" t="s">
        <v>544</v>
      </c>
      <c r="D507" s="111" t="s">
        <v>37</v>
      </c>
      <c r="E507" s="111" t="s">
        <v>37</v>
      </c>
      <c r="F507" s="112" t="s">
        <v>545</v>
      </c>
      <c r="G507" s="111" t="s">
        <v>37</v>
      </c>
      <c r="H507" s="111" t="s">
        <v>302</v>
      </c>
      <c r="I507" s="111" t="s">
        <v>15</v>
      </c>
      <c r="J507" s="111" t="s">
        <v>299</v>
      </c>
      <c r="K507" s="111"/>
      <c r="L507" s="113">
        <v>1</v>
      </c>
      <c r="M507" s="113">
        <f>L507*VLOOKUP(I507,dagsoorttabel1,2,FALSE)</f>
        <v>4.7058823529411764E-2</v>
      </c>
      <c r="N507" s="114">
        <f>prodnorm24</f>
        <v>0</v>
      </c>
      <c r="O507" s="111" t="s">
        <v>301</v>
      </c>
      <c r="P507" s="38">
        <f>uurtarief24</f>
        <v>0</v>
      </c>
      <c r="Q507" s="113">
        <f>M507*ROUND(N507,4)/60</f>
        <v>0</v>
      </c>
      <c r="R507" s="38">
        <f>ROUND(P507,2)*Q507</f>
        <v>0</v>
      </c>
      <c r="S507" s="113">
        <f>Q507*dagenperjaar1</f>
        <v>0</v>
      </c>
      <c r="T507" s="39">
        <f>S507*ROUND(P507,2)</f>
        <v>0</v>
      </c>
    </row>
    <row r="508" spans="1:20" x14ac:dyDescent="0.2">
      <c r="A508" s="115" t="s">
        <v>546</v>
      </c>
      <c r="B508" s="83"/>
      <c r="C508" s="83"/>
      <c r="D508" s="83"/>
      <c r="E508" s="83"/>
      <c r="F508" s="83"/>
      <c r="G508" s="83"/>
      <c r="H508" s="83"/>
      <c r="I508" s="83"/>
      <c r="J508" s="83"/>
      <c r="K508" s="83"/>
      <c r="L508" s="83"/>
      <c r="M508" s="83"/>
      <c r="N508" s="83"/>
      <c r="O508" s="83"/>
      <c r="P508" s="85" t="e">
        <f>IF(_xlfn.SINGLE(object18_urenjaar1)&gt;0,_xlfn.SINGLE(object18_prijsjaar1)/_xlfn.SINGLE(object18_urenjaar1),0)</f>
        <v>#DIV/0!</v>
      </c>
      <c r="Q508" s="84" t="e">
        <f>SUM(Q497:Q507)</f>
        <v>#DIV/0!</v>
      </c>
      <c r="R508" s="85" t="e">
        <f>SUM(R497:R507)</f>
        <v>#DIV/0!</v>
      </c>
      <c r="S508" s="84" t="e">
        <f>SUM(S497:S507)</f>
        <v>#DIV/0!</v>
      </c>
      <c r="T508" s="86" t="e">
        <f>SUM(T497:T507)</f>
        <v>#DIV/0!</v>
      </c>
    </row>
    <row r="509" spans="1:20" x14ac:dyDescent="0.2">
      <c r="A509" s="91" t="s">
        <v>715</v>
      </c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81"/>
    </row>
    <row r="510" spans="1:20" x14ac:dyDescent="0.2">
      <c r="A510" s="98" t="s">
        <v>716</v>
      </c>
      <c r="B510" s="99" t="s">
        <v>37</v>
      </c>
      <c r="C510" s="99" t="s">
        <v>322</v>
      </c>
      <c r="D510" s="99" t="s">
        <v>323</v>
      </c>
      <c r="E510" s="99" t="s">
        <v>37</v>
      </c>
      <c r="F510" s="100" t="s">
        <v>717</v>
      </c>
      <c r="G510" s="99" t="s">
        <v>369</v>
      </c>
      <c r="H510" s="99" t="s">
        <v>277</v>
      </c>
      <c r="I510" s="99" t="s">
        <v>16</v>
      </c>
      <c r="J510" s="99" t="s">
        <v>231</v>
      </c>
      <c r="K510" s="99"/>
      <c r="L510" s="101">
        <v>3</v>
      </c>
      <c r="M510" s="101">
        <f>L510*VLOOKUP(I510,dagsoorttabel1,2,FALSE)</f>
        <v>0.11764705882352941</v>
      </c>
      <c r="N510" s="102">
        <f>prodnorm119</f>
        <v>0</v>
      </c>
      <c r="O510" s="99" t="s">
        <v>105</v>
      </c>
      <c r="P510" s="103">
        <f>uurtarief119</f>
        <v>0</v>
      </c>
      <c r="Q510" s="101" t="e">
        <f>IF(ISBLANK(N510),0,M510/ROUND(N510,4))</f>
        <v>#DIV/0!</v>
      </c>
      <c r="R510" s="103" t="e">
        <f>ROUND(P510,2)*Q510</f>
        <v>#DIV/0!</v>
      </c>
      <c r="S510" s="101" t="e">
        <f>Q510*dagenperjaar1</f>
        <v>#DIV/0!</v>
      </c>
      <c r="T510" s="104" t="e">
        <f>S510*ROUND(P510,2)</f>
        <v>#DIV/0!</v>
      </c>
    </row>
    <row r="511" spans="1:20" x14ac:dyDescent="0.2">
      <c r="A511" s="105" t="s">
        <v>716</v>
      </c>
      <c r="B511" s="106" t="s">
        <v>37</v>
      </c>
      <c r="C511" s="106" t="s">
        <v>322</v>
      </c>
      <c r="D511" s="106" t="s">
        <v>326</v>
      </c>
      <c r="E511" s="106" t="s">
        <v>37</v>
      </c>
      <c r="F511" s="107" t="s">
        <v>335</v>
      </c>
      <c r="G511" s="106" t="s">
        <v>369</v>
      </c>
      <c r="H511" s="106" t="s">
        <v>273</v>
      </c>
      <c r="I511" s="106" t="s">
        <v>11</v>
      </c>
      <c r="J511" s="106" t="s">
        <v>231</v>
      </c>
      <c r="K511" s="106"/>
      <c r="L511" s="108">
        <v>33</v>
      </c>
      <c r="M511" s="108">
        <f>L511*VLOOKUP(I511,dagsoorttabel1,2,FALSE)</f>
        <v>19.8</v>
      </c>
      <c r="N511" s="109">
        <f>prodnorm110</f>
        <v>0</v>
      </c>
      <c r="O511" s="106" t="s">
        <v>105</v>
      </c>
      <c r="P511" s="28">
        <f>uurtarief110</f>
        <v>0</v>
      </c>
      <c r="Q511" s="108" t="e">
        <f>IF(ISBLANK(N511),0,M511/ROUND(N511,4))</f>
        <v>#DIV/0!</v>
      </c>
      <c r="R511" s="28" t="e">
        <f>ROUND(P511,2)*Q511</f>
        <v>#DIV/0!</v>
      </c>
      <c r="S511" s="108" t="e">
        <f>Q511*dagenperjaar1</f>
        <v>#DIV/0!</v>
      </c>
      <c r="T511" s="29" t="e">
        <f>S511*ROUND(P511,2)</f>
        <v>#DIV/0!</v>
      </c>
    </row>
    <row r="512" spans="1:20" x14ac:dyDescent="0.2">
      <c r="A512" s="105" t="s">
        <v>716</v>
      </c>
      <c r="B512" s="106" t="s">
        <v>37</v>
      </c>
      <c r="C512" s="106" t="s">
        <v>322</v>
      </c>
      <c r="D512" s="106" t="s">
        <v>329</v>
      </c>
      <c r="E512" s="106" t="s">
        <v>37</v>
      </c>
      <c r="F512" s="107" t="s">
        <v>618</v>
      </c>
      <c r="G512" s="106" t="s">
        <v>369</v>
      </c>
      <c r="H512" s="106" t="s">
        <v>235</v>
      </c>
      <c r="I512" s="106" t="s">
        <v>11</v>
      </c>
      <c r="J512" s="106" t="s">
        <v>231</v>
      </c>
      <c r="K512" s="106"/>
      <c r="L512" s="108">
        <v>36.5</v>
      </c>
      <c r="M512" s="108">
        <f>L512*VLOOKUP(I512,dagsoorttabel1,2,FALSE)</f>
        <v>21.9</v>
      </c>
      <c r="N512" s="109">
        <f>prodnorm38</f>
        <v>0</v>
      </c>
      <c r="O512" s="106" t="s">
        <v>105</v>
      </c>
      <c r="P512" s="28">
        <f>uurtarief38</f>
        <v>0</v>
      </c>
      <c r="Q512" s="108" t="e">
        <f>IF(ISBLANK(N512),0,M512/ROUND(N512,4))</f>
        <v>#DIV/0!</v>
      </c>
      <c r="R512" s="28" t="e">
        <f>ROUND(P512,2)*Q512</f>
        <v>#DIV/0!</v>
      </c>
      <c r="S512" s="108" t="e">
        <f>Q512*dagenperjaar1</f>
        <v>#DIV/0!</v>
      </c>
      <c r="T512" s="29" t="e">
        <f>S512*ROUND(P512,2)</f>
        <v>#DIV/0!</v>
      </c>
    </row>
    <row r="513" spans="1:20" x14ac:dyDescent="0.2">
      <c r="A513" s="105" t="s">
        <v>716</v>
      </c>
      <c r="B513" s="106" t="s">
        <v>37</v>
      </c>
      <c r="C513" s="106" t="s">
        <v>322</v>
      </c>
      <c r="D513" s="106" t="s">
        <v>332</v>
      </c>
      <c r="E513" s="106" t="s">
        <v>37</v>
      </c>
      <c r="F513" s="107" t="s">
        <v>618</v>
      </c>
      <c r="G513" s="106" t="s">
        <v>325</v>
      </c>
      <c r="H513" s="106" t="s">
        <v>237</v>
      </c>
      <c r="I513" s="106" t="s">
        <v>11</v>
      </c>
      <c r="J513" s="106" t="s">
        <v>231</v>
      </c>
      <c r="K513" s="106"/>
      <c r="L513" s="108">
        <v>36.5</v>
      </c>
      <c r="M513" s="108">
        <f>L513*VLOOKUP(I513,dagsoorttabel1,2,FALSE)</f>
        <v>21.9</v>
      </c>
      <c r="N513" s="109">
        <f>prodnorm41</f>
        <v>0</v>
      </c>
      <c r="O513" s="106" t="s">
        <v>105</v>
      </c>
      <c r="P513" s="28">
        <f>uurtarief41</f>
        <v>0</v>
      </c>
      <c r="Q513" s="108" t="e">
        <f>IF(ISBLANK(N513),0,M513/ROUND(N513,4))</f>
        <v>#DIV/0!</v>
      </c>
      <c r="R513" s="28" t="e">
        <f>ROUND(P513,2)*Q513</f>
        <v>#DIV/0!</v>
      </c>
      <c r="S513" s="108" t="e">
        <f>Q513*dagenperjaar1</f>
        <v>#DIV/0!</v>
      </c>
      <c r="T513" s="29" t="e">
        <f>S513*ROUND(P513,2)</f>
        <v>#DIV/0!</v>
      </c>
    </row>
    <row r="514" spans="1:20" x14ac:dyDescent="0.2">
      <c r="A514" s="105" t="s">
        <v>716</v>
      </c>
      <c r="B514" s="106" t="s">
        <v>37</v>
      </c>
      <c r="C514" s="106" t="s">
        <v>322</v>
      </c>
      <c r="D514" s="106" t="s">
        <v>334</v>
      </c>
      <c r="E514" s="106" t="s">
        <v>37</v>
      </c>
      <c r="F514" s="107" t="s">
        <v>371</v>
      </c>
      <c r="G514" s="106" t="s">
        <v>331</v>
      </c>
      <c r="H514" s="106" t="s">
        <v>253</v>
      </c>
      <c r="I514" s="106" t="s">
        <v>11</v>
      </c>
      <c r="J514" s="106" t="s">
        <v>231</v>
      </c>
      <c r="K514" s="106"/>
      <c r="L514" s="108">
        <v>26.8</v>
      </c>
      <c r="M514" s="108">
        <f>L514*VLOOKUP(I514,dagsoorttabel1,2,FALSE)</f>
        <v>16.079999999999998</v>
      </c>
      <c r="N514" s="109">
        <f>prodnorm65</f>
        <v>0</v>
      </c>
      <c r="O514" s="106" t="s">
        <v>105</v>
      </c>
      <c r="P514" s="28">
        <f>uurtarief65</f>
        <v>0</v>
      </c>
      <c r="Q514" s="108" t="e">
        <f>IF(ISBLANK(N514),0,M514/ROUND(N514,4))</f>
        <v>#DIV/0!</v>
      </c>
      <c r="R514" s="28" t="e">
        <f>ROUND(P514,2)*Q514</f>
        <v>#DIV/0!</v>
      </c>
      <c r="S514" s="108" t="e">
        <f>Q514*dagenperjaar1</f>
        <v>#DIV/0!</v>
      </c>
      <c r="T514" s="29" t="e">
        <f>S514*ROUND(P514,2)</f>
        <v>#DIV/0!</v>
      </c>
    </row>
    <row r="515" spans="1:20" x14ac:dyDescent="0.2">
      <c r="A515" s="105" t="s">
        <v>716</v>
      </c>
      <c r="B515" s="106" t="s">
        <v>37</v>
      </c>
      <c r="C515" s="106" t="s">
        <v>322</v>
      </c>
      <c r="D515" s="106" t="s">
        <v>336</v>
      </c>
      <c r="E515" s="106" t="s">
        <v>37</v>
      </c>
      <c r="F515" s="107" t="s">
        <v>615</v>
      </c>
      <c r="G515" s="106" t="s">
        <v>369</v>
      </c>
      <c r="H515" s="106" t="s">
        <v>267</v>
      </c>
      <c r="I515" s="106" t="s">
        <v>11</v>
      </c>
      <c r="J515" s="106" t="s">
        <v>231</v>
      </c>
      <c r="K515" s="106"/>
      <c r="L515" s="108">
        <v>1.6</v>
      </c>
      <c r="M515" s="108">
        <f>L515*VLOOKUP(I515,dagsoorttabel1,2,FALSE)</f>
        <v>0.96</v>
      </c>
      <c r="N515" s="109">
        <f>prodnorm98</f>
        <v>0</v>
      </c>
      <c r="O515" s="106" t="s">
        <v>105</v>
      </c>
      <c r="P515" s="28">
        <f>uurtarief98</f>
        <v>0</v>
      </c>
      <c r="Q515" s="108" t="e">
        <f>IF(ISBLANK(N515),0,M515/ROUND(N515,4))</f>
        <v>#DIV/0!</v>
      </c>
      <c r="R515" s="28" t="e">
        <f>ROUND(P515,2)*Q515</f>
        <v>#DIV/0!</v>
      </c>
      <c r="S515" s="108" t="e">
        <f>Q515*dagenperjaar1</f>
        <v>#DIV/0!</v>
      </c>
      <c r="T515" s="29" t="e">
        <f>S515*ROUND(P515,2)</f>
        <v>#DIV/0!</v>
      </c>
    </row>
    <row r="516" spans="1:20" x14ac:dyDescent="0.2">
      <c r="A516" s="105" t="s">
        <v>716</v>
      </c>
      <c r="B516" s="106" t="s">
        <v>37</v>
      </c>
      <c r="C516" s="106" t="s">
        <v>322</v>
      </c>
      <c r="D516" s="106" t="s">
        <v>338</v>
      </c>
      <c r="E516" s="106" t="s">
        <v>37</v>
      </c>
      <c r="F516" s="107" t="s">
        <v>603</v>
      </c>
      <c r="G516" s="106" t="s">
        <v>369</v>
      </c>
      <c r="H516" s="106" t="s">
        <v>245</v>
      </c>
      <c r="I516" s="106" t="s">
        <v>11</v>
      </c>
      <c r="J516" s="106" t="s">
        <v>231</v>
      </c>
      <c r="K516" s="106"/>
      <c r="L516" s="108">
        <v>1.6</v>
      </c>
      <c r="M516" s="108">
        <f>L516*VLOOKUP(I516,dagsoorttabel1,2,FALSE)</f>
        <v>0.96</v>
      </c>
      <c r="N516" s="109">
        <f>prodnorm52</f>
        <v>0</v>
      </c>
      <c r="O516" s="106" t="s">
        <v>105</v>
      </c>
      <c r="P516" s="28">
        <f>uurtarief52</f>
        <v>0</v>
      </c>
      <c r="Q516" s="108" t="e">
        <f>IF(ISBLANK(N516),0,M516/ROUND(N516,4))</f>
        <v>#DIV/0!</v>
      </c>
      <c r="R516" s="28" t="e">
        <f>ROUND(P516,2)*Q516</f>
        <v>#DIV/0!</v>
      </c>
      <c r="S516" s="108" t="e">
        <f>Q516*dagenperjaar1</f>
        <v>#DIV/0!</v>
      </c>
      <c r="T516" s="29" t="e">
        <f>S516*ROUND(P516,2)</f>
        <v>#DIV/0!</v>
      </c>
    </row>
    <row r="517" spans="1:20" x14ac:dyDescent="0.2">
      <c r="A517" s="105" t="s">
        <v>716</v>
      </c>
      <c r="B517" s="106" t="s">
        <v>37</v>
      </c>
      <c r="C517" s="106" t="s">
        <v>322</v>
      </c>
      <c r="D517" s="106" t="s">
        <v>339</v>
      </c>
      <c r="E517" s="106" t="s">
        <v>37</v>
      </c>
      <c r="F517" s="107" t="s">
        <v>590</v>
      </c>
      <c r="G517" s="106" t="s">
        <v>369</v>
      </c>
      <c r="H517" s="106" t="s">
        <v>265</v>
      </c>
      <c r="I517" s="106" t="s">
        <v>11</v>
      </c>
      <c r="J517" s="106" t="s">
        <v>231</v>
      </c>
      <c r="K517" s="106"/>
      <c r="L517" s="108">
        <v>36.200000000000003</v>
      </c>
      <c r="M517" s="108">
        <f>L517*VLOOKUP(I517,dagsoorttabel1,2,FALSE)</f>
        <v>21.720000000000002</v>
      </c>
      <c r="N517" s="109">
        <f>prodnorm91</f>
        <v>0</v>
      </c>
      <c r="O517" s="106" t="s">
        <v>105</v>
      </c>
      <c r="P517" s="28">
        <f>uurtarief91</f>
        <v>0</v>
      </c>
      <c r="Q517" s="108" t="e">
        <f>IF(ISBLANK(N517),0,M517/ROUND(N517,4))</f>
        <v>#DIV/0!</v>
      </c>
      <c r="R517" s="28" t="e">
        <f>ROUND(P517,2)*Q517</f>
        <v>#DIV/0!</v>
      </c>
      <c r="S517" s="108" t="e">
        <f>Q517*dagenperjaar1</f>
        <v>#DIV/0!</v>
      </c>
      <c r="T517" s="29" t="e">
        <f>S517*ROUND(P517,2)</f>
        <v>#DIV/0!</v>
      </c>
    </row>
    <row r="518" spans="1:20" x14ac:dyDescent="0.2">
      <c r="A518" s="105" t="s">
        <v>716</v>
      </c>
      <c r="B518" s="106" t="s">
        <v>37</v>
      </c>
      <c r="C518" s="106" t="s">
        <v>322</v>
      </c>
      <c r="D518" s="106" t="s">
        <v>342</v>
      </c>
      <c r="E518" s="106" t="s">
        <v>37</v>
      </c>
      <c r="F518" s="107" t="s">
        <v>718</v>
      </c>
      <c r="G518" s="106" t="s">
        <v>369</v>
      </c>
      <c r="H518" s="106" t="s">
        <v>267</v>
      </c>
      <c r="I518" s="106" t="s">
        <v>11</v>
      </c>
      <c r="J518" s="106" t="s">
        <v>231</v>
      </c>
      <c r="K518" s="106"/>
      <c r="L518" s="108">
        <v>11.7</v>
      </c>
      <c r="M518" s="108">
        <f>L518*VLOOKUP(I518,dagsoorttabel1,2,FALSE)</f>
        <v>7.02</v>
      </c>
      <c r="N518" s="109">
        <f>prodnorm98</f>
        <v>0</v>
      </c>
      <c r="O518" s="106" t="s">
        <v>105</v>
      </c>
      <c r="P518" s="28">
        <f>uurtarief98</f>
        <v>0</v>
      </c>
      <c r="Q518" s="108" t="e">
        <f>IF(ISBLANK(N518),0,M518/ROUND(N518,4))</f>
        <v>#DIV/0!</v>
      </c>
      <c r="R518" s="28" t="e">
        <f>ROUND(P518,2)*Q518</f>
        <v>#DIV/0!</v>
      </c>
      <c r="S518" s="108" t="e">
        <f>Q518*dagenperjaar1</f>
        <v>#DIV/0!</v>
      </c>
      <c r="T518" s="29" t="e">
        <f>S518*ROUND(P518,2)</f>
        <v>#DIV/0!</v>
      </c>
    </row>
    <row r="519" spans="1:20" x14ac:dyDescent="0.2">
      <c r="A519" s="105" t="s">
        <v>716</v>
      </c>
      <c r="B519" s="106" t="s">
        <v>37</v>
      </c>
      <c r="C519" s="106" t="s">
        <v>322</v>
      </c>
      <c r="D519" s="106" t="s">
        <v>344</v>
      </c>
      <c r="E519" s="106" t="s">
        <v>37</v>
      </c>
      <c r="F519" s="107" t="s">
        <v>371</v>
      </c>
      <c r="G519" s="106" t="s">
        <v>331</v>
      </c>
      <c r="H519" s="106" t="s">
        <v>253</v>
      </c>
      <c r="I519" s="106" t="s">
        <v>11</v>
      </c>
      <c r="J519" s="106" t="s">
        <v>231</v>
      </c>
      <c r="K519" s="106"/>
      <c r="L519" s="108">
        <v>11.1</v>
      </c>
      <c r="M519" s="108">
        <f>L519*VLOOKUP(I519,dagsoorttabel1,2,FALSE)</f>
        <v>6.6599999999999993</v>
      </c>
      <c r="N519" s="109">
        <f>prodnorm65</f>
        <v>0</v>
      </c>
      <c r="O519" s="106" t="s">
        <v>105</v>
      </c>
      <c r="P519" s="28">
        <f>uurtarief65</f>
        <v>0</v>
      </c>
      <c r="Q519" s="108" t="e">
        <f>IF(ISBLANK(N519),0,M519/ROUND(N519,4))</f>
        <v>#DIV/0!</v>
      </c>
      <c r="R519" s="28" t="e">
        <f>ROUND(P519,2)*Q519</f>
        <v>#DIV/0!</v>
      </c>
      <c r="S519" s="108" t="e">
        <f>Q519*dagenperjaar1</f>
        <v>#DIV/0!</v>
      </c>
      <c r="T519" s="29" t="e">
        <f>S519*ROUND(P519,2)</f>
        <v>#DIV/0!</v>
      </c>
    </row>
    <row r="520" spans="1:20" x14ac:dyDescent="0.2">
      <c r="A520" s="105" t="s">
        <v>716</v>
      </c>
      <c r="B520" s="106" t="s">
        <v>37</v>
      </c>
      <c r="C520" s="106" t="s">
        <v>322</v>
      </c>
      <c r="D520" s="106" t="s">
        <v>347</v>
      </c>
      <c r="E520" s="106" t="s">
        <v>37</v>
      </c>
      <c r="F520" s="107" t="s">
        <v>711</v>
      </c>
      <c r="G520" s="106" t="s">
        <v>369</v>
      </c>
      <c r="H520" s="106" t="s">
        <v>288</v>
      </c>
      <c r="I520" s="106" t="s">
        <v>20</v>
      </c>
      <c r="J520" s="106" t="s">
        <v>231</v>
      </c>
      <c r="K520" s="106"/>
      <c r="L520" s="108">
        <v>6.2</v>
      </c>
      <c r="M520" s="108">
        <f>L520*VLOOKUP(I520,dagsoorttabel1,2,FALSE)</f>
        <v>9.7254901960784318E-2</v>
      </c>
      <c r="N520" s="109">
        <f>prodnorm138</f>
        <v>0</v>
      </c>
      <c r="O520" s="106" t="s">
        <v>105</v>
      </c>
      <c r="P520" s="28">
        <f>uurtarief138</f>
        <v>0</v>
      </c>
      <c r="Q520" s="108" t="e">
        <f>IF(ISBLANK(N520),0,M520/ROUND(N520,4))</f>
        <v>#DIV/0!</v>
      </c>
      <c r="R520" s="28" t="e">
        <f>ROUND(P520,2)*Q520</f>
        <v>#DIV/0!</v>
      </c>
      <c r="S520" s="108" t="e">
        <f>Q520*dagenperjaar1</f>
        <v>#DIV/0!</v>
      </c>
      <c r="T520" s="29" t="e">
        <f>S520*ROUND(P520,2)</f>
        <v>#DIV/0!</v>
      </c>
    </row>
    <row r="521" spans="1:20" x14ac:dyDescent="0.2">
      <c r="A521" s="105" t="s">
        <v>716</v>
      </c>
      <c r="B521" s="106" t="s">
        <v>37</v>
      </c>
      <c r="C521" s="106" t="s">
        <v>322</v>
      </c>
      <c r="D521" s="106" t="s">
        <v>349</v>
      </c>
      <c r="E521" s="106" t="s">
        <v>37</v>
      </c>
      <c r="F521" s="107" t="s">
        <v>717</v>
      </c>
      <c r="G521" s="106" t="s">
        <v>369</v>
      </c>
      <c r="H521" s="106" t="s">
        <v>277</v>
      </c>
      <c r="I521" s="106" t="s">
        <v>16</v>
      </c>
      <c r="J521" s="106" t="s">
        <v>231</v>
      </c>
      <c r="K521" s="106"/>
      <c r="L521" s="108">
        <v>2</v>
      </c>
      <c r="M521" s="108">
        <f>L521*VLOOKUP(I521,dagsoorttabel1,2,FALSE)</f>
        <v>7.8431372549019607E-2</v>
      </c>
      <c r="N521" s="109">
        <f>prodnorm119</f>
        <v>0</v>
      </c>
      <c r="O521" s="106" t="s">
        <v>105</v>
      </c>
      <c r="P521" s="28">
        <f>uurtarief119</f>
        <v>0</v>
      </c>
      <c r="Q521" s="108" t="e">
        <f>IF(ISBLANK(N521),0,M521/ROUND(N521,4))</f>
        <v>#DIV/0!</v>
      </c>
      <c r="R521" s="28" t="e">
        <f>ROUND(P521,2)*Q521</f>
        <v>#DIV/0!</v>
      </c>
      <c r="S521" s="108" t="e">
        <f>Q521*dagenperjaar1</f>
        <v>#DIV/0!</v>
      </c>
      <c r="T521" s="29" t="e">
        <f>S521*ROUND(P521,2)</f>
        <v>#DIV/0!</v>
      </c>
    </row>
    <row r="522" spans="1:20" x14ac:dyDescent="0.2">
      <c r="A522" s="105" t="s">
        <v>716</v>
      </c>
      <c r="B522" s="106" t="s">
        <v>37</v>
      </c>
      <c r="C522" s="106" t="s">
        <v>322</v>
      </c>
      <c r="D522" s="106" t="s">
        <v>350</v>
      </c>
      <c r="E522" s="106" t="s">
        <v>37</v>
      </c>
      <c r="F522" s="107" t="s">
        <v>579</v>
      </c>
      <c r="G522" s="106" t="s">
        <v>331</v>
      </c>
      <c r="H522" s="106" t="s">
        <v>257</v>
      </c>
      <c r="I522" s="106" t="s">
        <v>11</v>
      </c>
      <c r="J522" s="106" t="s">
        <v>231</v>
      </c>
      <c r="K522" s="106"/>
      <c r="L522" s="108">
        <v>40</v>
      </c>
      <c r="M522" s="108">
        <f>L522*VLOOKUP(I522,dagsoorttabel1,2,FALSE)</f>
        <v>24</v>
      </c>
      <c r="N522" s="109">
        <f>prodnorm77</f>
        <v>0</v>
      </c>
      <c r="O522" s="106" t="s">
        <v>105</v>
      </c>
      <c r="P522" s="28">
        <f>uurtarief77</f>
        <v>0</v>
      </c>
      <c r="Q522" s="108" t="e">
        <f>IF(ISBLANK(N522),0,M522/ROUND(N522,4))</f>
        <v>#DIV/0!</v>
      </c>
      <c r="R522" s="28" t="e">
        <f>ROUND(P522,2)*Q522</f>
        <v>#DIV/0!</v>
      </c>
      <c r="S522" s="108" t="e">
        <f>Q522*dagenperjaar1</f>
        <v>#DIV/0!</v>
      </c>
      <c r="T522" s="29" t="e">
        <f>S522*ROUND(P522,2)</f>
        <v>#DIV/0!</v>
      </c>
    </row>
    <row r="523" spans="1:20" x14ac:dyDescent="0.2">
      <c r="A523" s="105" t="s">
        <v>716</v>
      </c>
      <c r="B523" s="106" t="s">
        <v>37</v>
      </c>
      <c r="C523" s="106" t="s">
        <v>322</v>
      </c>
      <c r="D523" s="106" t="s">
        <v>353</v>
      </c>
      <c r="E523" s="106" t="s">
        <v>37</v>
      </c>
      <c r="F523" s="107" t="s">
        <v>615</v>
      </c>
      <c r="G523" s="106" t="s">
        <v>369</v>
      </c>
      <c r="H523" s="106" t="s">
        <v>267</v>
      </c>
      <c r="I523" s="106" t="s">
        <v>11</v>
      </c>
      <c r="J523" s="106" t="s">
        <v>231</v>
      </c>
      <c r="K523" s="106"/>
      <c r="L523" s="108">
        <v>2.9</v>
      </c>
      <c r="M523" s="108">
        <f>L523*VLOOKUP(I523,dagsoorttabel1,2,FALSE)</f>
        <v>1.74</v>
      </c>
      <c r="N523" s="109">
        <f>prodnorm98</f>
        <v>0</v>
      </c>
      <c r="O523" s="106" t="s">
        <v>105</v>
      </c>
      <c r="P523" s="28">
        <f>uurtarief98</f>
        <v>0</v>
      </c>
      <c r="Q523" s="108" t="e">
        <f>IF(ISBLANK(N523),0,M523/ROUND(N523,4))</f>
        <v>#DIV/0!</v>
      </c>
      <c r="R523" s="28" t="e">
        <f>ROUND(P523,2)*Q523</f>
        <v>#DIV/0!</v>
      </c>
      <c r="S523" s="108" t="e">
        <f>Q523*dagenperjaar1</f>
        <v>#DIV/0!</v>
      </c>
      <c r="T523" s="29" t="e">
        <f>S523*ROUND(P523,2)</f>
        <v>#DIV/0!</v>
      </c>
    </row>
    <row r="524" spans="1:20" x14ac:dyDescent="0.2">
      <c r="A524" s="105" t="s">
        <v>716</v>
      </c>
      <c r="B524" s="106" t="s">
        <v>37</v>
      </c>
      <c r="C524" s="106" t="s">
        <v>322</v>
      </c>
      <c r="D524" s="106" t="s">
        <v>356</v>
      </c>
      <c r="E524" s="106" t="s">
        <v>37</v>
      </c>
      <c r="F524" s="107" t="s">
        <v>714</v>
      </c>
      <c r="G524" s="106" t="s">
        <v>644</v>
      </c>
      <c r="H524" s="106" t="s">
        <v>251</v>
      </c>
      <c r="I524" s="106" t="s">
        <v>15</v>
      </c>
      <c r="J524" s="106" t="s">
        <v>231</v>
      </c>
      <c r="K524" s="106"/>
      <c r="L524" s="108">
        <v>17</v>
      </c>
      <c r="M524" s="108">
        <f>L524*VLOOKUP(I524,dagsoorttabel1,2,FALSE)</f>
        <v>0.8</v>
      </c>
      <c r="N524" s="109">
        <f>prodnorm59</f>
        <v>0</v>
      </c>
      <c r="O524" s="106" t="s">
        <v>105</v>
      </c>
      <c r="P524" s="28">
        <f>uurtarief59</f>
        <v>0</v>
      </c>
      <c r="Q524" s="108" t="e">
        <f>IF(ISBLANK(N524),0,M524/ROUND(N524,4))</f>
        <v>#DIV/0!</v>
      </c>
      <c r="R524" s="28" t="e">
        <f>ROUND(P524,2)*Q524</f>
        <v>#DIV/0!</v>
      </c>
      <c r="S524" s="108" t="e">
        <f>Q524*dagenperjaar1</f>
        <v>#DIV/0!</v>
      </c>
      <c r="T524" s="29" t="e">
        <f>S524*ROUND(P524,2)</f>
        <v>#DIV/0!</v>
      </c>
    </row>
    <row r="525" spans="1:20" x14ac:dyDescent="0.2">
      <c r="A525" s="105" t="s">
        <v>716</v>
      </c>
      <c r="B525" s="106" t="s">
        <v>37</v>
      </c>
      <c r="C525" s="106" t="s">
        <v>322</v>
      </c>
      <c r="D525" s="106" t="s">
        <v>357</v>
      </c>
      <c r="E525" s="106" t="s">
        <v>37</v>
      </c>
      <c r="F525" s="107" t="s">
        <v>719</v>
      </c>
      <c r="G525" s="106" t="s">
        <v>644</v>
      </c>
      <c r="H525" s="106" t="s">
        <v>235</v>
      </c>
      <c r="I525" s="106" t="s">
        <v>12</v>
      </c>
      <c r="J525" s="106" t="s">
        <v>231</v>
      </c>
      <c r="K525" s="106"/>
      <c r="L525" s="108">
        <v>30</v>
      </c>
      <c r="M525" s="108">
        <f>L525*VLOOKUP(I525,dagsoorttabel1,2,FALSE)</f>
        <v>12</v>
      </c>
      <c r="N525" s="109">
        <f>prodnorm37</f>
        <v>0</v>
      </c>
      <c r="O525" s="106" t="s">
        <v>105</v>
      </c>
      <c r="P525" s="28">
        <f>uurtarief37</f>
        <v>0</v>
      </c>
      <c r="Q525" s="108" t="e">
        <f>IF(ISBLANK(N525),0,M525/ROUND(N525,4))</f>
        <v>#DIV/0!</v>
      </c>
      <c r="R525" s="28" t="e">
        <f>ROUND(P525,2)*Q525</f>
        <v>#DIV/0!</v>
      </c>
      <c r="S525" s="108" t="e">
        <f>Q525*dagenperjaar1</f>
        <v>#DIV/0!</v>
      </c>
      <c r="T525" s="29" t="e">
        <f>S525*ROUND(P525,2)</f>
        <v>#DIV/0!</v>
      </c>
    </row>
    <row r="526" spans="1:20" x14ac:dyDescent="0.2">
      <c r="A526" s="105" t="s">
        <v>716</v>
      </c>
      <c r="B526" s="106" t="s">
        <v>37</v>
      </c>
      <c r="C526" s="106" t="s">
        <v>322</v>
      </c>
      <c r="D526" s="106" t="s">
        <v>359</v>
      </c>
      <c r="E526" s="106" t="s">
        <v>37</v>
      </c>
      <c r="F526" s="107" t="s">
        <v>667</v>
      </c>
      <c r="G526" s="106" t="s">
        <v>331</v>
      </c>
      <c r="H526" s="106" t="s">
        <v>241</v>
      </c>
      <c r="I526" s="106" t="s">
        <v>11</v>
      </c>
      <c r="J526" s="106" t="s">
        <v>231</v>
      </c>
      <c r="K526" s="106"/>
      <c r="L526" s="108">
        <v>10.6</v>
      </c>
      <c r="M526" s="108">
        <f>L526*VLOOKUP(I526,dagsoorttabel1,2,FALSE)</f>
        <v>6.3599999999999994</v>
      </c>
      <c r="N526" s="109">
        <f>prodnorm46</f>
        <v>0</v>
      </c>
      <c r="O526" s="106" t="s">
        <v>105</v>
      </c>
      <c r="P526" s="28">
        <f>uurtarief46</f>
        <v>0</v>
      </c>
      <c r="Q526" s="108" t="e">
        <f>IF(ISBLANK(N526),0,M526/ROUND(N526,4))</f>
        <v>#DIV/0!</v>
      </c>
      <c r="R526" s="28" t="e">
        <f>ROUND(P526,2)*Q526</f>
        <v>#DIV/0!</v>
      </c>
      <c r="S526" s="108" t="e">
        <f>Q526*dagenperjaar1</f>
        <v>#DIV/0!</v>
      </c>
      <c r="T526" s="29" t="e">
        <f>S526*ROUND(P526,2)</f>
        <v>#DIV/0!</v>
      </c>
    </row>
    <row r="527" spans="1:20" x14ac:dyDescent="0.2">
      <c r="A527" s="105" t="s">
        <v>716</v>
      </c>
      <c r="B527" s="106" t="s">
        <v>37</v>
      </c>
      <c r="C527" s="106" t="s">
        <v>322</v>
      </c>
      <c r="D527" s="106" t="s">
        <v>361</v>
      </c>
      <c r="E527" s="106" t="s">
        <v>37</v>
      </c>
      <c r="F527" s="107" t="s">
        <v>667</v>
      </c>
      <c r="G527" s="106" t="s">
        <v>325</v>
      </c>
      <c r="H527" s="106" t="s">
        <v>243</v>
      </c>
      <c r="I527" s="106" t="s">
        <v>11</v>
      </c>
      <c r="J527" s="106" t="s">
        <v>231</v>
      </c>
      <c r="K527" s="106"/>
      <c r="L527" s="108">
        <v>31.9</v>
      </c>
      <c r="M527" s="108">
        <f>L527*VLOOKUP(I527,dagsoorttabel1,2,FALSE)</f>
        <v>19.139999999999997</v>
      </c>
      <c r="N527" s="109">
        <f>prodnorm49</f>
        <v>0</v>
      </c>
      <c r="O527" s="106" t="s">
        <v>105</v>
      </c>
      <c r="P527" s="28">
        <f>uurtarief49</f>
        <v>0</v>
      </c>
      <c r="Q527" s="108" t="e">
        <f>IF(ISBLANK(N527),0,M527/ROUND(N527,4))</f>
        <v>#DIV/0!</v>
      </c>
      <c r="R527" s="28" t="e">
        <f>ROUND(P527,2)*Q527</f>
        <v>#DIV/0!</v>
      </c>
      <c r="S527" s="108" t="e">
        <f>Q527*dagenperjaar1</f>
        <v>#DIV/0!</v>
      </c>
      <c r="T527" s="29" t="e">
        <f>S527*ROUND(P527,2)</f>
        <v>#DIV/0!</v>
      </c>
    </row>
    <row r="528" spans="1:20" x14ac:dyDescent="0.2">
      <c r="A528" s="105" t="s">
        <v>716</v>
      </c>
      <c r="B528" s="106" t="s">
        <v>37</v>
      </c>
      <c r="C528" s="106" t="s">
        <v>322</v>
      </c>
      <c r="D528" s="106" t="s">
        <v>363</v>
      </c>
      <c r="E528" s="106" t="s">
        <v>37</v>
      </c>
      <c r="F528" s="107" t="s">
        <v>454</v>
      </c>
      <c r="G528" s="106" t="s">
        <v>369</v>
      </c>
      <c r="H528" s="106" t="s">
        <v>273</v>
      </c>
      <c r="I528" s="106" t="s">
        <v>11</v>
      </c>
      <c r="J528" s="106" t="s">
        <v>231</v>
      </c>
      <c r="K528" s="106"/>
      <c r="L528" s="108">
        <v>1</v>
      </c>
      <c r="M528" s="108">
        <f>L528*VLOOKUP(I528,dagsoorttabel1,2,FALSE)</f>
        <v>0.6</v>
      </c>
      <c r="N528" s="109">
        <f>prodnorm110</f>
        <v>0</v>
      </c>
      <c r="O528" s="106" t="s">
        <v>105</v>
      </c>
      <c r="P528" s="28">
        <f>uurtarief110</f>
        <v>0</v>
      </c>
      <c r="Q528" s="108" t="e">
        <f>IF(ISBLANK(N528),0,M528/ROUND(N528,4))</f>
        <v>#DIV/0!</v>
      </c>
      <c r="R528" s="28" t="e">
        <f>ROUND(P528,2)*Q528</f>
        <v>#DIV/0!</v>
      </c>
      <c r="S528" s="108" t="e">
        <f>Q528*dagenperjaar1</f>
        <v>#DIV/0!</v>
      </c>
      <c r="T528" s="29" t="e">
        <f>S528*ROUND(P528,2)</f>
        <v>#DIV/0!</v>
      </c>
    </row>
    <row r="529" spans="1:20" x14ac:dyDescent="0.2">
      <c r="A529" s="105" t="s">
        <v>716</v>
      </c>
      <c r="B529" s="106" t="s">
        <v>37</v>
      </c>
      <c r="C529" s="106" t="s">
        <v>544</v>
      </c>
      <c r="D529" s="106" t="s">
        <v>37</v>
      </c>
      <c r="E529" s="106" t="s">
        <v>37</v>
      </c>
      <c r="F529" s="107" t="s">
        <v>545</v>
      </c>
      <c r="G529" s="106" t="s">
        <v>37</v>
      </c>
      <c r="H529" s="106" t="s">
        <v>298</v>
      </c>
      <c r="I529" s="106" t="s">
        <v>13</v>
      </c>
      <c r="J529" s="106" t="s">
        <v>299</v>
      </c>
      <c r="K529" s="106"/>
      <c r="L529" s="108">
        <v>1</v>
      </c>
      <c r="M529" s="108">
        <f>L529*VLOOKUP(I529,dagsoorttabel1,2,FALSE)</f>
        <v>0.2</v>
      </c>
      <c r="N529" s="109">
        <f>prodnorm21</f>
        <v>0</v>
      </c>
      <c r="O529" s="106" t="s">
        <v>301</v>
      </c>
      <c r="P529" s="28">
        <f>uurtarief21</f>
        <v>0</v>
      </c>
      <c r="Q529" s="108">
        <f>M529*ROUND(N529,4)/60</f>
        <v>0</v>
      </c>
      <c r="R529" s="28">
        <f>ROUND(P529,2)*Q529</f>
        <v>0</v>
      </c>
      <c r="S529" s="108">
        <f>Q529*dagenperjaar1</f>
        <v>0</v>
      </c>
      <c r="T529" s="29">
        <f>S529*ROUND(P529,2)</f>
        <v>0</v>
      </c>
    </row>
    <row r="530" spans="1:20" x14ac:dyDescent="0.2">
      <c r="A530" s="110" t="s">
        <v>716</v>
      </c>
      <c r="B530" s="111" t="s">
        <v>37</v>
      </c>
      <c r="C530" s="111" t="s">
        <v>544</v>
      </c>
      <c r="D530" s="111" t="s">
        <v>37</v>
      </c>
      <c r="E530" s="111" t="s">
        <v>37</v>
      </c>
      <c r="F530" s="112" t="s">
        <v>545</v>
      </c>
      <c r="G530" s="111" t="s">
        <v>37</v>
      </c>
      <c r="H530" s="111" t="s">
        <v>302</v>
      </c>
      <c r="I530" s="111" t="s">
        <v>15</v>
      </c>
      <c r="J530" s="111" t="s">
        <v>299</v>
      </c>
      <c r="K530" s="111"/>
      <c r="L530" s="113">
        <v>1</v>
      </c>
      <c r="M530" s="113">
        <f>L530*VLOOKUP(I530,dagsoorttabel1,2,FALSE)</f>
        <v>4.7058823529411764E-2</v>
      </c>
      <c r="N530" s="114">
        <f>prodnorm24</f>
        <v>0</v>
      </c>
      <c r="O530" s="111" t="s">
        <v>301</v>
      </c>
      <c r="P530" s="38">
        <f>uurtarief24</f>
        <v>0</v>
      </c>
      <c r="Q530" s="113">
        <f>M530*ROUND(N530,4)/60</f>
        <v>0</v>
      </c>
      <c r="R530" s="38">
        <f>ROUND(P530,2)*Q530</f>
        <v>0</v>
      </c>
      <c r="S530" s="113">
        <f>Q530*dagenperjaar1</f>
        <v>0</v>
      </c>
      <c r="T530" s="39">
        <f>S530*ROUND(P530,2)</f>
        <v>0</v>
      </c>
    </row>
    <row r="531" spans="1:20" x14ac:dyDescent="0.2">
      <c r="A531" s="115" t="s">
        <v>546</v>
      </c>
      <c r="B531" s="83"/>
      <c r="C531" s="83"/>
      <c r="D531" s="83"/>
      <c r="E531" s="83"/>
      <c r="F531" s="83"/>
      <c r="G531" s="83"/>
      <c r="H531" s="83"/>
      <c r="I531" s="83"/>
      <c r="J531" s="83"/>
      <c r="K531" s="83"/>
      <c r="L531" s="83"/>
      <c r="M531" s="83"/>
      <c r="N531" s="83"/>
      <c r="O531" s="83"/>
      <c r="P531" s="85" t="e">
        <f>IF(_xlfn.SINGLE(object19_urenjaar1)&gt;0,_xlfn.SINGLE(object19_prijsjaar1)/_xlfn.SINGLE(object19_urenjaar1),0)</f>
        <v>#DIV/0!</v>
      </c>
      <c r="Q531" s="84" t="e">
        <f>SUM(Q510:Q530)</f>
        <v>#DIV/0!</v>
      </c>
      <c r="R531" s="85" t="e">
        <f>SUM(R510:R530)</f>
        <v>#DIV/0!</v>
      </c>
      <c r="S531" s="84" t="e">
        <f>SUM(S510:S530)</f>
        <v>#DIV/0!</v>
      </c>
      <c r="T531" s="86" t="e">
        <f>SUM(T510:T530)</f>
        <v>#DIV/0!</v>
      </c>
    </row>
    <row r="532" spans="1:20" x14ac:dyDescent="0.2">
      <c r="A532" s="91" t="s">
        <v>720</v>
      </c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81"/>
    </row>
    <row r="533" spans="1:20" x14ac:dyDescent="0.2">
      <c r="A533" s="98" t="s">
        <v>721</v>
      </c>
      <c r="B533" s="99" t="s">
        <v>37</v>
      </c>
      <c r="C533" s="99" t="s">
        <v>623</v>
      </c>
      <c r="D533" s="99" t="s">
        <v>365</v>
      </c>
      <c r="E533" s="99" t="s">
        <v>37</v>
      </c>
      <c r="F533" s="100" t="s">
        <v>722</v>
      </c>
      <c r="G533" s="99" t="s">
        <v>346</v>
      </c>
      <c r="H533" s="99" t="s">
        <v>249</v>
      </c>
      <c r="I533" s="99" t="s">
        <v>11</v>
      </c>
      <c r="J533" s="99" t="s">
        <v>231</v>
      </c>
      <c r="K533" s="99"/>
      <c r="L533" s="101">
        <v>15.96</v>
      </c>
      <c r="M533" s="101">
        <f>L533*VLOOKUP(I533,dagsoorttabel1,2,FALSE)</f>
        <v>9.5760000000000005</v>
      </c>
      <c r="N533" s="102">
        <f>prodnorm57</f>
        <v>0</v>
      </c>
      <c r="O533" s="99" t="s">
        <v>105</v>
      </c>
      <c r="P533" s="103">
        <f>uurtarief57</f>
        <v>0</v>
      </c>
      <c r="Q533" s="101" t="e">
        <f>IF(ISBLANK(N533),0,M533/ROUND(N533,4))</f>
        <v>#DIV/0!</v>
      </c>
      <c r="R533" s="103" t="e">
        <f>ROUND(P533,2)*Q533</f>
        <v>#DIV/0!</v>
      </c>
      <c r="S533" s="101" t="e">
        <f>Q533*dagenperjaar1</f>
        <v>#DIV/0!</v>
      </c>
      <c r="T533" s="104" t="e">
        <f>S533*ROUND(P533,2)</f>
        <v>#DIV/0!</v>
      </c>
    </row>
    <row r="534" spans="1:20" x14ac:dyDescent="0.2">
      <c r="A534" s="105" t="s">
        <v>721</v>
      </c>
      <c r="B534" s="106" t="s">
        <v>37</v>
      </c>
      <c r="C534" s="106" t="s">
        <v>623</v>
      </c>
      <c r="D534" s="106" t="s">
        <v>377</v>
      </c>
      <c r="E534" s="106" t="s">
        <v>37</v>
      </c>
      <c r="F534" s="107" t="s">
        <v>590</v>
      </c>
      <c r="G534" s="106" t="s">
        <v>369</v>
      </c>
      <c r="H534" s="106" t="s">
        <v>265</v>
      </c>
      <c r="I534" s="106" t="s">
        <v>11</v>
      </c>
      <c r="J534" s="106" t="s">
        <v>231</v>
      </c>
      <c r="K534" s="106"/>
      <c r="L534" s="108">
        <v>17.2</v>
      </c>
      <c r="M534" s="108">
        <f>L534*VLOOKUP(I534,dagsoorttabel1,2,FALSE)</f>
        <v>10.319999999999999</v>
      </c>
      <c r="N534" s="109">
        <f>prodnorm91</f>
        <v>0</v>
      </c>
      <c r="O534" s="106" t="s">
        <v>105</v>
      </c>
      <c r="P534" s="28">
        <f>uurtarief91</f>
        <v>0</v>
      </c>
      <c r="Q534" s="108" t="e">
        <f>IF(ISBLANK(N534),0,M534/ROUND(N534,4))</f>
        <v>#DIV/0!</v>
      </c>
      <c r="R534" s="28" t="e">
        <f>ROUND(P534,2)*Q534</f>
        <v>#DIV/0!</v>
      </c>
      <c r="S534" s="108" t="e">
        <f>Q534*dagenperjaar1</f>
        <v>#DIV/0!</v>
      </c>
      <c r="T534" s="29" t="e">
        <f>S534*ROUND(P534,2)</f>
        <v>#DIV/0!</v>
      </c>
    </row>
    <row r="535" spans="1:20" x14ac:dyDescent="0.2">
      <c r="A535" s="105" t="s">
        <v>721</v>
      </c>
      <c r="B535" s="106" t="s">
        <v>37</v>
      </c>
      <c r="C535" s="106" t="s">
        <v>623</v>
      </c>
      <c r="D535" s="106" t="s">
        <v>380</v>
      </c>
      <c r="E535" s="106" t="s">
        <v>37</v>
      </c>
      <c r="F535" s="107" t="s">
        <v>615</v>
      </c>
      <c r="G535" s="106" t="s">
        <v>369</v>
      </c>
      <c r="H535" s="106" t="s">
        <v>267</v>
      </c>
      <c r="I535" s="106" t="s">
        <v>11</v>
      </c>
      <c r="J535" s="106" t="s">
        <v>231</v>
      </c>
      <c r="K535" s="106"/>
      <c r="L535" s="108">
        <v>2.79</v>
      </c>
      <c r="M535" s="108">
        <f>L535*VLOOKUP(I535,dagsoorttabel1,2,FALSE)</f>
        <v>1.6739999999999999</v>
      </c>
      <c r="N535" s="109">
        <f>prodnorm98</f>
        <v>0</v>
      </c>
      <c r="O535" s="106" t="s">
        <v>105</v>
      </c>
      <c r="P535" s="28">
        <f>uurtarief98</f>
        <v>0</v>
      </c>
      <c r="Q535" s="108" t="e">
        <f>IF(ISBLANK(N535),0,M535/ROUND(N535,4))</f>
        <v>#DIV/0!</v>
      </c>
      <c r="R535" s="28" t="e">
        <f>ROUND(P535,2)*Q535</f>
        <v>#DIV/0!</v>
      </c>
      <c r="S535" s="108" t="e">
        <f>Q535*dagenperjaar1</f>
        <v>#DIV/0!</v>
      </c>
      <c r="T535" s="29" t="e">
        <f>S535*ROUND(P535,2)</f>
        <v>#DIV/0!</v>
      </c>
    </row>
    <row r="536" spans="1:20" x14ac:dyDescent="0.2">
      <c r="A536" s="105" t="s">
        <v>721</v>
      </c>
      <c r="B536" s="106" t="s">
        <v>37</v>
      </c>
      <c r="C536" s="106" t="s">
        <v>623</v>
      </c>
      <c r="D536" s="106" t="s">
        <v>382</v>
      </c>
      <c r="E536" s="106" t="s">
        <v>37</v>
      </c>
      <c r="F536" s="107" t="s">
        <v>723</v>
      </c>
      <c r="G536" s="106" t="s">
        <v>369</v>
      </c>
      <c r="H536" s="106" t="s">
        <v>261</v>
      </c>
      <c r="I536" s="106" t="s">
        <v>11</v>
      </c>
      <c r="J536" s="106" t="s">
        <v>231</v>
      </c>
      <c r="K536" s="106"/>
      <c r="L536" s="108">
        <v>6.3</v>
      </c>
      <c r="M536" s="108">
        <f>L536*VLOOKUP(I536,dagsoorttabel1,2,FALSE)</f>
        <v>3.78</v>
      </c>
      <c r="N536" s="109">
        <f>prodnorm85</f>
        <v>0</v>
      </c>
      <c r="O536" s="106" t="s">
        <v>105</v>
      </c>
      <c r="P536" s="28">
        <f>uurtarief85</f>
        <v>0</v>
      </c>
      <c r="Q536" s="108" t="e">
        <f>IF(ISBLANK(N536),0,M536/ROUND(N536,4))</f>
        <v>#DIV/0!</v>
      </c>
      <c r="R536" s="28" t="e">
        <f>ROUND(P536,2)*Q536</f>
        <v>#DIV/0!</v>
      </c>
      <c r="S536" s="108" t="e">
        <f>Q536*dagenperjaar1</f>
        <v>#DIV/0!</v>
      </c>
      <c r="T536" s="29" t="e">
        <f>S536*ROUND(P536,2)</f>
        <v>#DIV/0!</v>
      </c>
    </row>
    <row r="537" spans="1:20" x14ac:dyDescent="0.2">
      <c r="A537" s="105" t="s">
        <v>721</v>
      </c>
      <c r="B537" s="106" t="s">
        <v>37</v>
      </c>
      <c r="C537" s="106" t="s">
        <v>623</v>
      </c>
      <c r="D537" s="106" t="s">
        <v>386</v>
      </c>
      <c r="E537" s="106" t="s">
        <v>37</v>
      </c>
      <c r="F537" s="107" t="s">
        <v>615</v>
      </c>
      <c r="G537" s="106" t="s">
        <v>376</v>
      </c>
      <c r="H537" s="106" t="s">
        <v>267</v>
      </c>
      <c r="I537" s="106" t="s">
        <v>11</v>
      </c>
      <c r="J537" s="106" t="s">
        <v>231</v>
      </c>
      <c r="K537" s="106"/>
      <c r="L537" s="108">
        <v>2.8</v>
      </c>
      <c r="M537" s="108">
        <f>L537*VLOOKUP(I537,dagsoorttabel1,2,FALSE)</f>
        <v>1.68</v>
      </c>
      <c r="N537" s="109">
        <f>prodnorm98</f>
        <v>0</v>
      </c>
      <c r="O537" s="106" t="s">
        <v>105</v>
      </c>
      <c r="P537" s="28">
        <f>uurtarief98</f>
        <v>0</v>
      </c>
      <c r="Q537" s="108" t="e">
        <f>IF(ISBLANK(N537),0,M537/ROUND(N537,4))</f>
        <v>#DIV/0!</v>
      </c>
      <c r="R537" s="28" t="e">
        <f>ROUND(P537,2)*Q537</f>
        <v>#DIV/0!</v>
      </c>
      <c r="S537" s="108" t="e">
        <f>Q537*dagenperjaar1</f>
        <v>#DIV/0!</v>
      </c>
      <c r="T537" s="29" t="e">
        <f>S537*ROUND(P537,2)</f>
        <v>#DIV/0!</v>
      </c>
    </row>
    <row r="538" spans="1:20" x14ac:dyDescent="0.2">
      <c r="A538" s="105" t="s">
        <v>721</v>
      </c>
      <c r="B538" s="106" t="s">
        <v>37</v>
      </c>
      <c r="C538" s="106" t="s">
        <v>623</v>
      </c>
      <c r="D538" s="106" t="s">
        <v>724</v>
      </c>
      <c r="E538" s="106" t="s">
        <v>37</v>
      </c>
      <c r="F538" s="107" t="s">
        <v>579</v>
      </c>
      <c r="G538" s="106" t="s">
        <v>346</v>
      </c>
      <c r="H538" s="106" t="s">
        <v>257</v>
      </c>
      <c r="I538" s="106" t="s">
        <v>11</v>
      </c>
      <c r="J538" s="106" t="s">
        <v>231</v>
      </c>
      <c r="K538" s="106"/>
      <c r="L538" s="108">
        <v>95.4</v>
      </c>
      <c r="M538" s="108">
        <f>L538*VLOOKUP(I538,dagsoorttabel1,2,FALSE)</f>
        <v>57.24</v>
      </c>
      <c r="N538" s="109">
        <f>prodnorm77</f>
        <v>0</v>
      </c>
      <c r="O538" s="106" t="s">
        <v>105</v>
      </c>
      <c r="P538" s="28">
        <f>uurtarief77</f>
        <v>0</v>
      </c>
      <c r="Q538" s="108" t="e">
        <f>IF(ISBLANK(N538),0,M538/ROUND(N538,4))</f>
        <v>#DIV/0!</v>
      </c>
      <c r="R538" s="28" t="e">
        <f>ROUND(P538,2)*Q538</f>
        <v>#DIV/0!</v>
      </c>
      <c r="S538" s="108" t="e">
        <f>Q538*dagenperjaar1</f>
        <v>#DIV/0!</v>
      </c>
      <c r="T538" s="29" t="e">
        <f>S538*ROUND(P538,2)</f>
        <v>#DIV/0!</v>
      </c>
    </row>
    <row r="539" spans="1:20" x14ac:dyDescent="0.2">
      <c r="A539" s="105" t="s">
        <v>721</v>
      </c>
      <c r="B539" s="106" t="s">
        <v>37</v>
      </c>
      <c r="C539" s="106" t="s">
        <v>623</v>
      </c>
      <c r="D539" s="106" t="s">
        <v>725</v>
      </c>
      <c r="E539" s="106" t="s">
        <v>37</v>
      </c>
      <c r="F539" s="107" t="s">
        <v>355</v>
      </c>
      <c r="G539" s="106" t="s">
        <v>346</v>
      </c>
      <c r="H539" s="106" t="s">
        <v>255</v>
      </c>
      <c r="I539" s="106" t="s">
        <v>11</v>
      </c>
      <c r="J539" s="106" t="s">
        <v>231</v>
      </c>
      <c r="K539" s="106"/>
      <c r="L539" s="108">
        <v>5.1599999999999993</v>
      </c>
      <c r="M539" s="108">
        <f>L539*VLOOKUP(I539,dagsoorttabel1,2,FALSE)</f>
        <v>3.0959999999999996</v>
      </c>
      <c r="N539" s="109">
        <f>prodnorm72</f>
        <v>0</v>
      </c>
      <c r="O539" s="106" t="s">
        <v>105</v>
      </c>
      <c r="P539" s="28">
        <f>uurtarief72</f>
        <v>0</v>
      </c>
      <c r="Q539" s="108" t="e">
        <f>IF(ISBLANK(N539),0,M539/ROUND(N539,4))</f>
        <v>#DIV/0!</v>
      </c>
      <c r="R539" s="28" t="e">
        <f>ROUND(P539,2)*Q539</f>
        <v>#DIV/0!</v>
      </c>
      <c r="S539" s="108" t="e">
        <f>Q539*dagenperjaar1</f>
        <v>#DIV/0!</v>
      </c>
      <c r="T539" s="29" t="e">
        <f>S539*ROUND(P539,2)</f>
        <v>#DIV/0!</v>
      </c>
    </row>
    <row r="540" spans="1:20" x14ac:dyDescent="0.2">
      <c r="A540" s="105" t="s">
        <v>721</v>
      </c>
      <c r="B540" s="106" t="s">
        <v>37</v>
      </c>
      <c r="C540" s="106" t="s">
        <v>623</v>
      </c>
      <c r="D540" s="106" t="s">
        <v>726</v>
      </c>
      <c r="E540" s="106" t="s">
        <v>37</v>
      </c>
      <c r="F540" s="107" t="s">
        <v>335</v>
      </c>
      <c r="G540" s="106" t="s">
        <v>346</v>
      </c>
      <c r="H540" s="106" t="s">
        <v>273</v>
      </c>
      <c r="I540" s="106" t="s">
        <v>11</v>
      </c>
      <c r="J540" s="106" t="s">
        <v>231</v>
      </c>
      <c r="K540" s="106"/>
      <c r="L540" s="108">
        <v>3.8</v>
      </c>
      <c r="M540" s="108">
        <f>L540*VLOOKUP(I540,dagsoorttabel1,2,FALSE)</f>
        <v>2.2799999999999998</v>
      </c>
      <c r="N540" s="109">
        <f>prodnorm110</f>
        <v>0</v>
      </c>
      <c r="O540" s="106" t="s">
        <v>105</v>
      </c>
      <c r="P540" s="28">
        <f>uurtarief110</f>
        <v>0</v>
      </c>
      <c r="Q540" s="108" t="e">
        <f>IF(ISBLANK(N540),0,M540/ROUND(N540,4))</f>
        <v>#DIV/0!</v>
      </c>
      <c r="R540" s="28" t="e">
        <f>ROUND(P540,2)*Q540</f>
        <v>#DIV/0!</v>
      </c>
      <c r="S540" s="108" t="e">
        <f>Q540*dagenperjaar1</f>
        <v>#DIV/0!</v>
      </c>
      <c r="T540" s="29" t="e">
        <f>S540*ROUND(P540,2)</f>
        <v>#DIV/0!</v>
      </c>
    </row>
    <row r="541" spans="1:20" x14ac:dyDescent="0.2">
      <c r="A541" s="105" t="s">
        <v>721</v>
      </c>
      <c r="B541" s="106" t="s">
        <v>37</v>
      </c>
      <c r="C541" s="106" t="s">
        <v>623</v>
      </c>
      <c r="D541" s="106" t="s">
        <v>727</v>
      </c>
      <c r="E541" s="106" t="s">
        <v>37</v>
      </c>
      <c r="F541" s="107" t="s">
        <v>728</v>
      </c>
      <c r="G541" s="106" t="s">
        <v>346</v>
      </c>
      <c r="H541" s="106" t="s">
        <v>285</v>
      </c>
      <c r="I541" s="106" t="s">
        <v>11</v>
      </c>
      <c r="J541" s="106" t="s">
        <v>231</v>
      </c>
      <c r="K541" s="106"/>
      <c r="L541" s="108">
        <v>8.2299999999999986</v>
      </c>
      <c r="M541" s="108">
        <f>L541*VLOOKUP(I541,dagsoorttabel1,2,FALSE)</f>
        <v>4.9379999999999988</v>
      </c>
      <c r="N541" s="109">
        <f>prodnorm135</f>
        <v>0</v>
      </c>
      <c r="O541" s="106" t="s">
        <v>105</v>
      </c>
      <c r="P541" s="28">
        <f>uurtarief135</f>
        <v>0</v>
      </c>
      <c r="Q541" s="108" t="e">
        <f>IF(ISBLANK(N541),0,M541/ROUND(N541,4))</f>
        <v>#DIV/0!</v>
      </c>
      <c r="R541" s="28" t="e">
        <f>ROUND(P541,2)*Q541</f>
        <v>#DIV/0!</v>
      </c>
      <c r="S541" s="108" t="e">
        <f>Q541*dagenperjaar1</f>
        <v>#DIV/0!</v>
      </c>
      <c r="T541" s="29" t="e">
        <f>S541*ROUND(P541,2)</f>
        <v>#DIV/0!</v>
      </c>
    </row>
    <row r="542" spans="1:20" x14ac:dyDescent="0.2">
      <c r="A542" s="105" t="s">
        <v>721</v>
      </c>
      <c r="B542" s="106" t="s">
        <v>37</v>
      </c>
      <c r="C542" s="106" t="s">
        <v>623</v>
      </c>
      <c r="D542" s="106" t="s">
        <v>729</v>
      </c>
      <c r="E542" s="106" t="s">
        <v>37</v>
      </c>
      <c r="F542" s="107" t="s">
        <v>592</v>
      </c>
      <c r="G542" s="106" t="s">
        <v>620</v>
      </c>
      <c r="H542" s="106" t="s">
        <v>281</v>
      </c>
      <c r="I542" s="106" t="s">
        <v>11</v>
      </c>
      <c r="J542" s="106" t="s">
        <v>231</v>
      </c>
      <c r="K542" s="106"/>
      <c r="L542" s="108">
        <v>3.4299999999999997</v>
      </c>
      <c r="M542" s="108">
        <f>L542*VLOOKUP(I542,dagsoorttabel1,2,FALSE)</f>
        <v>2.0579999999999998</v>
      </c>
      <c r="N542" s="109">
        <f>prodnorm127</f>
        <v>0</v>
      </c>
      <c r="O542" s="106" t="s">
        <v>105</v>
      </c>
      <c r="P542" s="28">
        <f>uurtarief127</f>
        <v>0</v>
      </c>
      <c r="Q542" s="108" t="e">
        <f>IF(ISBLANK(N542),0,M542/ROUND(N542,4))</f>
        <v>#DIV/0!</v>
      </c>
      <c r="R542" s="28" t="e">
        <f>ROUND(P542,2)*Q542</f>
        <v>#DIV/0!</v>
      </c>
      <c r="S542" s="108" t="e">
        <f>Q542*dagenperjaar1</f>
        <v>#DIV/0!</v>
      </c>
      <c r="T542" s="29" t="e">
        <f>S542*ROUND(P542,2)</f>
        <v>#DIV/0!</v>
      </c>
    </row>
    <row r="543" spans="1:20" x14ac:dyDescent="0.2">
      <c r="A543" s="105" t="s">
        <v>721</v>
      </c>
      <c r="B543" s="106" t="s">
        <v>37</v>
      </c>
      <c r="C543" s="106" t="s">
        <v>623</v>
      </c>
      <c r="D543" s="106" t="s">
        <v>388</v>
      </c>
      <c r="E543" s="106" t="s">
        <v>37</v>
      </c>
      <c r="F543" s="107" t="s">
        <v>393</v>
      </c>
      <c r="G543" s="106" t="s">
        <v>346</v>
      </c>
      <c r="H543" s="106" t="s">
        <v>235</v>
      </c>
      <c r="I543" s="106" t="s">
        <v>11</v>
      </c>
      <c r="J543" s="106" t="s">
        <v>231</v>
      </c>
      <c r="K543" s="106"/>
      <c r="L543" s="108">
        <v>21.7</v>
      </c>
      <c r="M543" s="108">
        <f>L543*VLOOKUP(I543,dagsoorttabel1,2,FALSE)</f>
        <v>13.02</v>
      </c>
      <c r="N543" s="109">
        <f>prodnorm38</f>
        <v>0</v>
      </c>
      <c r="O543" s="106" t="s">
        <v>105</v>
      </c>
      <c r="P543" s="28">
        <f>uurtarief38</f>
        <v>0</v>
      </c>
      <c r="Q543" s="108" t="e">
        <f>IF(ISBLANK(N543),0,M543/ROUND(N543,4))</f>
        <v>#DIV/0!</v>
      </c>
      <c r="R543" s="28" t="e">
        <f>ROUND(P543,2)*Q543</f>
        <v>#DIV/0!</v>
      </c>
      <c r="S543" s="108" t="e">
        <f>Q543*dagenperjaar1</f>
        <v>#DIV/0!</v>
      </c>
      <c r="T543" s="29" t="e">
        <f>S543*ROUND(P543,2)</f>
        <v>#DIV/0!</v>
      </c>
    </row>
    <row r="544" spans="1:20" x14ac:dyDescent="0.2">
      <c r="A544" s="105" t="s">
        <v>721</v>
      </c>
      <c r="B544" s="106" t="s">
        <v>37</v>
      </c>
      <c r="C544" s="106" t="s">
        <v>623</v>
      </c>
      <c r="D544" s="106" t="s">
        <v>391</v>
      </c>
      <c r="E544" s="106" t="s">
        <v>37</v>
      </c>
      <c r="F544" s="107" t="s">
        <v>393</v>
      </c>
      <c r="G544" s="106" t="s">
        <v>346</v>
      </c>
      <c r="H544" s="106" t="s">
        <v>235</v>
      </c>
      <c r="I544" s="106" t="s">
        <v>11</v>
      </c>
      <c r="J544" s="106" t="s">
        <v>231</v>
      </c>
      <c r="K544" s="106"/>
      <c r="L544" s="108">
        <v>27.91</v>
      </c>
      <c r="M544" s="108">
        <f>L544*VLOOKUP(I544,dagsoorttabel1,2,FALSE)</f>
        <v>16.745999999999999</v>
      </c>
      <c r="N544" s="109">
        <f>prodnorm38</f>
        <v>0</v>
      </c>
      <c r="O544" s="106" t="s">
        <v>105</v>
      </c>
      <c r="P544" s="28">
        <f>uurtarief38</f>
        <v>0</v>
      </c>
      <c r="Q544" s="108" t="e">
        <f>IF(ISBLANK(N544),0,M544/ROUND(N544,4))</f>
        <v>#DIV/0!</v>
      </c>
      <c r="R544" s="28" t="e">
        <f>ROUND(P544,2)*Q544</f>
        <v>#DIV/0!</v>
      </c>
      <c r="S544" s="108" t="e">
        <f>Q544*dagenperjaar1</f>
        <v>#DIV/0!</v>
      </c>
      <c r="T544" s="29" t="e">
        <f>S544*ROUND(P544,2)</f>
        <v>#DIV/0!</v>
      </c>
    </row>
    <row r="545" spans="1:20" ht="25.5" x14ac:dyDescent="0.2">
      <c r="A545" s="110" t="s">
        <v>721</v>
      </c>
      <c r="B545" s="111" t="s">
        <v>37</v>
      </c>
      <c r="C545" s="111" t="s">
        <v>544</v>
      </c>
      <c r="D545" s="111" t="s">
        <v>37</v>
      </c>
      <c r="E545" s="111" t="s">
        <v>37</v>
      </c>
      <c r="F545" s="112" t="s">
        <v>730</v>
      </c>
      <c r="G545" s="111" t="s">
        <v>37</v>
      </c>
      <c r="H545" s="111" t="s">
        <v>302</v>
      </c>
      <c r="I545" s="111" t="s">
        <v>15</v>
      </c>
      <c r="J545" s="111" t="s">
        <v>299</v>
      </c>
      <c r="K545" s="111"/>
      <c r="L545" s="113">
        <v>1</v>
      </c>
      <c r="M545" s="113">
        <f>L545*VLOOKUP(I545,dagsoorttabel1,2,FALSE)</f>
        <v>4.7058823529411764E-2</v>
      </c>
      <c r="N545" s="114">
        <f>prodnorm24</f>
        <v>0</v>
      </c>
      <c r="O545" s="111" t="s">
        <v>301</v>
      </c>
      <c r="P545" s="38">
        <f>uurtarief24</f>
        <v>0</v>
      </c>
      <c r="Q545" s="113">
        <f>M545*ROUND(N545,4)/60</f>
        <v>0</v>
      </c>
      <c r="R545" s="38">
        <f>ROUND(P545,2)*Q545</f>
        <v>0</v>
      </c>
      <c r="S545" s="113">
        <f>Q545*dagenperjaar1</f>
        <v>0</v>
      </c>
      <c r="T545" s="39">
        <f>S545*ROUND(P545,2)</f>
        <v>0</v>
      </c>
    </row>
    <row r="546" spans="1:20" x14ac:dyDescent="0.2">
      <c r="A546" s="115" t="s">
        <v>546</v>
      </c>
      <c r="B546" s="83"/>
      <c r="C546" s="83"/>
      <c r="D546" s="83"/>
      <c r="E546" s="83"/>
      <c r="F546" s="83"/>
      <c r="G546" s="83"/>
      <c r="H546" s="83"/>
      <c r="I546" s="83"/>
      <c r="J546" s="83"/>
      <c r="K546" s="83"/>
      <c r="L546" s="83"/>
      <c r="M546" s="83"/>
      <c r="N546" s="83"/>
      <c r="O546" s="83"/>
      <c r="P546" s="85" t="e">
        <f>IF(_xlfn.SINGLE(object20_urenjaar1)&gt;0,_xlfn.SINGLE(object20_prijsjaar1)/_xlfn.SINGLE(object20_urenjaar1),0)</f>
        <v>#DIV/0!</v>
      </c>
      <c r="Q546" s="84" t="e">
        <f>SUM(Q533:Q545)</f>
        <v>#DIV/0!</v>
      </c>
      <c r="R546" s="85" t="e">
        <f>SUM(R533:R545)</f>
        <v>#DIV/0!</v>
      </c>
      <c r="S546" s="84" t="e">
        <f>SUM(S533:S545)</f>
        <v>#DIV/0!</v>
      </c>
      <c r="T546" s="86" t="e">
        <f>SUM(T533:T545)</f>
        <v>#DIV/0!</v>
      </c>
    </row>
    <row r="547" spans="1:20" x14ac:dyDescent="0.2">
      <c r="A547" s="91" t="s">
        <v>731</v>
      </c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81"/>
    </row>
    <row r="548" spans="1:20" x14ac:dyDescent="0.2">
      <c r="A548" s="98" t="s">
        <v>732</v>
      </c>
      <c r="B548" s="99" t="s">
        <v>37</v>
      </c>
      <c r="C548" s="99" t="s">
        <v>733</v>
      </c>
      <c r="D548" s="99" t="s">
        <v>734</v>
      </c>
      <c r="E548" s="99" t="s">
        <v>37</v>
      </c>
      <c r="F548" s="100" t="s">
        <v>735</v>
      </c>
      <c r="G548" s="99" t="s">
        <v>369</v>
      </c>
      <c r="H548" s="99" t="s">
        <v>288</v>
      </c>
      <c r="I548" s="99" t="s">
        <v>20</v>
      </c>
      <c r="J548" s="99" t="s">
        <v>231</v>
      </c>
      <c r="K548" s="99"/>
      <c r="L548" s="101">
        <v>73.2</v>
      </c>
      <c r="M548" s="101">
        <f>L548*VLOOKUP(I548,dagsoorttabel1,2,FALSE)</f>
        <v>1.148235294117647</v>
      </c>
      <c r="N548" s="102">
        <f>prodnorm138</f>
        <v>0</v>
      </c>
      <c r="O548" s="99" t="s">
        <v>105</v>
      </c>
      <c r="P548" s="103">
        <f>uurtarief138</f>
        <v>0</v>
      </c>
      <c r="Q548" s="101" t="e">
        <f>IF(ISBLANK(N548),0,M548/ROUND(N548,4))</f>
        <v>#DIV/0!</v>
      </c>
      <c r="R548" s="103" t="e">
        <f>ROUND(P548,2)*Q548</f>
        <v>#DIV/0!</v>
      </c>
      <c r="S548" s="101" t="e">
        <f>Q548*dagenperjaar1</f>
        <v>#DIV/0!</v>
      </c>
      <c r="T548" s="104" t="e">
        <f>S548*ROUND(P548,2)</f>
        <v>#DIV/0!</v>
      </c>
    </row>
    <row r="549" spans="1:20" x14ac:dyDescent="0.2">
      <c r="A549" s="105" t="s">
        <v>732</v>
      </c>
      <c r="B549" s="106" t="s">
        <v>37</v>
      </c>
      <c r="C549" s="106" t="s">
        <v>733</v>
      </c>
      <c r="D549" s="106" t="s">
        <v>736</v>
      </c>
      <c r="E549" s="106" t="s">
        <v>37</v>
      </c>
      <c r="F549" s="107" t="s">
        <v>735</v>
      </c>
      <c r="G549" s="106" t="s">
        <v>369</v>
      </c>
      <c r="H549" s="106" t="s">
        <v>288</v>
      </c>
      <c r="I549" s="106" t="s">
        <v>20</v>
      </c>
      <c r="J549" s="106" t="s">
        <v>231</v>
      </c>
      <c r="K549" s="106"/>
      <c r="L549" s="108">
        <v>117</v>
      </c>
      <c r="M549" s="108">
        <f>L549*VLOOKUP(I549,dagsoorttabel1,2,FALSE)</f>
        <v>1.8352941176470587</v>
      </c>
      <c r="N549" s="109">
        <f>prodnorm138</f>
        <v>0</v>
      </c>
      <c r="O549" s="106" t="s">
        <v>105</v>
      </c>
      <c r="P549" s="28">
        <f>uurtarief138</f>
        <v>0</v>
      </c>
      <c r="Q549" s="108" t="e">
        <f>IF(ISBLANK(N549),0,M549/ROUND(N549,4))</f>
        <v>#DIV/0!</v>
      </c>
      <c r="R549" s="28" t="e">
        <f>ROUND(P549,2)*Q549</f>
        <v>#DIV/0!</v>
      </c>
      <c r="S549" s="108" t="e">
        <f>Q549*dagenperjaar1</f>
        <v>#DIV/0!</v>
      </c>
      <c r="T549" s="29" t="e">
        <f>S549*ROUND(P549,2)</f>
        <v>#DIV/0!</v>
      </c>
    </row>
    <row r="550" spans="1:20" x14ac:dyDescent="0.2">
      <c r="A550" s="105" t="s">
        <v>732</v>
      </c>
      <c r="B550" s="106" t="s">
        <v>37</v>
      </c>
      <c r="C550" s="106" t="s">
        <v>733</v>
      </c>
      <c r="D550" s="106" t="s">
        <v>737</v>
      </c>
      <c r="E550" s="106" t="s">
        <v>37</v>
      </c>
      <c r="F550" s="107" t="s">
        <v>735</v>
      </c>
      <c r="G550" s="106" t="s">
        <v>369</v>
      </c>
      <c r="H550" s="106" t="s">
        <v>288</v>
      </c>
      <c r="I550" s="106" t="s">
        <v>20</v>
      </c>
      <c r="J550" s="106" t="s">
        <v>231</v>
      </c>
      <c r="K550" s="106"/>
      <c r="L550" s="108">
        <v>48.8</v>
      </c>
      <c r="M550" s="108">
        <f>L550*VLOOKUP(I550,dagsoorttabel1,2,FALSE)</f>
        <v>0.76549019607843127</v>
      </c>
      <c r="N550" s="109">
        <f>prodnorm138</f>
        <v>0</v>
      </c>
      <c r="O550" s="106" t="s">
        <v>105</v>
      </c>
      <c r="P550" s="28">
        <f>uurtarief138</f>
        <v>0</v>
      </c>
      <c r="Q550" s="108" t="e">
        <f>IF(ISBLANK(N550),0,M550/ROUND(N550,4))</f>
        <v>#DIV/0!</v>
      </c>
      <c r="R550" s="28" t="e">
        <f>ROUND(P550,2)*Q550</f>
        <v>#DIV/0!</v>
      </c>
      <c r="S550" s="108" t="e">
        <f>Q550*dagenperjaar1</f>
        <v>#DIV/0!</v>
      </c>
      <c r="T550" s="29" t="e">
        <f>S550*ROUND(P550,2)</f>
        <v>#DIV/0!</v>
      </c>
    </row>
    <row r="551" spans="1:20" x14ac:dyDescent="0.2">
      <c r="A551" s="105" t="s">
        <v>732</v>
      </c>
      <c r="B551" s="106" t="s">
        <v>37</v>
      </c>
      <c r="C551" s="106" t="s">
        <v>322</v>
      </c>
      <c r="D551" s="106" t="s">
        <v>323</v>
      </c>
      <c r="E551" s="106" t="s">
        <v>37</v>
      </c>
      <c r="F551" s="107" t="s">
        <v>592</v>
      </c>
      <c r="G551" s="106" t="s">
        <v>593</v>
      </c>
      <c r="H551" s="106" t="s">
        <v>281</v>
      </c>
      <c r="I551" s="106" t="s">
        <v>11</v>
      </c>
      <c r="J551" s="106" t="s">
        <v>231</v>
      </c>
      <c r="K551" s="106"/>
      <c r="L551" s="108">
        <v>3.3</v>
      </c>
      <c r="M551" s="108">
        <f>L551*VLOOKUP(I551,dagsoorttabel1,2,FALSE)</f>
        <v>1.9799999999999998</v>
      </c>
      <c r="N551" s="109">
        <f>prodnorm127</f>
        <v>0</v>
      </c>
      <c r="O551" s="106" t="s">
        <v>105</v>
      </c>
      <c r="P551" s="28">
        <f>uurtarief127</f>
        <v>0</v>
      </c>
      <c r="Q551" s="108" t="e">
        <f>IF(ISBLANK(N551),0,M551/ROUND(N551,4))</f>
        <v>#DIV/0!</v>
      </c>
      <c r="R551" s="28" t="e">
        <f>ROUND(P551,2)*Q551</f>
        <v>#DIV/0!</v>
      </c>
      <c r="S551" s="108" t="e">
        <f>Q551*dagenperjaar1</f>
        <v>#DIV/0!</v>
      </c>
      <c r="T551" s="29" t="e">
        <f>S551*ROUND(P551,2)</f>
        <v>#DIV/0!</v>
      </c>
    </row>
    <row r="552" spans="1:20" x14ac:dyDescent="0.2">
      <c r="A552" s="105" t="s">
        <v>732</v>
      </c>
      <c r="B552" s="106" t="s">
        <v>37</v>
      </c>
      <c r="C552" s="106" t="s">
        <v>322</v>
      </c>
      <c r="D552" s="106" t="s">
        <v>326</v>
      </c>
      <c r="E552" s="106" t="s">
        <v>37</v>
      </c>
      <c r="F552" s="107" t="s">
        <v>335</v>
      </c>
      <c r="G552" s="106" t="s">
        <v>597</v>
      </c>
      <c r="H552" s="106" t="s">
        <v>273</v>
      </c>
      <c r="I552" s="106" t="s">
        <v>11</v>
      </c>
      <c r="J552" s="106" t="s">
        <v>231</v>
      </c>
      <c r="K552" s="106"/>
      <c r="L552" s="108">
        <v>7.9</v>
      </c>
      <c r="M552" s="108">
        <f>L552*VLOOKUP(I552,dagsoorttabel1,2,FALSE)</f>
        <v>4.74</v>
      </c>
      <c r="N552" s="109">
        <f>prodnorm110</f>
        <v>0</v>
      </c>
      <c r="O552" s="106" t="s">
        <v>105</v>
      </c>
      <c r="P552" s="28">
        <f>uurtarief110</f>
        <v>0</v>
      </c>
      <c r="Q552" s="108" t="e">
        <f>IF(ISBLANK(N552),0,M552/ROUND(N552,4))</f>
        <v>#DIV/0!</v>
      </c>
      <c r="R552" s="28" t="e">
        <f>ROUND(P552,2)*Q552</f>
        <v>#DIV/0!</v>
      </c>
      <c r="S552" s="108" t="e">
        <f>Q552*dagenperjaar1</f>
        <v>#DIV/0!</v>
      </c>
      <c r="T552" s="29" t="e">
        <f>S552*ROUND(P552,2)</f>
        <v>#DIV/0!</v>
      </c>
    </row>
    <row r="553" spans="1:20" x14ac:dyDescent="0.2">
      <c r="A553" s="105" t="s">
        <v>732</v>
      </c>
      <c r="B553" s="106" t="s">
        <v>37</v>
      </c>
      <c r="C553" s="106" t="s">
        <v>322</v>
      </c>
      <c r="D553" s="106" t="s">
        <v>329</v>
      </c>
      <c r="E553" s="106" t="s">
        <v>37</v>
      </c>
      <c r="F553" s="107" t="s">
        <v>335</v>
      </c>
      <c r="G553" s="106" t="s">
        <v>331</v>
      </c>
      <c r="H553" s="106" t="s">
        <v>273</v>
      </c>
      <c r="I553" s="106" t="s">
        <v>11</v>
      </c>
      <c r="J553" s="106" t="s">
        <v>231</v>
      </c>
      <c r="K553" s="106"/>
      <c r="L553" s="108">
        <v>33.5</v>
      </c>
      <c r="M553" s="108">
        <f>L553*VLOOKUP(I553,dagsoorttabel1,2,FALSE)</f>
        <v>20.099999999999998</v>
      </c>
      <c r="N553" s="109">
        <f>prodnorm110</f>
        <v>0</v>
      </c>
      <c r="O553" s="106" t="s">
        <v>105</v>
      </c>
      <c r="P553" s="28">
        <f>uurtarief110</f>
        <v>0</v>
      </c>
      <c r="Q553" s="108" t="e">
        <f>IF(ISBLANK(N553),0,M553/ROUND(N553,4))</f>
        <v>#DIV/0!</v>
      </c>
      <c r="R553" s="28" t="e">
        <f>ROUND(P553,2)*Q553</f>
        <v>#DIV/0!</v>
      </c>
      <c r="S553" s="108" t="e">
        <f>Q553*dagenperjaar1</f>
        <v>#DIV/0!</v>
      </c>
      <c r="T553" s="29" t="e">
        <f>S553*ROUND(P553,2)</f>
        <v>#DIV/0!</v>
      </c>
    </row>
    <row r="554" spans="1:20" x14ac:dyDescent="0.2">
      <c r="A554" s="105" t="s">
        <v>732</v>
      </c>
      <c r="B554" s="106" t="s">
        <v>37</v>
      </c>
      <c r="C554" s="106" t="s">
        <v>322</v>
      </c>
      <c r="D554" s="106" t="s">
        <v>332</v>
      </c>
      <c r="E554" s="106" t="s">
        <v>37</v>
      </c>
      <c r="F554" s="107" t="s">
        <v>454</v>
      </c>
      <c r="G554" s="106" t="s">
        <v>369</v>
      </c>
      <c r="H554" s="106" t="s">
        <v>273</v>
      </c>
      <c r="I554" s="106" t="s">
        <v>11</v>
      </c>
      <c r="J554" s="106" t="s">
        <v>231</v>
      </c>
      <c r="K554" s="106"/>
      <c r="L554" s="108">
        <v>13.2</v>
      </c>
      <c r="M554" s="108">
        <f>L554*VLOOKUP(I554,dagsoorttabel1,2,FALSE)</f>
        <v>7.919999999999999</v>
      </c>
      <c r="N554" s="109">
        <f>prodnorm110</f>
        <v>0</v>
      </c>
      <c r="O554" s="106" t="s">
        <v>105</v>
      </c>
      <c r="P554" s="28">
        <f>uurtarief110</f>
        <v>0</v>
      </c>
      <c r="Q554" s="108" t="e">
        <f>IF(ISBLANK(N554),0,M554/ROUND(N554,4))</f>
        <v>#DIV/0!</v>
      </c>
      <c r="R554" s="28" t="e">
        <f>ROUND(P554,2)*Q554</f>
        <v>#DIV/0!</v>
      </c>
      <c r="S554" s="108" t="e">
        <f>Q554*dagenperjaar1</f>
        <v>#DIV/0!</v>
      </c>
      <c r="T554" s="29" t="e">
        <f>S554*ROUND(P554,2)</f>
        <v>#DIV/0!</v>
      </c>
    </row>
    <row r="555" spans="1:20" x14ac:dyDescent="0.2">
      <c r="A555" s="105" t="s">
        <v>732</v>
      </c>
      <c r="B555" s="106" t="s">
        <v>37</v>
      </c>
      <c r="C555" s="106" t="s">
        <v>322</v>
      </c>
      <c r="D555" s="106" t="s">
        <v>334</v>
      </c>
      <c r="E555" s="106" t="s">
        <v>37</v>
      </c>
      <c r="F555" s="107" t="s">
        <v>618</v>
      </c>
      <c r="G555" s="106" t="s">
        <v>331</v>
      </c>
      <c r="H555" s="106" t="s">
        <v>235</v>
      </c>
      <c r="I555" s="106" t="s">
        <v>11</v>
      </c>
      <c r="J555" s="106" t="s">
        <v>231</v>
      </c>
      <c r="K555" s="106"/>
      <c r="L555" s="108">
        <v>19.5</v>
      </c>
      <c r="M555" s="108">
        <f>L555*VLOOKUP(I555,dagsoorttabel1,2,FALSE)</f>
        <v>11.7</v>
      </c>
      <c r="N555" s="109">
        <f>prodnorm38</f>
        <v>0</v>
      </c>
      <c r="O555" s="106" t="s">
        <v>105</v>
      </c>
      <c r="P555" s="28">
        <f>uurtarief38</f>
        <v>0</v>
      </c>
      <c r="Q555" s="108" t="e">
        <f>IF(ISBLANK(N555),0,M555/ROUND(N555,4))</f>
        <v>#DIV/0!</v>
      </c>
      <c r="R555" s="28" t="e">
        <f>ROUND(P555,2)*Q555</f>
        <v>#DIV/0!</v>
      </c>
      <c r="S555" s="108" t="e">
        <f>Q555*dagenperjaar1</f>
        <v>#DIV/0!</v>
      </c>
      <c r="T555" s="29" t="e">
        <f>S555*ROUND(P555,2)</f>
        <v>#DIV/0!</v>
      </c>
    </row>
    <row r="556" spans="1:20" x14ac:dyDescent="0.2">
      <c r="A556" s="105" t="s">
        <v>732</v>
      </c>
      <c r="B556" s="106" t="s">
        <v>37</v>
      </c>
      <c r="C556" s="106" t="s">
        <v>322</v>
      </c>
      <c r="D556" s="106" t="s">
        <v>336</v>
      </c>
      <c r="E556" s="106" t="s">
        <v>37</v>
      </c>
      <c r="F556" s="107" t="s">
        <v>711</v>
      </c>
      <c r="G556" s="106" t="s">
        <v>632</v>
      </c>
      <c r="H556" s="106" t="s">
        <v>251</v>
      </c>
      <c r="I556" s="106" t="s">
        <v>20</v>
      </c>
      <c r="J556" s="106" t="s">
        <v>231</v>
      </c>
      <c r="K556" s="106"/>
      <c r="L556" s="108">
        <v>7</v>
      </c>
      <c r="M556" s="108">
        <f>L556*VLOOKUP(I556,dagsoorttabel1,2,FALSE)</f>
        <v>0.10980392156862745</v>
      </c>
      <c r="N556" s="109">
        <f>prodnorm63</f>
        <v>0</v>
      </c>
      <c r="O556" s="106" t="s">
        <v>105</v>
      </c>
      <c r="P556" s="28">
        <f>uurtarief63</f>
        <v>0</v>
      </c>
      <c r="Q556" s="108" t="e">
        <f>IF(ISBLANK(N556),0,M556/ROUND(N556,4))</f>
        <v>#DIV/0!</v>
      </c>
      <c r="R556" s="28" t="e">
        <f>ROUND(P556,2)*Q556</f>
        <v>#DIV/0!</v>
      </c>
      <c r="S556" s="108" t="e">
        <f>Q556*dagenperjaar1</f>
        <v>#DIV/0!</v>
      </c>
      <c r="T556" s="29" t="e">
        <f>S556*ROUND(P556,2)</f>
        <v>#DIV/0!</v>
      </c>
    </row>
    <row r="557" spans="1:20" x14ac:dyDescent="0.2">
      <c r="A557" s="105" t="s">
        <v>732</v>
      </c>
      <c r="B557" s="106" t="s">
        <v>37</v>
      </c>
      <c r="C557" s="106" t="s">
        <v>322</v>
      </c>
      <c r="D557" s="106" t="s">
        <v>338</v>
      </c>
      <c r="E557" s="106" t="s">
        <v>37</v>
      </c>
      <c r="F557" s="107" t="s">
        <v>621</v>
      </c>
      <c r="G557" s="106" t="s">
        <v>331</v>
      </c>
      <c r="H557" s="106" t="s">
        <v>249</v>
      </c>
      <c r="I557" s="106" t="s">
        <v>11</v>
      </c>
      <c r="J557" s="106" t="s">
        <v>231</v>
      </c>
      <c r="K557" s="106"/>
      <c r="L557" s="108">
        <v>27.7</v>
      </c>
      <c r="M557" s="108">
        <f>L557*VLOOKUP(I557,dagsoorttabel1,2,FALSE)</f>
        <v>16.619999999999997</v>
      </c>
      <c r="N557" s="109">
        <f>prodnorm57</f>
        <v>0</v>
      </c>
      <c r="O557" s="106" t="s">
        <v>105</v>
      </c>
      <c r="P557" s="28">
        <f>uurtarief57</f>
        <v>0</v>
      </c>
      <c r="Q557" s="108" t="e">
        <f>IF(ISBLANK(N557),0,M557/ROUND(N557,4))</f>
        <v>#DIV/0!</v>
      </c>
      <c r="R557" s="28" t="e">
        <f>ROUND(P557,2)*Q557</f>
        <v>#DIV/0!</v>
      </c>
      <c r="S557" s="108" t="e">
        <f>Q557*dagenperjaar1</f>
        <v>#DIV/0!</v>
      </c>
      <c r="T557" s="29" t="e">
        <f>S557*ROUND(P557,2)</f>
        <v>#DIV/0!</v>
      </c>
    </row>
    <row r="558" spans="1:20" x14ac:dyDescent="0.2">
      <c r="A558" s="105" t="s">
        <v>732</v>
      </c>
      <c r="B558" s="106" t="s">
        <v>37</v>
      </c>
      <c r="C558" s="106" t="s">
        <v>322</v>
      </c>
      <c r="D558" s="106" t="s">
        <v>339</v>
      </c>
      <c r="E558" s="106" t="s">
        <v>37</v>
      </c>
      <c r="F558" s="107" t="s">
        <v>615</v>
      </c>
      <c r="G558" s="106" t="s">
        <v>369</v>
      </c>
      <c r="H558" s="106" t="s">
        <v>267</v>
      </c>
      <c r="I558" s="106" t="s">
        <v>11</v>
      </c>
      <c r="J558" s="106" t="s">
        <v>231</v>
      </c>
      <c r="K558" s="106"/>
      <c r="L558" s="108">
        <v>1.3</v>
      </c>
      <c r="M558" s="108">
        <f>L558*VLOOKUP(I558,dagsoorttabel1,2,FALSE)</f>
        <v>0.78</v>
      </c>
      <c r="N558" s="109">
        <f>prodnorm98</f>
        <v>0</v>
      </c>
      <c r="O558" s="106" t="s">
        <v>105</v>
      </c>
      <c r="P558" s="28">
        <f>uurtarief98</f>
        <v>0</v>
      </c>
      <c r="Q558" s="108" t="e">
        <f>IF(ISBLANK(N558),0,M558/ROUND(N558,4))</f>
        <v>#DIV/0!</v>
      </c>
      <c r="R558" s="28" t="e">
        <f>ROUND(P558,2)*Q558</f>
        <v>#DIV/0!</v>
      </c>
      <c r="S558" s="108" t="e">
        <f>Q558*dagenperjaar1</f>
        <v>#DIV/0!</v>
      </c>
      <c r="T558" s="29" t="e">
        <f>S558*ROUND(P558,2)</f>
        <v>#DIV/0!</v>
      </c>
    </row>
    <row r="559" spans="1:20" x14ac:dyDescent="0.2">
      <c r="A559" s="105" t="s">
        <v>732</v>
      </c>
      <c r="B559" s="106" t="s">
        <v>37</v>
      </c>
      <c r="C559" s="106" t="s">
        <v>322</v>
      </c>
      <c r="D559" s="106" t="s">
        <v>342</v>
      </c>
      <c r="E559" s="106" t="s">
        <v>37</v>
      </c>
      <c r="F559" s="107" t="s">
        <v>454</v>
      </c>
      <c r="G559" s="106" t="s">
        <v>331</v>
      </c>
      <c r="H559" s="106" t="s">
        <v>273</v>
      </c>
      <c r="I559" s="106" t="s">
        <v>11</v>
      </c>
      <c r="J559" s="106" t="s">
        <v>231</v>
      </c>
      <c r="K559" s="106"/>
      <c r="L559" s="108">
        <v>2</v>
      </c>
      <c r="M559" s="108">
        <f>L559*VLOOKUP(I559,dagsoorttabel1,2,FALSE)</f>
        <v>1.2</v>
      </c>
      <c r="N559" s="109">
        <f>prodnorm110</f>
        <v>0</v>
      </c>
      <c r="O559" s="106" t="s">
        <v>105</v>
      </c>
      <c r="P559" s="28">
        <f>uurtarief110</f>
        <v>0</v>
      </c>
      <c r="Q559" s="108" t="e">
        <f>IF(ISBLANK(N559),0,M559/ROUND(N559,4))</f>
        <v>#DIV/0!</v>
      </c>
      <c r="R559" s="28" t="e">
        <f>ROUND(P559,2)*Q559</f>
        <v>#DIV/0!</v>
      </c>
      <c r="S559" s="108" t="e">
        <f>Q559*dagenperjaar1</f>
        <v>#DIV/0!</v>
      </c>
      <c r="T559" s="29" t="e">
        <f>S559*ROUND(P559,2)</f>
        <v>#DIV/0!</v>
      </c>
    </row>
    <row r="560" spans="1:20" x14ac:dyDescent="0.2">
      <c r="A560" s="105" t="s">
        <v>732</v>
      </c>
      <c r="B560" s="106" t="s">
        <v>37</v>
      </c>
      <c r="C560" s="106" t="s">
        <v>322</v>
      </c>
      <c r="D560" s="106" t="s">
        <v>344</v>
      </c>
      <c r="E560" s="106" t="s">
        <v>37</v>
      </c>
      <c r="F560" s="107" t="s">
        <v>714</v>
      </c>
      <c r="G560" s="106" t="s">
        <v>331</v>
      </c>
      <c r="H560" s="106" t="s">
        <v>251</v>
      </c>
      <c r="I560" s="106" t="s">
        <v>15</v>
      </c>
      <c r="J560" s="106" t="s">
        <v>231</v>
      </c>
      <c r="K560" s="106"/>
      <c r="L560" s="108">
        <v>6.9</v>
      </c>
      <c r="M560" s="108">
        <f>L560*VLOOKUP(I560,dagsoorttabel1,2,FALSE)</f>
        <v>0.32470588235294118</v>
      </c>
      <c r="N560" s="109">
        <f>prodnorm59</f>
        <v>0</v>
      </c>
      <c r="O560" s="106" t="s">
        <v>105</v>
      </c>
      <c r="P560" s="28">
        <f>uurtarief59</f>
        <v>0</v>
      </c>
      <c r="Q560" s="108" t="e">
        <f>IF(ISBLANK(N560),0,M560/ROUND(N560,4))</f>
        <v>#DIV/0!</v>
      </c>
      <c r="R560" s="28" t="e">
        <f>ROUND(P560,2)*Q560</f>
        <v>#DIV/0!</v>
      </c>
      <c r="S560" s="108" t="e">
        <f>Q560*dagenperjaar1</f>
        <v>#DIV/0!</v>
      </c>
      <c r="T560" s="29" t="e">
        <f>S560*ROUND(P560,2)</f>
        <v>#DIV/0!</v>
      </c>
    </row>
    <row r="561" spans="1:20" x14ac:dyDescent="0.2">
      <c r="A561" s="105" t="s">
        <v>732</v>
      </c>
      <c r="B561" s="106" t="s">
        <v>37</v>
      </c>
      <c r="C561" s="106" t="s">
        <v>322</v>
      </c>
      <c r="D561" s="106" t="s">
        <v>347</v>
      </c>
      <c r="E561" s="106" t="s">
        <v>37</v>
      </c>
      <c r="F561" s="107" t="s">
        <v>654</v>
      </c>
      <c r="G561" s="106" t="s">
        <v>358</v>
      </c>
      <c r="H561" s="106" t="s">
        <v>290</v>
      </c>
      <c r="I561" s="106" t="s">
        <v>11</v>
      </c>
      <c r="J561" s="106" t="s">
        <v>231</v>
      </c>
      <c r="K561" s="106"/>
      <c r="L561" s="108">
        <v>6</v>
      </c>
      <c r="M561" s="108">
        <f>L561*VLOOKUP(I561,dagsoorttabel1,2,FALSE)</f>
        <v>3.5999999999999996</v>
      </c>
      <c r="N561" s="109">
        <f>prodnorm144</f>
        <v>0</v>
      </c>
      <c r="O561" s="106" t="s">
        <v>105</v>
      </c>
      <c r="P561" s="28">
        <f>uurtarief144</f>
        <v>0</v>
      </c>
      <c r="Q561" s="108" t="e">
        <f>IF(ISBLANK(N561),0,M561/ROUND(N561,4))</f>
        <v>#DIV/0!</v>
      </c>
      <c r="R561" s="28" t="e">
        <f>ROUND(P561,2)*Q561</f>
        <v>#DIV/0!</v>
      </c>
      <c r="S561" s="108" t="e">
        <f>Q561*dagenperjaar1</f>
        <v>#DIV/0!</v>
      </c>
      <c r="T561" s="29" t="e">
        <f>S561*ROUND(P561,2)</f>
        <v>#DIV/0!</v>
      </c>
    </row>
    <row r="562" spans="1:20" x14ac:dyDescent="0.2">
      <c r="A562" s="105" t="s">
        <v>732</v>
      </c>
      <c r="B562" s="106" t="s">
        <v>37</v>
      </c>
      <c r="C562" s="106" t="s">
        <v>322</v>
      </c>
      <c r="D562" s="106" t="s">
        <v>349</v>
      </c>
      <c r="E562" s="106" t="s">
        <v>37</v>
      </c>
      <c r="F562" s="107" t="s">
        <v>618</v>
      </c>
      <c r="G562" s="106" t="s">
        <v>331</v>
      </c>
      <c r="H562" s="106" t="s">
        <v>235</v>
      </c>
      <c r="I562" s="106" t="s">
        <v>11</v>
      </c>
      <c r="J562" s="106" t="s">
        <v>231</v>
      </c>
      <c r="K562" s="106"/>
      <c r="L562" s="108">
        <v>6</v>
      </c>
      <c r="M562" s="108">
        <f>L562*VLOOKUP(I562,dagsoorttabel1,2,FALSE)</f>
        <v>3.5999999999999996</v>
      </c>
      <c r="N562" s="109">
        <f>prodnorm38</f>
        <v>0</v>
      </c>
      <c r="O562" s="106" t="s">
        <v>105</v>
      </c>
      <c r="P562" s="28">
        <f>uurtarief38</f>
        <v>0</v>
      </c>
      <c r="Q562" s="108" t="e">
        <f>IF(ISBLANK(N562),0,M562/ROUND(N562,4))</f>
        <v>#DIV/0!</v>
      </c>
      <c r="R562" s="28" t="e">
        <f>ROUND(P562,2)*Q562</f>
        <v>#DIV/0!</v>
      </c>
      <c r="S562" s="108" t="e">
        <f>Q562*dagenperjaar1</f>
        <v>#DIV/0!</v>
      </c>
      <c r="T562" s="29" t="e">
        <f>S562*ROUND(P562,2)</f>
        <v>#DIV/0!</v>
      </c>
    </row>
    <row r="563" spans="1:20" x14ac:dyDescent="0.2">
      <c r="A563" s="105" t="s">
        <v>732</v>
      </c>
      <c r="B563" s="106" t="s">
        <v>37</v>
      </c>
      <c r="C563" s="106" t="s">
        <v>322</v>
      </c>
      <c r="D563" s="106" t="s">
        <v>350</v>
      </c>
      <c r="E563" s="106" t="s">
        <v>37</v>
      </c>
      <c r="F563" s="107" t="s">
        <v>307</v>
      </c>
      <c r="G563" s="106" t="s">
        <v>325</v>
      </c>
      <c r="H563" s="106" t="s">
        <v>306</v>
      </c>
      <c r="I563" s="106" t="s">
        <v>11</v>
      </c>
      <c r="J563" s="106" t="s">
        <v>299</v>
      </c>
      <c r="K563" s="106"/>
      <c r="L563" s="108">
        <v>28.2</v>
      </c>
      <c r="M563" s="108">
        <f>L563*VLOOKUP(I563,dagsoorttabel1,2,FALSE)</f>
        <v>16.919999999999998</v>
      </c>
      <c r="N563" s="109">
        <f>prodnorm29</f>
        <v>0</v>
      </c>
      <c r="O563" s="106" t="s">
        <v>105</v>
      </c>
      <c r="P563" s="28">
        <f>uurtarief29</f>
        <v>0</v>
      </c>
      <c r="Q563" s="108" t="e">
        <f>IF(ISBLANK(N563),0,M563/ROUND(N563,4))</f>
        <v>#DIV/0!</v>
      </c>
      <c r="R563" s="28" t="e">
        <f>ROUND(P563,2)*Q563</f>
        <v>#DIV/0!</v>
      </c>
      <c r="S563" s="108" t="e">
        <f>Q563*dagenperjaar1</f>
        <v>#DIV/0!</v>
      </c>
      <c r="T563" s="29" t="e">
        <f>S563*ROUND(P563,2)</f>
        <v>#DIV/0!</v>
      </c>
    </row>
    <row r="564" spans="1:20" x14ac:dyDescent="0.2">
      <c r="A564" s="105" t="s">
        <v>732</v>
      </c>
      <c r="B564" s="106" t="s">
        <v>37</v>
      </c>
      <c r="C564" s="106" t="s">
        <v>322</v>
      </c>
      <c r="D564" s="106" t="s">
        <v>351</v>
      </c>
      <c r="E564" s="106" t="s">
        <v>37</v>
      </c>
      <c r="F564" s="107" t="s">
        <v>307</v>
      </c>
      <c r="G564" s="106" t="s">
        <v>597</v>
      </c>
      <c r="H564" s="106" t="s">
        <v>306</v>
      </c>
      <c r="I564" s="106" t="s">
        <v>11</v>
      </c>
      <c r="J564" s="106" t="s">
        <v>299</v>
      </c>
      <c r="K564" s="106"/>
      <c r="L564" s="108">
        <v>117.9</v>
      </c>
      <c r="M564" s="108">
        <f>L564*VLOOKUP(I564,dagsoorttabel1,2,FALSE)</f>
        <v>70.739999999999995</v>
      </c>
      <c r="N564" s="109">
        <f>prodnorm29</f>
        <v>0</v>
      </c>
      <c r="O564" s="106" t="s">
        <v>105</v>
      </c>
      <c r="P564" s="28">
        <f>uurtarief29</f>
        <v>0</v>
      </c>
      <c r="Q564" s="108" t="e">
        <f>IF(ISBLANK(N564),0,M564/ROUND(N564,4))</f>
        <v>#DIV/0!</v>
      </c>
      <c r="R564" s="28" t="e">
        <f>ROUND(P564,2)*Q564</f>
        <v>#DIV/0!</v>
      </c>
      <c r="S564" s="108" t="e">
        <f>Q564*dagenperjaar1</f>
        <v>#DIV/0!</v>
      </c>
      <c r="T564" s="29" t="e">
        <f>S564*ROUND(P564,2)</f>
        <v>#DIV/0!</v>
      </c>
    </row>
    <row r="565" spans="1:20" x14ac:dyDescent="0.2">
      <c r="A565" s="105" t="s">
        <v>732</v>
      </c>
      <c r="B565" s="106" t="s">
        <v>37</v>
      </c>
      <c r="C565" s="106" t="s">
        <v>322</v>
      </c>
      <c r="D565" s="106" t="s">
        <v>353</v>
      </c>
      <c r="E565" s="106" t="s">
        <v>37</v>
      </c>
      <c r="F565" s="107" t="s">
        <v>335</v>
      </c>
      <c r="G565" s="106" t="s">
        <v>597</v>
      </c>
      <c r="H565" s="106" t="s">
        <v>273</v>
      </c>
      <c r="I565" s="106" t="s">
        <v>11</v>
      </c>
      <c r="J565" s="106" t="s">
        <v>231</v>
      </c>
      <c r="K565" s="106"/>
      <c r="L565" s="108">
        <v>7.9</v>
      </c>
      <c r="M565" s="108">
        <f>L565*VLOOKUP(I565,dagsoorttabel1,2,FALSE)</f>
        <v>4.74</v>
      </c>
      <c r="N565" s="109">
        <f>prodnorm110</f>
        <v>0</v>
      </c>
      <c r="O565" s="106" t="s">
        <v>105</v>
      </c>
      <c r="P565" s="28">
        <f>uurtarief110</f>
        <v>0</v>
      </c>
      <c r="Q565" s="108" t="e">
        <f>IF(ISBLANK(N565),0,M565/ROUND(N565,4))</f>
        <v>#DIV/0!</v>
      </c>
      <c r="R565" s="28" t="e">
        <f>ROUND(P565,2)*Q565</f>
        <v>#DIV/0!</v>
      </c>
      <c r="S565" s="108" t="e">
        <f>Q565*dagenperjaar1</f>
        <v>#DIV/0!</v>
      </c>
      <c r="T565" s="29" t="e">
        <f>S565*ROUND(P565,2)</f>
        <v>#DIV/0!</v>
      </c>
    </row>
    <row r="566" spans="1:20" x14ac:dyDescent="0.2">
      <c r="A566" s="105" t="s">
        <v>732</v>
      </c>
      <c r="B566" s="106" t="s">
        <v>37</v>
      </c>
      <c r="C566" s="106" t="s">
        <v>322</v>
      </c>
      <c r="D566" s="106" t="s">
        <v>356</v>
      </c>
      <c r="E566" s="106" t="s">
        <v>37</v>
      </c>
      <c r="F566" s="107" t="s">
        <v>579</v>
      </c>
      <c r="G566" s="106" t="s">
        <v>331</v>
      </c>
      <c r="H566" s="106" t="s">
        <v>257</v>
      </c>
      <c r="I566" s="106" t="s">
        <v>11</v>
      </c>
      <c r="J566" s="106" t="s">
        <v>231</v>
      </c>
      <c r="K566" s="106"/>
      <c r="L566" s="108">
        <v>26</v>
      </c>
      <c r="M566" s="108">
        <f>L566*VLOOKUP(I566,dagsoorttabel1,2,FALSE)</f>
        <v>15.6</v>
      </c>
      <c r="N566" s="109">
        <f>prodnorm77</f>
        <v>0</v>
      </c>
      <c r="O566" s="106" t="s">
        <v>105</v>
      </c>
      <c r="P566" s="28">
        <f>uurtarief77</f>
        <v>0</v>
      </c>
      <c r="Q566" s="108" t="e">
        <f>IF(ISBLANK(N566),0,M566/ROUND(N566,4))</f>
        <v>#DIV/0!</v>
      </c>
      <c r="R566" s="28" t="e">
        <f>ROUND(P566,2)*Q566</f>
        <v>#DIV/0!</v>
      </c>
      <c r="S566" s="108" t="e">
        <f>Q566*dagenperjaar1</f>
        <v>#DIV/0!</v>
      </c>
      <c r="T566" s="29" t="e">
        <f>S566*ROUND(P566,2)</f>
        <v>#DIV/0!</v>
      </c>
    </row>
    <row r="567" spans="1:20" x14ac:dyDescent="0.2">
      <c r="A567" s="105" t="s">
        <v>732</v>
      </c>
      <c r="B567" s="106" t="s">
        <v>37</v>
      </c>
      <c r="C567" s="106" t="s">
        <v>322</v>
      </c>
      <c r="D567" s="106" t="s">
        <v>357</v>
      </c>
      <c r="E567" s="106" t="s">
        <v>37</v>
      </c>
      <c r="F567" s="107" t="s">
        <v>615</v>
      </c>
      <c r="G567" s="106" t="s">
        <v>369</v>
      </c>
      <c r="H567" s="106" t="s">
        <v>267</v>
      </c>
      <c r="I567" s="106" t="s">
        <v>11</v>
      </c>
      <c r="J567" s="106" t="s">
        <v>231</v>
      </c>
      <c r="K567" s="106"/>
      <c r="L567" s="108">
        <v>10.199999999999999</v>
      </c>
      <c r="M567" s="108">
        <f>L567*VLOOKUP(I567,dagsoorttabel1,2,FALSE)</f>
        <v>6.1199999999999992</v>
      </c>
      <c r="N567" s="109">
        <f>prodnorm98</f>
        <v>0</v>
      </c>
      <c r="O567" s="106" t="s">
        <v>105</v>
      </c>
      <c r="P567" s="28">
        <f>uurtarief98</f>
        <v>0</v>
      </c>
      <c r="Q567" s="108" t="e">
        <f>IF(ISBLANK(N567),0,M567/ROUND(N567,4))</f>
        <v>#DIV/0!</v>
      </c>
      <c r="R567" s="28" t="e">
        <f>ROUND(P567,2)*Q567</f>
        <v>#DIV/0!</v>
      </c>
      <c r="S567" s="108" t="e">
        <f>Q567*dagenperjaar1</f>
        <v>#DIV/0!</v>
      </c>
      <c r="T567" s="29" t="e">
        <f>S567*ROUND(P567,2)</f>
        <v>#DIV/0!</v>
      </c>
    </row>
    <row r="568" spans="1:20" x14ac:dyDescent="0.2">
      <c r="A568" s="105" t="s">
        <v>732</v>
      </c>
      <c r="B568" s="106" t="s">
        <v>37</v>
      </c>
      <c r="C568" s="106" t="s">
        <v>322</v>
      </c>
      <c r="D568" s="106" t="s">
        <v>359</v>
      </c>
      <c r="E568" s="106" t="s">
        <v>37</v>
      </c>
      <c r="F568" s="107" t="s">
        <v>667</v>
      </c>
      <c r="G568" s="106" t="s">
        <v>331</v>
      </c>
      <c r="H568" s="106" t="s">
        <v>241</v>
      </c>
      <c r="I568" s="106" t="s">
        <v>11</v>
      </c>
      <c r="J568" s="106" t="s">
        <v>231</v>
      </c>
      <c r="K568" s="106"/>
      <c r="L568" s="108">
        <v>45.6</v>
      </c>
      <c r="M568" s="108">
        <f>L568*VLOOKUP(I568,dagsoorttabel1,2,FALSE)</f>
        <v>27.36</v>
      </c>
      <c r="N568" s="109">
        <f>prodnorm46</f>
        <v>0</v>
      </c>
      <c r="O568" s="106" t="s">
        <v>105</v>
      </c>
      <c r="P568" s="28">
        <f>uurtarief46</f>
        <v>0</v>
      </c>
      <c r="Q568" s="108" t="e">
        <f>IF(ISBLANK(N568),0,M568/ROUND(N568,4))</f>
        <v>#DIV/0!</v>
      </c>
      <c r="R568" s="28" t="e">
        <f>ROUND(P568,2)*Q568</f>
        <v>#DIV/0!</v>
      </c>
      <c r="S568" s="108" t="e">
        <f>Q568*dagenperjaar1</f>
        <v>#DIV/0!</v>
      </c>
      <c r="T568" s="29" t="e">
        <f>S568*ROUND(P568,2)</f>
        <v>#DIV/0!</v>
      </c>
    </row>
    <row r="569" spans="1:20" x14ac:dyDescent="0.2">
      <c r="A569" s="105" t="s">
        <v>732</v>
      </c>
      <c r="B569" s="106" t="s">
        <v>37</v>
      </c>
      <c r="C569" s="106" t="s">
        <v>322</v>
      </c>
      <c r="D569" s="106" t="s">
        <v>361</v>
      </c>
      <c r="E569" s="106" t="s">
        <v>37</v>
      </c>
      <c r="F569" s="107" t="s">
        <v>618</v>
      </c>
      <c r="G569" s="106" t="s">
        <v>325</v>
      </c>
      <c r="H569" s="106" t="s">
        <v>237</v>
      </c>
      <c r="I569" s="106" t="s">
        <v>11</v>
      </c>
      <c r="J569" s="106" t="s">
        <v>231</v>
      </c>
      <c r="K569" s="106"/>
      <c r="L569" s="108">
        <v>27</v>
      </c>
      <c r="M569" s="108">
        <f>L569*VLOOKUP(I569,dagsoorttabel1,2,FALSE)</f>
        <v>16.2</v>
      </c>
      <c r="N569" s="109">
        <f>prodnorm41</f>
        <v>0</v>
      </c>
      <c r="O569" s="106" t="s">
        <v>105</v>
      </c>
      <c r="P569" s="28">
        <f>uurtarief41</f>
        <v>0</v>
      </c>
      <c r="Q569" s="108" t="e">
        <f>IF(ISBLANK(N569),0,M569/ROUND(N569,4))</f>
        <v>#DIV/0!</v>
      </c>
      <c r="R569" s="28" t="e">
        <f>ROUND(P569,2)*Q569</f>
        <v>#DIV/0!</v>
      </c>
      <c r="S569" s="108" t="e">
        <f>Q569*dagenperjaar1</f>
        <v>#DIV/0!</v>
      </c>
      <c r="T569" s="29" t="e">
        <f>S569*ROUND(P569,2)</f>
        <v>#DIV/0!</v>
      </c>
    </row>
    <row r="570" spans="1:20" x14ac:dyDescent="0.2">
      <c r="A570" s="105" t="s">
        <v>732</v>
      </c>
      <c r="B570" s="106" t="s">
        <v>37</v>
      </c>
      <c r="C570" s="106" t="s">
        <v>322</v>
      </c>
      <c r="D570" s="106" t="s">
        <v>363</v>
      </c>
      <c r="E570" s="106" t="s">
        <v>37</v>
      </c>
      <c r="F570" s="107" t="s">
        <v>590</v>
      </c>
      <c r="G570" s="106" t="s">
        <v>369</v>
      </c>
      <c r="H570" s="106" t="s">
        <v>265</v>
      </c>
      <c r="I570" s="106" t="s">
        <v>11</v>
      </c>
      <c r="J570" s="106" t="s">
        <v>231</v>
      </c>
      <c r="K570" s="106"/>
      <c r="L570" s="108">
        <v>18.600000000000001</v>
      </c>
      <c r="M570" s="108">
        <f>L570*VLOOKUP(I570,dagsoorttabel1,2,FALSE)</f>
        <v>11.16</v>
      </c>
      <c r="N570" s="109">
        <f>prodnorm91</f>
        <v>0</v>
      </c>
      <c r="O570" s="106" t="s">
        <v>105</v>
      </c>
      <c r="P570" s="28">
        <f>uurtarief91</f>
        <v>0</v>
      </c>
      <c r="Q570" s="108" t="e">
        <f>IF(ISBLANK(N570),0,M570/ROUND(N570,4))</f>
        <v>#DIV/0!</v>
      </c>
      <c r="R570" s="28" t="e">
        <f>ROUND(P570,2)*Q570</f>
        <v>#DIV/0!</v>
      </c>
      <c r="S570" s="108" t="e">
        <f>Q570*dagenperjaar1</f>
        <v>#DIV/0!</v>
      </c>
      <c r="T570" s="29" t="e">
        <f>S570*ROUND(P570,2)</f>
        <v>#DIV/0!</v>
      </c>
    </row>
    <row r="571" spans="1:20" x14ac:dyDescent="0.2">
      <c r="A571" s="105" t="s">
        <v>732</v>
      </c>
      <c r="B571" s="106" t="s">
        <v>37</v>
      </c>
      <c r="C571" s="106" t="s">
        <v>322</v>
      </c>
      <c r="D571" s="106" t="s">
        <v>365</v>
      </c>
      <c r="E571" s="106" t="s">
        <v>37</v>
      </c>
      <c r="F571" s="107" t="s">
        <v>615</v>
      </c>
      <c r="G571" s="106" t="s">
        <v>369</v>
      </c>
      <c r="H571" s="106" t="s">
        <v>267</v>
      </c>
      <c r="I571" s="106" t="s">
        <v>11</v>
      </c>
      <c r="J571" s="106" t="s">
        <v>231</v>
      </c>
      <c r="K571" s="106"/>
      <c r="L571" s="108">
        <v>1.3</v>
      </c>
      <c r="M571" s="108">
        <f>L571*VLOOKUP(I571,dagsoorttabel1,2,FALSE)</f>
        <v>0.78</v>
      </c>
      <c r="N571" s="109">
        <f>prodnorm98</f>
        <v>0</v>
      </c>
      <c r="O571" s="106" t="s">
        <v>105</v>
      </c>
      <c r="P571" s="28">
        <f>uurtarief98</f>
        <v>0</v>
      </c>
      <c r="Q571" s="108" t="e">
        <f>IF(ISBLANK(N571),0,M571/ROUND(N571,4))</f>
        <v>#DIV/0!</v>
      </c>
      <c r="R571" s="28" t="e">
        <f>ROUND(P571,2)*Q571</f>
        <v>#DIV/0!</v>
      </c>
      <c r="S571" s="108" t="e">
        <f>Q571*dagenperjaar1</f>
        <v>#DIV/0!</v>
      </c>
      <c r="T571" s="29" t="e">
        <f>S571*ROUND(P571,2)</f>
        <v>#DIV/0!</v>
      </c>
    </row>
    <row r="572" spans="1:20" x14ac:dyDescent="0.2">
      <c r="A572" s="105" t="s">
        <v>732</v>
      </c>
      <c r="B572" s="106" t="s">
        <v>37</v>
      </c>
      <c r="C572" s="106" t="s">
        <v>322</v>
      </c>
      <c r="D572" s="106" t="s">
        <v>367</v>
      </c>
      <c r="E572" s="106" t="s">
        <v>37</v>
      </c>
      <c r="F572" s="107" t="s">
        <v>335</v>
      </c>
      <c r="G572" s="106" t="s">
        <v>331</v>
      </c>
      <c r="H572" s="106" t="s">
        <v>275</v>
      </c>
      <c r="I572" s="106" t="s">
        <v>11</v>
      </c>
      <c r="J572" s="106" t="s">
        <v>231</v>
      </c>
      <c r="K572" s="106"/>
      <c r="L572" s="108">
        <v>48.7</v>
      </c>
      <c r="M572" s="108">
        <f>L572*VLOOKUP(I572,dagsoorttabel1,2,FALSE)</f>
        <v>29.22</v>
      </c>
      <c r="N572" s="109">
        <f>prodnorm116</f>
        <v>0</v>
      </c>
      <c r="O572" s="106" t="s">
        <v>105</v>
      </c>
      <c r="P572" s="28">
        <f>uurtarief116</f>
        <v>0</v>
      </c>
      <c r="Q572" s="108" t="e">
        <f>IF(ISBLANK(N572),0,M572/ROUND(N572,4))</f>
        <v>#DIV/0!</v>
      </c>
      <c r="R572" s="28" t="e">
        <f>ROUND(P572,2)*Q572</f>
        <v>#DIV/0!</v>
      </c>
      <c r="S572" s="108" t="e">
        <f>Q572*dagenperjaar1</f>
        <v>#DIV/0!</v>
      </c>
      <c r="T572" s="29" t="e">
        <f>S572*ROUND(P572,2)</f>
        <v>#DIV/0!</v>
      </c>
    </row>
    <row r="573" spans="1:20" x14ac:dyDescent="0.2">
      <c r="A573" s="105" t="s">
        <v>732</v>
      </c>
      <c r="B573" s="106" t="s">
        <v>37</v>
      </c>
      <c r="C573" s="106" t="s">
        <v>322</v>
      </c>
      <c r="D573" s="106" t="s">
        <v>370</v>
      </c>
      <c r="E573" s="106" t="s">
        <v>37</v>
      </c>
      <c r="F573" s="107" t="s">
        <v>654</v>
      </c>
      <c r="G573" s="106" t="s">
        <v>358</v>
      </c>
      <c r="H573" s="106" t="s">
        <v>290</v>
      </c>
      <c r="I573" s="106" t="s">
        <v>11</v>
      </c>
      <c r="J573" s="106" t="s">
        <v>231</v>
      </c>
      <c r="K573" s="106"/>
      <c r="L573" s="108">
        <v>6</v>
      </c>
      <c r="M573" s="108">
        <f>L573*VLOOKUP(I573,dagsoorttabel1,2,FALSE)</f>
        <v>3.5999999999999996</v>
      </c>
      <c r="N573" s="109">
        <f>prodnorm144</f>
        <v>0</v>
      </c>
      <c r="O573" s="106" t="s">
        <v>105</v>
      </c>
      <c r="P573" s="28">
        <f>uurtarief144</f>
        <v>0</v>
      </c>
      <c r="Q573" s="108" t="e">
        <f>IF(ISBLANK(N573),0,M573/ROUND(N573,4))</f>
        <v>#DIV/0!</v>
      </c>
      <c r="R573" s="28" t="e">
        <f>ROUND(P573,2)*Q573</f>
        <v>#DIV/0!</v>
      </c>
      <c r="S573" s="108" t="e">
        <f>Q573*dagenperjaar1</f>
        <v>#DIV/0!</v>
      </c>
      <c r="T573" s="29" t="e">
        <f>S573*ROUND(P573,2)</f>
        <v>#DIV/0!</v>
      </c>
    </row>
    <row r="574" spans="1:20" x14ac:dyDescent="0.2">
      <c r="A574" s="105" t="s">
        <v>732</v>
      </c>
      <c r="B574" s="106" t="s">
        <v>37</v>
      </c>
      <c r="C574" s="106" t="s">
        <v>623</v>
      </c>
      <c r="D574" s="106" t="s">
        <v>323</v>
      </c>
      <c r="E574" s="106" t="s">
        <v>37</v>
      </c>
      <c r="F574" s="107" t="s">
        <v>335</v>
      </c>
      <c r="G574" s="106" t="s">
        <v>677</v>
      </c>
      <c r="H574" s="106" t="s">
        <v>273</v>
      </c>
      <c r="I574" s="106" t="s">
        <v>14</v>
      </c>
      <c r="J574" s="106" t="s">
        <v>231</v>
      </c>
      <c r="K574" s="106"/>
      <c r="L574" s="108">
        <v>3.25</v>
      </c>
      <c r="M574" s="108">
        <f>L574*VLOOKUP(I574,dagsoorttabel1,2,FALSE)</f>
        <v>0.33137254901960783</v>
      </c>
      <c r="N574" s="109">
        <f>prodnorm107</f>
        <v>0</v>
      </c>
      <c r="O574" s="106" t="s">
        <v>105</v>
      </c>
      <c r="P574" s="28">
        <f>uurtarief107</f>
        <v>0</v>
      </c>
      <c r="Q574" s="108" t="e">
        <f>IF(ISBLANK(N574),0,M574/ROUND(N574,4))</f>
        <v>#DIV/0!</v>
      </c>
      <c r="R574" s="28" t="e">
        <f>ROUND(P574,2)*Q574</f>
        <v>#DIV/0!</v>
      </c>
      <c r="S574" s="108" t="e">
        <f>Q574*dagenperjaar1</f>
        <v>#DIV/0!</v>
      </c>
      <c r="T574" s="29" t="e">
        <f>S574*ROUND(P574,2)</f>
        <v>#DIV/0!</v>
      </c>
    </row>
    <row r="575" spans="1:20" x14ac:dyDescent="0.2">
      <c r="A575" s="105" t="s">
        <v>732</v>
      </c>
      <c r="B575" s="106" t="s">
        <v>37</v>
      </c>
      <c r="C575" s="106" t="s">
        <v>623</v>
      </c>
      <c r="D575" s="106" t="s">
        <v>326</v>
      </c>
      <c r="E575" s="106" t="s">
        <v>37</v>
      </c>
      <c r="F575" s="107" t="s">
        <v>718</v>
      </c>
      <c r="G575" s="106" t="s">
        <v>677</v>
      </c>
      <c r="H575" s="106" t="s">
        <v>267</v>
      </c>
      <c r="I575" s="106" t="s">
        <v>14</v>
      </c>
      <c r="J575" s="106" t="s">
        <v>231</v>
      </c>
      <c r="K575" s="106"/>
      <c r="L575" s="108">
        <v>1.04</v>
      </c>
      <c r="M575" s="108">
        <f>L575*VLOOKUP(I575,dagsoorttabel1,2,FALSE)</f>
        <v>0.10603921568627452</v>
      </c>
      <c r="N575" s="109">
        <f>prodnorm95</f>
        <v>0</v>
      </c>
      <c r="O575" s="106" t="s">
        <v>105</v>
      </c>
      <c r="P575" s="28">
        <f>uurtarief95</f>
        <v>0</v>
      </c>
      <c r="Q575" s="108" t="e">
        <f>IF(ISBLANK(N575),0,M575/ROUND(N575,4))</f>
        <v>#DIV/0!</v>
      </c>
      <c r="R575" s="28" t="e">
        <f>ROUND(P575,2)*Q575</f>
        <v>#DIV/0!</v>
      </c>
      <c r="S575" s="108" t="e">
        <f>Q575*dagenperjaar1</f>
        <v>#DIV/0!</v>
      </c>
      <c r="T575" s="29" t="e">
        <f>S575*ROUND(P575,2)</f>
        <v>#DIV/0!</v>
      </c>
    </row>
    <row r="576" spans="1:20" x14ac:dyDescent="0.2">
      <c r="A576" s="105" t="s">
        <v>732</v>
      </c>
      <c r="B576" s="106" t="s">
        <v>37</v>
      </c>
      <c r="C576" s="106" t="s">
        <v>623</v>
      </c>
      <c r="D576" s="106" t="s">
        <v>332</v>
      </c>
      <c r="E576" s="106" t="s">
        <v>37</v>
      </c>
      <c r="F576" s="107" t="s">
        <v>738</v>
      </c>
      <c r="G576" s="106" t="s">
        <v>632</v>
      </c>
      <c r="H576" s="106" t="s">
        <v>257</v>
      </c>
      <c r="I576" s="106" t="s">
        <v>14</v>
      </c>
      <c r="J576" s="106" t="s">
        <v>231</v>
      </c>
      <c r="K576" s="106"/>
      <c r="L576" s="108">
        <v>37.39</v>
      </c>
      <c r="M576" s="108">
        <f>L576*VLOOKUP(I576,dagsoorttabel1,2,FALSE)</f>
        <v>3.812313725490196</v>
      </c>
      <c r="N576" s="109">
        <f>prodnorm75</f>
        <v>0</v>
      </c>
      <c r="O576" s="106" t="s">
        <v>105</v>
      </c>
      <c r="P576" s="28">
        <f>uurtarief75</f>
        <v>0</v>
      </c>
      <c r="Q576" s="108" t="e">
        <f>IF(ISBLANK(N576),0,M576/ROUND(N576,4))</f>
        <v>#DIV/0!</v>
      </c>
      <c r="R576" s="28" t="e">
        <f>ROUND(P576,2)*Q576</f>
        <v>#DIV/0!</v>
      </c>
      <c r="S576" s="108" t="e">
        <f>Q576*dagenperjaar1</f>
        <v>#DIV/0!</v>
      </c>
      <c r="T576" s="29" t="e">
        <f>S576*ROUND(P576,2)</f>
        <v>#DIV/0!</v>
      </c>
    </row>
    <row r="577" spans="1:20" x14ac:dyDescent="0.2">
      <c r="A577" s="105" t="s">
        <v>732</v>
      </c>
      <c r="B577" s="106" t="s">
        <v>37</v>
      </c>
      <c r="C577" s="106" t="s">
        <v>623</v>
      </c>
      <c r="D577" s="106" t="s">
        <v>739</v>
      </c>
      <c r="E577" s="106" t="s">
        <v>37</v>
      </c>
      <c r="F577" s="107" t="s">
        <v>355</v>
      </c>
      <c r="G577" s="106" t="s">
        <v>677</v>
      </c>
      <c r="H577" s="106" t="s">
        <v>255</v>
      </c>
      <c r="I577" s="106" t="s">
        <v>14</v>
      </c>
      <c r="J577" s="106" t="s">
        <v>231</v>
      </c>
      <c r="K577" s="106"/>
      <c r="L577" s="108">
        <v>4.67</v>
      </c>
      <c r="M577" s="108">
        <f>L577*VLOOKUP(I577,dagsoorttabel1,2,FALSE)</f>
        <v>0.47615686274509805</v>
      </c>
      <c r="N577" s="109">
        <f>prodnorm70</f>
        <v>0</v>
      </c>
      <c r="O577" s="106" t="s">
        <v>105</v>
      </c>
      <c r="P577" s="28">
        <f>uurtarief70</f>
        <v>0</v>
      </c>
      <c r="Q577" s="108" t="e">
        <f>IF(ISBLANK(N577),0,M577/ROUND(N577,4))</f>
        <v>#DIV/0!</v>
      </c>
      <c r="R577" s="28" t="e">
        <f>ROUND(P577,2)*Q577</f>
        <v>#DIV/0!</v>
      </c>
      <c r="S577" s="108" t="e">
        <f>Q577*dagenperjaar1</f>
        <v>#DIV/0!</v>
      </c>
      <c r="T577" s="29" t="e">
        <f>S577*ROUND(P577,2)</f>
        <v>#DIV/0!</v>
      </c>
    </row>
    <row r="578" spans="1:20" x14ac:dyDescent="0.2">
      <c r="A578" s="105" t="s">
        <v>732</v>
      </c>
      <c r="B578" s="106" t="s">
        <v>37</v>
      </c>
      <c r="C578" s="106" t="s">
        <v>623</v>
      </c>
      <c r="D578" s="106" t="s">
        <v>740</v>
      </c>
      <c r="E578" s="106" t="s">
        <v>37</v>
      </c>
      <c r="F578" s="107" t="s">
        <v>741</v>
      </c>
      <c r="G578" s="106" t="s">
        <v>677</v>
      </c>
      <c r="H578" s="106" t="s">
        <v>235</v>
      </c>
      <c r="I578" s="106" t="s">
        <v>14</v>
      </c>
      <c r="J578" s="106" t="s">
        <v>231</v>
      </c>
      <c r="K578" s="106"/>
      <c r="L578" s="108">
        <v>5</v>
      </c>
      <c r="M578" s="108">
        <f>L578*VLOOKUP(I578,dagsoorttabel1,2,FALSE)</f>
        <v>0.50980392156862742</v>
      </c>
      <c r="N578" s="109">
        <f>prodnorm36</f>
        <v>0</v>
      </c>
      <c r="O578" s="106" t="s">
        <v>105</v>
      </c>
      <c r="P578" s="28">
        <f>uurtarief36</f>
        <v>0</v>
      </c>
      <c r="Q578" s="108" t="e">
        <f>IF(ISBLANK(N578),0,M578/ROUND(N578,4))</f>
        <v>#DIV/0!</v>
      </c>
      <c r="R578" s="28" t="e">
        <f>ROUND(P578,2)*Q578</f>
        <v>#DIV/0!</v>
      </c>
      <c r="S578" s="108" t="e">
        <f>Q578*dagenperjaar1</f>
        <v>#DIV/0!</v>
      </c>
      <c r="T578" s="29" t="e">
        <f>S578*ROUND(P578,2)</f>
        <v>#DIV/0!</v>
      </c>
    </row>
    <row r="579" spans="1:20" x14ac:dyDescent="0.2">
      <c r="A579" s="110" t="s">
        <v>732</v>
      </c>
      <c r="B579" s="111" t="s">
        <v>37</v>
      </c>
      <c r="C579" s="111" t="s">
        <v>544</v>
      </c>
      <c r="D579" s="111" t="s">
        <v>37</v>
      </c>
      <c r="E579" s="111" t="s">
        <v>37</v>
      </c>
      <c r="F579" s="112" t="s">
        <v>545</v>
      </c>
      <c r="G579" s="111" t="s">
        <v>37</v>
      </c>
      <c r="H579" s="111" t="s">
        <v>302</v>
      </c>
      <c r="I579" s="111" t="s">
        <v>15</v>
      </c>
      <c r="J579" s="111" t="s">
        <v>299</v>
      </c>
      <c r="K579" s="111"/>
      <c r="L579" s="113">
        <v>1</v>
      </c>
      <c r="M579" s="113">
        <f>L579*VLOOKUP(I579,dagsoorttabel1,2,FALSE)</f>
        <v>4.7058823529411764E-2</v>
      </c>
      <c r="N579" s="114">
        <f>prodnorm24</f>
        <v>0</v>
      </c>
      <c r="O579" s="111" t="s">
        <v>301</v>
      </c>
      <c r="P579" s="38">
        <f>uurtarief24</f>
        <v>0</v>
      </c>
      <c r="Q579" s="113">
        <f>M579*ROUND(N579,4)/60</f>
        <v>0</v>
      </c>
      <c r="R579" s="38">
        <f>ROUND(P579,2)*Q579</f>
        <v>0</v>
      </c>
      <c r="S579" s="113">
        <f>Q579*dagenperjaar1</f>
        <v>0</v>
      </c>
      <c r="T579" s="39">
        <f>S579*ROUND(P579,2)</f>
        <v>0</v>
      </c>
    </row>
    <row r="580" spans="1:20" x14ac:dyDescent="0.2">
      <c r="A580" s="115" t="s">
        <v>546</v>
      </c>
      <c r="B580" s="83"/>
      <c r="C580" s="83"/>
      <c r="D580" s="83"/>
      <c r="E580" s="83"/>
      <c r="F580" s="83"/>
      <c r="G580" s="83"/>
      <c r="H580" s="83"/>
      <c r="I580" s="83"/>
      <c r="J580" s="83"/>
      <c r="K580" s="83"/>
      <c r="L580" s="83"/>
      <c r="M580" s="83"/>
      <c r="N580" s="83"/>
      <c r="O580" s="83"/>
      <c r="P580" s="85" t="e">
        <f>IF(_xlfn.SINGLE(object21_urenjaar1)&gt;0,_xlfn.SINGLE(object21_prijsjaar1)/_xlfn.SINGLE(object21_urenjaar1),0)</f>
        <v>#DIV/0!</v>
      </c>
      <c r="Q580" s="84" t="e">
        <f>SUM(Q548:Q579)</f>
        <v>#DIV/0!</v>
      </c>
      <c r="R580" s="85" t="e">
        <f>SUM(R548:R579)</f>
        <v>#DIV/0!</v>
      </c>
      <c r="S580" s="84" t="e">
        <f>SUM(S548:S579)</f>
        <v>#DIV/0!</v>
      </c>
      <c r="T580" s="86" t="e">
        <f>SUM(T548:T579)</f>
        <v>#DIV/0!</v>
      </c>
    </row>
    <row r="581" spans="1:20" x14ac:dyDescent="0.2">
      <c r="A581" s="91" t="s">
        <v>742</v>
      </c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81"/>
    </row>
    <row r="582" spans="1:20" x14ac:dyDescent="0.2">
      <c r="A582" s="98" t="s">
        <v>743</v>
      </c>
      <c r="B582" s="99" t="s">
        <v>37</v>
      </c>
      <c r="C582" s="99" t="s">
        <v>322</v>
      </c>
      <c r="D582" s="99" t="s">
        <v>323</v>
      </c>
      <c r="E582" s="99" t="s">
        <v>37</v>
      </c>
      <c r="F582" s="100" t="s">
        <v>592</v>
      </c>
      <c r="G582" s="99" t="s">
        <v>369</v>
      </c>
      <c r="H582" s="99" t="s">
        <v>279</v>
      </c>
      <c r="I582" s="99" t="s">
        <v>13</v>
      </c>
      <c r="J582" s="99" t="s">
        <v>231</v>
      </c>
      <c r="K582" s="99"/>
      <c r="L582" s="101">
        <v>9.8000000000000007</v>
      </c>
      <c r="M582" s="101">
        <f>L582*VLOOKUP(I582,dagsoorttabel1,2,FALSE)</f>
        <v>1.9600000000000002</v>
      </c>
      <c r="N582" s="102">
        <f>prodnorm120</f>
        <v>0</v>
      </c>
      <c r="O582" s="99" t="s">
        <v>105</v>
      </c>
      <c r="P582" s="103">
        <f>uurtarief120</f>
        <v>0</v>
      </c>
      <c r="Q582" s="101" t="e">
        <f>IF(ISBLANK(N582),0,M582/ROUND(N582,4))</f>
        <v>#DIV/0!</v>
      </c>
      <c r="R582" s="103" t="e">
        <f>ROUND(P582,2)*Q582</f>
        <v>#DIV/0!</v>
      </c>
      <c r="S582" s="101" t="e">
        <f>Q582*dagenperjaar1</f>
        <v>#DIV/0!</v>
      </c>
      <c r="T582" s="104" t="e">
        <f>S582*ROUND(P582,2)</f>
        <v>#DIV/0!</v>
      </c>
    </row>
    <row r="583" spans="1:20" x14ac:dyDescent="0.2">
      <c r="A583" s="105" t="s">
        <v>743</v>
      </c>
      <c r="B583" s="106" t="s">
        <v>37</v>
      </c>
      <c r="C583" s="106" t="s">
        <v>322</v>
      </c>
      <c r="D583" s="106" t="s">
        <v>326</v>
      </c>
      <c r="E583" s="106" t="s">
        <v>37</v>
      </c>
      <c r="F583" s="107" t="s">
        <v>618</v>
      </c>
      <c r="G583" s="106" t="s">
        <v>325</v>
      </c>
      <c r="H583" s="106" t="s">
        <v>235</v>
      </c>
      <c r="I583" s="106" t="s">
        <v>13</v>
      </c>
      <c r="J583" s="106" t="s">
        <v>231</v>
      </c>
      <c r="K583" s="106"/>
      <c r="L583" s="108">
        <v>17.5</v>
      </c>
      <c r="M583" s="108">
        <f>L583*VLOOKUP(I583,dagsoorttabel1,2,FALSE)</f>
        <v>3.5</v>
      </c>
      <c r="N583" s="109">
        <f>prodnorm35</f>
        <v>0</v>
      </c>
      <c r="O583" s="106" t="s">
        <v>105</v>
      </c>
      <c r="P583" s="28">
        <f>uurtarief35</f>
        <v>0</v>
      </c>
      <c r="Q583" s="108" t="e">
        <f>IF(ISBLANK(N583),0,M583/ROUND(N583,4))</f>
        <v>#DIV/0!</v>
      </c>
      <c r="R583" s="28" t="e">
        <f>ROUND(P583,2)*Q583</f>
        <v>#DIV/0!</v>
      </c>
      <c r="S583" s="108" t="e">
        <f>Q583*dagenperjaar1</f>
        <v>#DIV/0!</v>
      </c>
      <c r="T583" s="29" t="e">
        <f>S583*ROUND(P583,2)</f>
        <v>#DIV/0!</v>
      </c>
    </row>
    <row r="584" spans="1:20" x14ac:dyDescent="0.2">
      <c r="A584" s="105" t="s">
        <v>743</v>
      </c>
      <c r="B584" s="106" t="s">
        <v>37</v>
      </c>
      <c r="C584" s="106" t="s">
        <v>322</v>
      </c>
      <c r="D584" s="106" t="s">
        <v>329</v>
      </c>
      <c r="E584" s="106" t="s">
        <v>37</v>
      </c>
      <c r="F584" s="107" t="s">
        <v>307</v>
      </c>
      <c r="G584" s="106" t="s">
        <v>325</v>
      </c>
      <c r="H584" s="106" t="s">
        <v>306</v>
      </c>
      <c r="I584" s="106" t="s">
        <v>13</v>
      </c>
      <c r="J584" s="106" t="s">
        <v>299</v>
      </c>
      <c r="K584" s="106"/>
      <c r="L584" s="108">
        <v>33.200000000000003</v>
      </c>
      <c r="M584" s="108">
        <f>L584*VLOOKUP(I584,dagsoorttabel1,2,FALSE)</f>
        <v>6.6400000000000006</v>
      </c>
      <c r="N584" s="109">
        <f>prodnorm26</f>
        <v>0</v>
      </c>
      <c r="O584" s="106" t="s">
        <v>105</v>
      </c>
      <c r="P584" s="28">
        <f>uurtarief26</f>
        <v>0</v>
      </c>
      <c r="Q584" s="108" t="e">
        <f>IF(ISBLANK(N584),0,M584/ROUND(N584,4))</f>
        <v>#DIV/0!</v>
      </c>
      <c r="R584" s="28" t="e">
        <f>ROUND(P584,2)*Q584</f>
        <v>#DIV/0!</v>
      </c>
      <c r="S584" s="108" t="e">
        <f>Q584*dagenperjaar1</f>
        <v>#DIV/0!</v>
      </c>
      <c r="T584" s="29" t="e">
        <f>S584*ROUND(P584,2)</f>
        <v>#DIV/0!</v>
      </c>
    </row>
    <row r="585" spans="1:20" x14ac:dyDescent="0.2">
      <c r="A585" s="105" t="s">
        <v>743</v>
      </c>
      <c r="B585" s="106" t="s">
        <v>37</v>
      </c>
      <c r="C585" s="106" t="s">
        <v>322</v>
      </c>
      <c r="D585" s="106" t="s">
        <v>332</v>
      </c>
      <c r="E585" s="106" t="s">
        <v>37</v>
      </c>
      <c r="F585" s="107" t="s">
        <v>719</v>
      </c>
      <c r="G585" s="106" t="s">
        <v>644</v>
      </c>
      <c r="H585" s="106" t="s">
        <v>235</v>
      </c>
      <c r="I585" s="106" t="s">
        <v>13</v>
      </c>
      <c r="J585" s="106" t="s">
        <v>231</v>
      </c>
      <c r="K585" s="106"/>
      <c r="L585" s="108">
        <v>8.1999999999999993</v>
      </c>
      <c r="M585" s="108">
        <f>L585*VLOOKUP(I585,dagsoorttabel1,2,FALSE)</f>
        <v>1.64</v>
      </c>
      <c r="N585" s="109">
        <f>prodnorm35</f>
        <v>0</v>
      </c>
      <c r="O585" s="106" t="s">
        <v>105</v>
      </c>
      <c r="P585" s="28">
        <f>uurtarief35</f>
        <v>0</v>
      </c>
      <c r="Q585" s="108" t="e">
        <f>IF(ISBLANK(N585),0,M585/ROUND(N585,4))</f>
        <v>#DIV/0!</v>
      </c>
      <c r="R585" s="28" t="e">
        <f>ROUND(P585,2)*Q585</f>
        <v>#DIV/0!</v>
      </c>
      <c r="S585" s="108" t="e">
        <f>Q585*dagenperjaar1</f>
        <v>#DIV/0!</v>
      </c>
      <c r="T585" s="29" t="e">
        <f>S585*ROUND(P585,2)</f>
        <v>#DIV/0!</v>
      </c>
    </row>
    <row r="586" spans="1:20" x14ac:dyDescent="0.2">
      <c r="A586" s="105" t="s">
        <v>743</v>
      </c>
      <c r="B586" s="106" t="s">
        <v>37</v>
      </c>
      <c r="C586" s="106" t="s">
        <v>322</v>
      </c>
      <c r="D586" s="106" t="s">
        <v>334</v>
      </c>
      <c r="E586" s="106" t="s">
        <v>37</v>
      </c>
      <c r="F586" s="107" t="s">
        <v>454</v>
      </c>
      <c r="G586" s="106" t="s">
        <v>369</v>
      </c>
      <c r="H586" s="106" t="s">
        <v>273</v>
      </c>
      <c r="I586" s="106" t="s">
        <v>13</v>
      </c>
      <c r="J586" s="106" t="s">
        <v>231</v>
      </c>
      <c r="K586" s="106"/>
      <c r="L586" s="108">
        <v>2</v>
      </c>
      <c r="M586" s="108">
        <f>L586*VLOOKUP(I586,dagsoorttabel1,2,FALSE)</f>
        <v>0.4</v>
      </c>
      <c r="N586" s="109">
        <f>prodnorm106</f>
        <v>0</v>
      </c>
      <c r="O586" s="106" t="s">
        <v>105</v>
      </c>
      <c r="P586" s="28">
        <f>uurtarief106</f>
        <v>0</v>
      </c>
      <c r="Q586" s="108" t="e">
        <f>IF(ISBLANK(N586),0,M586/ROUND(N586,4))</f>
        <v>#DIV/0!</v>
      </c>
      <c r="R586" s="28" t="e">
        <f>ROUND(P586,2)*Q586</f>
        <v>#DIV/0!</v>
      </c>
      <c r="S586" s="108" t="e">
        <f>Q586*dagenperjaar1</f>
        <v>#DIV/0!</v>
      </c>
      <c r="T586" s="29" t="e">
        <f>S586*ROUND(P586,2)</f>
        <v>#DIV/0!</v>
      </c>
    </row>
    <row r="587" spans="1:20" x14ac:dyDescent="0.2">
      <c r="A587" s="105" t="s">
        <v>743</v>
      </c>
      <c r="B587" s="106" t="s">
        <v>37</v>
      </c>
      <c r="C587" s="106" t="s">
        <v>322</v>
      </c>
      <c r="D587" s="106" t="s">
        <v>336</v>
      </c>
      <c r="E587" s="106" t="s">
        <v>37</v>
      </c>
      <c r="F587" s="107" t="s">
        <v>371</v>
      </c>
      <c r="G587" s="106" t="s">
        <v>369</v>
      </c>
      <c r="H587" s="106" t="s">
        <v>253</v>
      </c>
      <c r="I587" s="106" t="s">
        <v>13</v>
      </c>
      <c r="J587" s="106" t="s">
        <v>231</v>
      </c>
      <c r="K587" s="106"/>
      <c r="L587" s="108">
        <v>16.5</v>
      </c>
      <c r="M587" s="108">
        <f>L587*VLOOKUP(I587,dagsoorttabel1,2,FALSE)</f>
        <v>3.3000000000000003</v>
      </c>
      <c r="N587" s="109">
        <f>prodnorm64</f>
        <v>0</v>
      </c>
      <c r="O587" s="106" t="s">
        <v>105</v>
      </c>
      <c r="P587" s="28">
        <f>uurtarief64</f>
        <v>0</v>
      </c>
      <c r="Q587" s="108" t="e">
        <f>IF(ISBLANK(N587),0,M587/ROUND(N587,4))</f>
        <v>#DIV/0!</v>
      </c>
      <c r="R587" s="28" t="e">
        <f>ROUND(P587,2)*Q587</f>
        <v>#DIV/0!</v>
      </c>
      <c r="S587" s="108" t="e">
        <f>Q587*dagenperjaar1</f>
        <v>#DIV/0!</v>
      </c>
      <c r="T587" s="29" t="e">
        <f>S587*ROUND(P587,2)</f>
        <v>#DIV/0!</v>
      </c>
    </row>
    <row r="588" spans="1:20" x14ac:dyDescent="0.2">
      <c r="A588" s="105" t="s">
        <v>743</v>
      </c>
      <c r="B588" s="106" t="s">
        <v>37</v>
      </c>
      <c r="C588" s="106" t="s">
        <v>322</v>
      </c>
      <c r="D588" s="106" t="s">
        <v>338</v>
      </c>
      <c r="E588" s="106" t="s">
        <v>37</v>
      </c>
      <c r="F588" s="107" t="s">
        <v>590</v>
      </c>
      <c r="G588" s="106" t="s">
        <v>369</v>
      </c>
      <c r="H588" s="106" t="s">
        <v>265</v>
      </c>
      <c r="I588" s="106" t="s">
        <v>13</v>
      </c>
      <c r="J588" s="106" t="s">
        <v>231</v>
      </c>
      <c r="K588" s="106"/>
      <c r="L588" s="108">
        <v>15.6</v>
      </c>
      <c r="M588" s="108">
        <f>L588*VLOOKUP(I588,dagsoorttabel1,2,FALSE)</f>
        <v>3.12</v>
      </c>
      <c r="N588" s="109">
        <f>prodnorm88</f>
        <v>0</v>
      </c>
      <c r="O588" s="106" t="s">
        <v>105</v>
      </c>
      <c r="P588" s="28">
        <f>uurtarief88</f>
        <v>0</v>
      </c>
      <c r="Q588" s="108" t="e">
        <f>IF(ISBLANK(N588),0,M588/ROUND(N588,4))</f>
        <v>#DIV/0!</v>
      </c>
      <c r="R588" s="28" t="e">
        <f>ROUND(P588,2)*Q588</f>
        <v>#DIV/0!</v>
      </c>
      <c r="S588" s="108" t="e">
        <f>Q588*dagenperjaar1</f>
        <v>#DIV/0!</v>
      </c>
      <c r="T588" s="29" t="e">
        <f>S588*ROUND(P588,2)</f>
        <v>#DIV/0!</v>
      </c>
    </row>
    <row r="589" spans="1:20" x14ac:dyDescent="0.2">
      <c r="A589" s="105" t="s">
        <v>743</v>
      </c>
      <c r="B589" s="106" t="s">
        <v>37</v>
      </c>
      <c r="C589" s="106" t="s">
        <v>322</v>
      </c>
      <c r="D589" s="106" t="s">
        <v>339</v>
      </c>
      <c r="E589" s="106" t="s">
        <v>37</v>
      </c>
      <c r="F589" s="107" t="s">
        <v>335</v>
      </c>
      <c r="G589" s="106" t="s">
        <v>369</v>
      </c>
      <c r="H589" s="106" t="s">
        <v>273</v>
      </c>
      <c r="I589" s="106" t="s">
        <v>13</v>
      </c>
      <c r="J589" s="106" t="s">
        <v>231</v>
      </c>
      <c r="K589" s="106"/>
      <c r="L589" s="108">
        <v>6.7</v>
      </c>
      <c r="M589" s="108">
        <f>L589*VLOOKUP(I589,dagsoorttabel1,2,FALSE)</f>
        <v>1.34</v>
      </c>
      <c r="N589" s="109">
        <f>prodnorm106</f>
        <v>0</v>
      </c>
      <c r="O589" s="106" t="s">
        <v>105</v>
      </c>
      <c r="P589" s="28">
        <f>uurtarief106</f>
        <v>0</v>
      </c>
      <c r="Q589" s="108" t="e">
        <f>IF(ISBLANK(N589),0,M589/ROUND(N589,4))</f>
        <v>#DIV/0!</v>
      </c>
      <c r="R589" s="28" t="e">
        <f>ROUND(P589,2)*Q589</f>
        <v>#DIV/0!</v>
      </c>
      <c r="S589" s="108" t="e">
        <f>Q589*dagenperjaar1</f>
        <v>#DIV/0!</v>
      </c>
      <c r="T589" s="29" t="e">
        <f>S589*ROUND(P589,2)</f>
        <v>#DIV/0!</v>
      </c>
    </row>
    <row r="590" spans="1:20" x14ac:dyDescent="0.2">
      <c r="A590" s="105" t="s">
        <v>743</v>
      </c>
      <c r="B590" s="106" t="s">
        <v>37</v>
      </c>
      <c r="C590" s="106" t="s">
        <v>322</v>
      </c>
      <c r="D590" s="106" t="s">
        <v>342</v>
      </c>
      <c r="E590" s="106" t="s">
        <v>37</v>
      </c>
      <c r="F590" s="107" t="s">
        <v>592</v>
      </c>
      <c r="G590" s="106" t="s">
        <v>593</v>
      </c>
      <c r="H590" s="106" t="s">
        <v>279</v>
      </c>
      <c r="I590" s="106" t="s">
        <v>13</v>
      </c>
      <c r="J590" s="106" t="s">
        <v>231</v>
      </c>
      <c r="K590" s="106"/>
      <c r="L590" s="108">
        <v>1</v>
      </c>
      <c r="M590" s="108">
        <f>L590*VLOOKUP(I590,dagsoorttabel1,2,FALSE)</f>
        <v>0.2</v>
      </c>
      <c r="N590" s="109">
        <f>prodnorm120</f>
        <v>0</v>
      </c>
      <c r="O590" s="106" t="s">
        <v>105</v>
      </c>
      <c r="P590" s="28">
        <f>uurtarief120</f>
        <v>0</v>
      </c>
      <c r="Q590" s="108" t="e">
        <f>IF(ISBLANK(N590),0,M590/ROUND(N590,4))</f>
        <v>#DIV/0!</v>
      </c>
      <c r="R590" s="28" t="e">
        <f>ROUND(P590,2)*Q590</f>
        <v>#DIV/0!</v>
      </c>
      <c r="S590" s="108" t="e">
        <f>Q590*dagenperjaar1</f>
        <v>#DIV/0!</v>
      </c>
      <c r="T590" s="29" t="e">
        <f>S590*ROUND(P590,2)</f>
        <v>#DIV/0!</v>
      </c>
    </row>
    <row r="591" spans="1:20" x14ac:dyDescent="0.2">
      <c r="A591" s="105" t="s">
        <v>743</v>
      </c>
      <c r="B591" s="106" t="s">
        <v>37</v>
      </c>
      <c r="C591" s="106" t="s">
        <v>322</v>
      </c>
      <c r="D591" s="106" t="s">
        <v>344</v>
      </c>
      <c r="E591" s="106" t="s">
        <v>37</v>
      </c>
      <c r="F591" s="107" t="s">
        <v>615</v>
      </c>
      <c r="G591" s="106" t="s">
        <v>369</v>
      </c>
      <c r="H591" s="106" t="s">
        <v>267</v>
      </c>
      <c r="I591" s="106" t="s">
        <v>13</v>
      </c>
      <c r="J591" s="106" t="s">
        <v>231</v>
      </c>
      <c r="K591" s="106"/>
      <c r="L591" s="108">
        <v>7.6</v>
      </c>
      <c r="M591" s="108">
        <f>L591*VLOOKUP(I591,dagsoorttabel1,2,FALSE)</f>
        <v>1.52</v>
      </c>
      <c r="N591" s="109">
        <f>prodnorm94</f>
        <v>0</v>
      </c>
      <c r="O591" s="106" t="s">
        <v>105</v>
      </c>
      <c r="P591" s="28">
        <f>uurtarief94</f>
        <v>0</v>
      </c>
      <c r="Q591" s="108" t="e">
        <f>IF(ISBLANK(N591),0,M591/ROUND(N591,4))</f>
        <v>#DIV/0!</v>
      </c>
      <c r="R591" s="28" t="e">
        <f>ROUND(P591,2)*Q591</f>
        <v>#DIV/0!</v>
      </c>
      <c r="S591" s="108" t="e">
        <f>Q591*dagenperjaar1</f>
        <v>#DIV/0!</v>
      </c>
      <c r="T591" s="29" t="e">
        <f>S591*ROUND(P591,2)</f>
        <v>#DIV/0!</v>
      </c>
    </row>
    <row r="592" spans="1:20" x14ac:dyDescent="0.2">
      <c r="A592" s="105" t="s">
        <v>743</v>
      </c>
      <c r="B592" s="106" t="s">
        <v>37</v>
      </c>
      <c r="C592" s="106" t="s">
        <v>322</v>
      </c>
      <c r="D592" s="106" t="s">
        <v>347</v>
      </c>
      <c r="E592" s="106" t="s">
        <v>37</v>
      </c>
      <c r="F592" s="107" t="s">
        <v>574</v>
      </c>
      <c r="G592" s="106" t="s">
        <v>369</v>
      </c>
      <c r="H592" s="106" t="s">
        <v>249</v>
      </c>
      <c r="I592" s="106" t="s">
        <v>13</v>
      </c>
      <c r="J592" s="106" t="s">
        <v>231</v>
      </c>
      <c r="K592" s="106"/>
      <c r="L592" s="108">
        <v>8.5</v>
      </c>
      <c r="M592" s="108">
        <f>L592*VLOOKUP(I592,dagsoorttabel1,2,FALSE)</f>
        <v>1.7000000000000002</v>
      </c>
      <c r="N592" s="109">
        <f>prodnorm55</f>
        <v>0</v>
      </c>
      <c r="O592" s="106" t="s">
        <v>105</v>
      </c>
      <c r="P592" s="28">
        <f>uurtarief55</f>
        <v>0</v>
      </c>
      <c r="Q592" s="108" t="e">
        <f>IF(ISBLANK(N592),0,M592/ROUND(N592,4))</f>
        <v>#DIV/0!</v>
      </c>
      <c r="R592" s="28" t="e">
        <f>ROUND(P592,2)*Q592</f>
        <v>#DIV/0!</v>
      </c>
      <c r="S592" s="108" t="e">
        <f>Q592*dagenperjaar1</f>
        <v>#DIV/0!</v>
      </c>
      <c r="T592" s="29" t="e">
        <f>S592*ROUND(P592,2)</f>
        <v>#DIV/0!</v>
      </c>
    </row>
    <row r="593" spans="1:20" x14ac:dyDescent="0.2">
      <c r="A593" s="110" t="s">
        <v>743</v>
      </c>
      <c r="B593" s="111" t="s">
        <v>37</v>
      </c>
      <c r="C593" s="111" t="s">
        <v>544</v>
      </c>
      <c r="D593" s="111" t="s">
        <v>37</v>
      </c>
      <c r="E593" s="111" t="s">
        <v>37</v>
      </c>
      <c r="F593" s="112" t="s">
        <v>545</v>
      </c>
      <c r="G593" s="111" t="s">
        <v>37</v>
      </c>
      <c r="H593" s="111" t="s">
        <v>302</v>
      </c>
      <c r="I593" s="111" t="s">
        <v>15</v>
      </c>
      <c r="J593" s="111" t="s">
        <v>299</v>
      </c>
      <c r="K593" s="111"/>
      <c r="L593" s="113">
        <v>1</v>
      </c>
      <c r="M593" s="113">
        <f>L593*VLOOKUP(I593,dagsoorttabel1,2,FALSE)</f>
        <v>4.7058823529411764E-2</v>
      </c>
      <c r="N593" s="114">
        <f>prodnorm24</f>
        <v>0</v>
      </c>
      <c r="O593" s="111" t="s">
        <v>301</v>
      </c>
      <c r="P593" s="38">
        <f>uurtarief24</f>
        <v>0</v>
      </c>
      <c r="Q593" s="113">
        <f>M593*ROUND(N593,4)/60</f>
        <v>0</v>
      </c>
      <c r="R593" s="38">
        <f>ROUND(P593,2)*Q593</f>
        <v>0</v>
      </c>
      <c r="S593" s="113">
        <f>Q593*dagenperjaar1</f>
        <v>0</v>
      </c>
      <c r="T593" s="39">
        <f>S593*ROUND(P593,2)</f>
        <v>0</v>
      </c>
    </row>
    <row r="594" spans="1:20" x14ac:dyDescent="0.2">
      <c r="A594" s="115" t="s">
        <v>546</v>
      </c>
      <c r="B594" s="83"/>
      <c r="C594" s="83"/>
      <c r="D594" s="83"/>
      <c r="E594" s="83"/>
      <c r="F594" s="83"/>
      <c r="G594" s="83"/>
      <c r="H594" s="83"/>
      <c r="I594" s="83"/>
      <c r="J594" s="83"/>
      <c r="K594" s="83"/>
      <c r="L594" s="83"/>
      <c r="M594" s="83"/>
      <c r="N594" s="83"/>
      <c r="O594" s="83"/>
      <c r="P594" s="85" t="e">
        <f>IF(_xlfn.SINGLE(object22_urenjaar1)&gt;0,_xlfn.SINGLE(object22_prijsjaar1)/_xlfn.SINGLE(object22_urenjaar1),0)</f>
        <v>#DIV/0!</v>
      </c>
      <c r="Q594" s="84" t="e">
        <f>SUM(Q582:Q593)</f>
        <v>#DIV/0!</v>
      </c>
      <c r="R594" s="85" t="e">
        <f>SUM(R582:R593)</f>
        <v>#DIV/0!</v>
      </c>
      <c r="S594" s="84" t="e">
        <f>SUM(S582:S593)</f>
        <v>#DIV/0!</v>
      </c>
      <c r="T594" s="86" t="e">
        <f>SUM(T582:T593)</f>
        <v>#DIV/0!</v>
      </c>
    </row>
    <row r="595" spans="1:20" x14ac:dyDescent="0.2">
      <c r="A595" s="91" t="s">
        <v>744</v>
      </c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81"/>
    </row>
    <row r="596" spans="1:20" x14ac:dyDescent="0.2">
      <c r="A596" s="98" t="s">
        <v>745</v>
      </c>
      <c r="B596" s="99" t="s">
        <v>37</v>
      </c>
      <c r="C596" s="99" t="s">
        <v>322</v>
      </c>
      <c r="D596" s="99" t="s">
        <v>323</v>
      </c>
      <c r="E596" s="99" t="s">
        <v>37</v>
      </c>
      <c r="F596" s="100" t="s">
        <v>746</v>
      </c>
      <c r="G596" s="99" t="s">
        <v>677</v>
      </c>
      <c r="H596" s="99" t="s">
        <v>279</v>
      </c>
      <c r="I596" s="99" t="s">
        <v>13</v>
      </c>
      <c r="J596" s="99" t="s">
        <v>231</v>
      </c>
      <c r="K596" s="99"/>
      <c r="L596" s="101">
        <v>16.100000000000001</v>
      </c>
      <c r="M596" s="101">
        <f>L596*VLOOKUP(I596,dagsoorttabel1,2,FALSE)</f>
        <v>3.2200000000000006</v>
      </c>
      <c r="N596" s="102">
        <f>prodnorm120</f>
        <v>0</v>
      </c>
      <c r="O596" s="99" t="s">
        <v>105</v>
      </c>
      <c r="P596" s="103">
        <f>uurtarief120</f>
        <v>0</v>
      </c>
      <c r="Q596" s="101" t="e">
        <f>IF(ISBLANK(N596),0,M596/ROUND(N596,4))</f>
        <v>#DIV/0!</v>
      </c>
      <c r="R596" s="103" t="e">
        <f>ROUND(P596,2)*Q596</f>
        <v>#DIV/0!</v>
      </c>
      <c r="S596" s="101" t="e">
        <f>Q596*dagenperjaar1</f>
        <v>#DIV/0!</v>
      </c>
      <c r="T596" s="104" t="e">
        <f>S596*ROUND(P596,2)</f>
        <v>#DIV/0!</v>
      </c>
    </row>
    <row r="597" spans="1:20" x14ac:dyDescent="0.2">
      <c r="A597" s="105" t="s">
        <v>745</v>
      </c>
      <c r="B597" s="106" t="s">
        <v>37</v>
      </c>
      <c r="C597" s="106" t="s">
        <v>322</v>
      </c>
      <c r="D597" s="106" t="s">
        <v>676</v>
      </c>
      <c r="E597" s="106" t="s">
        <v>37</v>
      </c>
      <c r="F597" s="107" t="s">
        <v>628</v>
      </c>
      <c r="G597" s="106" t="s">
        <v>325</v>
      </c>
      <c r="H597" s="106" t="s">
        <v>292</v>
      </c>
      <c r="I597" s="106" t="s">
        <v>13</v>
      </c>
      <c r="J597" s="106" t="s">
        <v>231</v>
      </c>
      <c r="K597" s="106"/>
      <c r="L597" s="108">
        <v>7.2</v>
      </c>
      <c r="M597" s="108">
        <f>L597*VLOOKUP(I597,dagsoorttabel1,2,FALSE)</f>
        <v>1.4400000000000002</v>
      </c>
      <c r="N597" s="109">
        <f>prodnorm147</f>
        <v>0</v>
      </c>
      <c r="O597" s="106" t="s">
        <v>105</v>
      </c>
      <c r="P597" s="28">
        <f>uurtarief147</f>
        <v>0</v>
      </c>
      <c r="Q597" s="108" t="e">
        <f>IF(ISBLANK(N597),0,M597/ROUND(N597,4))</f>
        <v>#DIV/0!</v>
      </c>
      <c r="R597" s="28" t="e">
        <f>ROUND(P597,2)*Q597</f>
        <v>#DIV/0!</v>
      </c>
      <c r="S597" s="108" t="e">
        <f>Q597*dagenperjaar1</f>
        <v>#DIV/0!</v>
      </c>
      <c r="T597" s="29" t="e">
        <f>S597*ROUND(P597,2)</f>
        <v>#DIV/0!</v>
      </c>
    </row>
    <row r="598" spans="1:20" x14ac:dyDescent="0.2">
      <c r="A598" s="105" t="s">
        <v>745</v>
      </c>
      <c r="B598" s="106" t="s">
        <v>37</v>
      </c>
      <c r="C598" s="106" t="s">
        <v>322</v>
      </c>
      <c r="D598" s="106" t="s">
        <v>678</v>
      </c>
      <c r="E598" s="106" t="s">
        <v>37</v>
      </c>
      <c r="F598" s="107" t="s">
        <v>335</v>
      </c>
      <c r="G598" s="106" t="s">
        <v>677</v>
      </c>
      <c r="H598" s="106" t="s">
        <v>273</v>
      </c>
      <c r="I598" s="106" t="s">
        <v>13</v>
      </c>
      <c r="J598" s="106" t="s">
        <v>231</v>
      </c>
      <c r="K598" s="106"/>
      <c r="L598" s="108">
        <v>4.8</v>
      </c>
      <c r="M598" s="108">
        <f>L598*VLOOKUP(I598,dagsoorttabel1,2,FALSE)</f>
        <v>0.96</v>
      </c>
      <c r="N598" s="109">
        <f>prodnorm106</f>
        <v>0</v>
      </c>
      <c r="O598" s="106" t="s">
        <v>105</v>
      </c>
      <c r="P598" s="28">
        <f>uurtarief106</f>
        <v>0</v>
      </c>
      <c r="Q598" s="108" t="e">
        <f>IF(ISBLANK(N598),0,M598/ROUND(N598,4))</f>
        <v>#DIV/0!</v>
      </c>
      <c r="R598" s="28" t="e">
        <f>ROUND(P598,2)*Q598</f>
        <v>#DIV/0!</v>
      </c>
      <c r="S598" s="108" t="e">
        <f>Q598*dagenperjaar1</f>
        <v>#DIV/0!</v>
      </c>
      <c r="T598" s="29" t="e">
        <f>S598*ROUND(P598,2)</f>
        <v>#DIV/0!</v>
      </c>
    </row>
    <row r="599" spans="1:20" x14ac:dyDescent="0.2">
      <c r="A599" s="105" t="s">
        <v>745</v>
      </c>
      <c r="B599" s="106" t="s">
        <v>37</v>
      </c>
      <c r="C599" s="106" t="s">
        <v>322</v>
      </c>
      <c r="D599" s="106" t="s">
        <v>326</v>
      </c>
      <c r="E599" s="106" t="s">
        <v>37</v>
      </c>
      <c r="F599" s="107" t="s">
        <v>393</v>
      </c>
      <c r="G599" s="106" t="s">
        <v>325</v>
      </c>
      <c r="H599" s="106" t="s">
        <v>237</v>
      </c>
      <c r="I599" s="106" t="s">
        <v>13</v>
      </c>
      <c r="J599" s="106" t="s">
        <v>231</v>
      </c>
      <c r="K599" s="106"/>
      <c r="L599" s="108">
        <v>14.8</v>
      </c>
      <c r="M599" s="108">
        <f>L599*VLOOKUP(I599,dagsoorttabel1,2,FALSE)</f>
        <v>2.9600000000000004</v>
      </c>
      <c r="N599" s="109">
        <f>prodnorm40</f>
        <v>0</v>
      </c>
      <c r="O599" s="106" t="s">
        <v>105</v>
      </c>
      <c r="P599" s="28">
        <f>uurtarief40</f>
        <v>0</v>
      </c>
      <c r="Q599" s="108" t="e">
        <f>IF(ISBLANK(N599),0,M599/ROUND(N599,4))</f>
        <v>#DIV/0!</v>
      </c>
      <c r="R599" s="28" t="e">
        <f>ROUND(P599,2)*Q599</f>
        <v>#DIV/0!</v>
      </c>
      <c r="S599" s="108" t="e">
        <f>Q599*dagenperjaar1</f>
        <v>#DIV/0!</v>
      </c>
      <c r="T599" s="29" t="e">
        <f>S599*ROUND(P599,2)</f>
        <v>#DIV/0!</v>
      </c>
    </row>
    <row r="600" spans="1:20" x14ac:dyDescent="0.2">
      <c r="A600" s="105" t="s">
        <v>745</v>
      </c>
      <c r="B600" s="106" t="s">
        <v>37</v>
      </c>
      <c r="C600" s="106" t="s">
        <v>322</v>
      </c>
      <c r="D600" s="106" t="s">
        <v>329</v>
      </c>
      <c r="E600" s="106" t="s">
        <v>37</v>
      </c>
      <c r="F600" s="107" t="s">
        <v>747</v>
      </c>
      <c r="G600" s="106" t="s">
        <v>677</v>
      </c>
      <c r="H600" s="106" t="s">
        <v>267</v>
      </c>
      <c r="I600" s="106" t="s">
        <v>13</v>
      </c>
      <c r="J600" s="106" t="s">
        <v>231</v>
      </c>
      <c r="K600" s="106"/>
      <c r="L600" s="108">
        <v>7</v>
      </c>
      <c r="M600" s="108">
        <f>L600*VLOOKUP(I600,dagsoorttabel1,2,FALSE)</f>
        <v>1.4000000000000001</v>
      </c>
      <c r="N600" s="109">
        <f>prodnorm94</f>
        <v>0</v>
      </c>
      <c r="O600" s="106" t="s">
        <v>105</v>
      </c>
      <c r="P600" s="28">
        <f>uurtarief94</f>
        <v>0</v>
      </c>
      <c r="Q600" s="108" t="e">
        <f>IF(ISBLANK(N600),0,M600/ROUND(N600,4))</f>
        <v>#DIV/0!</v>
      </c>
      <c r="R600" s="28" t="e">
        <f>ROUND(P600,2)*Q600</f>
        <v>#DIV/0!</v>
      </c>
      <c r="S600" s="108" t="e">
        <f>Q600*dagenperjaar1</f>
        <v>#DIV/0!</v>
      </c>
      <c r="T600" s="29" t="e">
        <f>S600*ROUND(P600,2)</f>
        <v>#DIV/0!</v>
      </c>
    </row>
    <row r="601" spans="1:20" x14ac:dyDescent="0.2">
      <c r="A601" s="105" t="s">
        <v>745</v>
      </c>
      <c r="B601" s="106" t="s">
        <v>37</v>
      </c>
      <c r="C601" s="106" t="s">
        <v>322</v>
      </c>
      <c r="D601" s="106" t="s">
        <v>332</v>
      </c>
      <c r="E601" s="106" t="s">
        <v>37</v>
      </c>
      <c r="F601" s="107" t="s">
        <v>672</v>
      </c>
      <c r="G601" s="106" t="s">
        <v>677</v>
      </c>
      <c r="H601" s="106" t="s">
        <v>271</v>
      </c>
      <c r="I601" s="106" t="s">
        <v>13</v>
      </c>
      <c r="J601" s="106" t="s">
        <v>231</v>
      </c>
      <c r="K601" s="106"/>
      <c r="L601" s="108">
        <v>9.5</v>
      </c>
      <c r="M601" s="108">
        <f>L601*VLOOKUP(I601,dagsoorttabel1,2,FALSE)</f>
        <v>1.9000000000000001</v>
      </c>
      <c r="N601" s="109">
        <f>prodnorm104</f>
        <v>0</v>
      </c>
      <c r="O601" s="106" t="s">
        <v>105</v>
      </c>
      <c r="P601" s="28">
        <f>uurtarief104</f>
        <v>0</v>
      </c>
      <c r="Q601" s="108" t="e">
        <f>IF(ISBLANK(N601),0,M601/ROUND(N601,4))</f>
        <v>#DIV/0!</v>
      </c>
      <c r="R601" s="28" t="e">
        <f>ROUND(P601,2)*Q601</f>
        <v>#DIV/0!</v>
      </c>
      <c r="S601" s="108" t="e">
        <f>Q601*dagenperjaar1</f>
        <v>#DIV/0!</v>
      </c>
      <c r="T601" s="29" t="e">
        <f>S601*ROUND(P601,2)</f>
        <v>#DIV/0!</v>
      </c>
    </row>
    <row r="602" spans="1:20" x14ac:dyDescent="0.2">
      <c r="A602" s="105" t="s">
        <v>745</v>
      </c>
      <c r="B602" s="106" t="s">
        <v>37</v>
      </c>
      <c r="C602" s="106" t="s">
        <v>322</v>
      </c>
      <c r="D602" s="106" t="s">
        <v>334</v>
      </c>
      <c r="E602" s="106" t="s">
        <v>37</v>
      </c>
      <c r="F602" s="107" t="s">
        <v>393</v>
      </c>
      <c r="G602" s="106" t="s">
        <v>325</v>
      </c>
      <c r="H602" s="106" t="s">
        <v>237</v>
      </c>
      <c r="I602" s="106" t="s">
        <v>13</v>
      </c>
      <c r="J602" s="106" t="s">
        <v>231</v>
      </c>
      <c r="K602" s="106"/>
      <c r="L602" s="108">
        <v>36.5</v>
      </c>
      <c r="M602" s="108">
        <f>L602*VLOOKUP(I602,dagsoorttabel1,2,FALSE)</f>
        <v>7.3000000000000007</v>
      </c>
      <c r="N602" s="109">
        <f>prodnorm40</f>
        <v>0</v>
      </c>
      <c r="O602" s="106" t="s">
        <v>105</v>
      </c>
      <c r="P602" s="28">
        <f>uurtarief40</f>
        <v>0</v>
      </c>
      <c r="Q602" s="108" t="e">
        <f>IF(ISBLANK(N602),0,M602/ROUND(N602,4))</f>
        <v>#DIV/0!</v>
      </c>
      <c r="R602" s="28" t="e">
        <f>ROUND(P602,2)*Q602</f>
        <v>#DIV/0!</v>
      </c>
      <c r="S602" s="108" t="e">
        <f>Q602*dagenperjaar1</f>
        <v>#DIV/0!</v>
      </c>
      <c r="T602" s="29" t="e">
        <f>S602*ROUND(P602,2)</f>
        <v>#DIV/0!</v>
      </c>
    </row>
    <row r="603" spans="1:20" x14ac:dyDescent="0.2">
      <c r="A603" s="105" t="s">
        <v>745</v>
      </c>
      <c r="B603" s="106" t="s">
        <v>37</v>
      </c>
      <c r="C603" s="106" t="s">
        <v>322</v>
      </c>
      <c r="D603" s="106" t="s">
        <v>739</v>
      </c>
      <c r="E603" s="106" t="s">
        <v>37</v>
      </c>
      <c r="F603" s="107" t="s">
        <v>748</v>
      </c>
      <c r="G603" s="106" t="s">
        <v>325</v>
      </c>
      <c r="H603" s="106" t="s">
        <v>233</v>
      </c>
      <c r="I603" s="106" t="s">
        <v>13</v>
      </c>
      <c r="J603" s="106" t="s">
        <v>231</v>
      </c>
      <c r="K603" s="106"/>
      <c r="L603" s="108">
        <v>1</v>
      </c>
      <c r="M603" s="108">
        <f>L603*VLOOKUP(I603,dagsoorttabel1,2,FALSE)</f>
        <v>0.2</v>
      </c>
      <c r="N603" s="109">
        <f>prodnorm33</f>
        <v>0</v>
      </c>
      <c r="O603" s="106" t="s">
        <v>105</v>
      </c>
      <c r="P603" s="28">
        <f>uurtarief33</f>
        <v>0</v>
      </c>
      <c r="Q603" s="108" t="e">
        <f>IF(ISBLANK(N603),0,M603/ROUND(N603,4))</f>
        <v>#DIV/0!</v>
      </c>
      <c r="R603" s="28" t="e">
        <f>ROUND(P603,2)*Q603</f>
        <v>#DIV/0!</v>
      </c>
      <c r="S603" s="108" t="e">
        <f>Q603*dagenperjaar1</f>
        <v>#DIV/0!</v>
      </c>
      <c r="T603" s="29" t="e">
        <f>S603*ROUND(P603,2)</f>
        <v>#DIV/0!</v>
      </c>
    </row>
    <row r="604" spans="1:20" x14ac:dyDescent="0.2">
      <c r="A604" s="105" t="s">
        <v>745</v>
      </c>
      <c r="B604" s="106" t="s">
        <v>37</v>
      </c>
      <c r="C604" s="106" t="s">
        <v>322</v>
      </c>
      <c r="D604" s="106" t="s">
        <v>338</v>
      </c>
      <c r="E604" s="106" t="s">
        <v>37</v>
      </c>
      <c r="F604" s="107" t="s">
        <v>352</v>
      </c>
      <c r="G604" s="106" t="s">
        <v>325</v>
      </c>
      <c r="H604" s="106" t="s">
        <v>243</v>
      </c>
      <c r="I604" s="106" t="s">
        <v>13</v>
      </c>
      <c r="J604" s="106" t="s">
        <v>231</v>
      </c>
      <c r="K604" s="106"/>
      <c r="L604" s="108">
        <v>93.25</v>
      </c>
      <c r="M604" s="108">
        <f>L604*VLOOKUP(I604,dagsoorttabel1,2,FALSE)</f>
        <v>18.650000000000002</v>
      </c>
      <c r="N604" s="109">
        <f>prodnorm48</f>
        <v>0</v>
      </c>
      <c r="O604" s="106" t="s">
        <v>105</v>
      </c>
      <c r="P604" s="28">
        <f>uurtarief48</f>
        <v>0</v>
      </c>
      <c r="Q604" s="108" t="e">
        <f>IF(ISBLANK(N604),0,M604/ROUND(N604,4))</f>
        <v>#DIV/0!</v>
      </c>
      <c r="R604" s="28" t="e">
        <f>ROUND(P604,2)*Q604</f>
        <v>#DIV/0!</v>
      </c>
      <c r="S604" s="108" t="e">
        <f>Q604*dagenperjaar1</f>
        <v>#DIV/0!</v>
      </c>
      <c r="T604" s="29" t="e">
        <f>S604*ROUND(P604,2)</f>
        <v>#DIV/0!</v>
      </c>
    </row>
    <row r="605" spans="1:20" x14ac:dyDescent="0.2">
      <c r="A605" s="105" t="s">
        <v>745</v>
      </c>
      <c r="B605" s="106" t="s">
        <v>37</v>
      </c>
      <c r="C605" s="106" t="s">
        <v>322</v>
      </c>
      <c r="D605" s="106" t="s">
        <v>749</v>
      </c>
      <c r="E605" s="106" t="s">
        <v>37</v>
      </c>
      <c r="F605" s="107" t="s">
        <v>748</v>
      </c>
      <c r="G605" s="106" t="s">
        <v>325</v>
      </c>
      <c r="H605" s="106" t="s">
        <v>233</v>
      </c>
      <c r="I605" s="106" t="s">
        <v>13</v>
      </c>
      <c r="J605" s="106" t="s">
        <v>231</v>
      </c>
      <c r="K605" s="106"/>
      <c r="L605" s="108">
        <v>1</v>
      </c>
      <c r="M605" s="108">
        <f>L605*VLOOKUP(I605,dagsoorttabel1,2,FALSE)</f>
        <v>0.2</v>
      </c>
      <c r="N605" s="109">
        <f>prodnorm33</f>
        <v>0</v>
      </c>
      <c r="O605" s="106" t="s">
        <v>105</v>
      </c>
      <c r="P605" s="28">
        <f>uurtarief33</f>
        <v>0</v>
      </c>
      <c r="Q605" s="108" t="e">
        <f>IF(ISBLANK(N605),0,M605/ROUND(N605,4))</f>
        <v>#DIV/0!</v>
      </c>
      <c r="R605" s="28" t="e">
        <f>ROUND(P605,2)*Q605</f>
        <v>#DIV/0!</v>
      </c>
      <c r="S605" s="108" t="e">
        <f>Q605*dagenperjaar1</f>
        <v>#DIV/0!</v>
      </c>
      <c r="T605" s="29" t="e">
        <f>S605*ROUND(P605,2)</f>
        <v>#DIV/0!</v>
      </c>
    </row>
    <row r="606" spans="1:20" x14ac:dyDescent="0.2">
      <c r="A606" s="105" t="s">
        <v>745</v>
      </c>
      <c r="B606" s="106" t="s">
        <v>37</v>
      </c>
      <c r="C606" s="106" t="s">
        <v>322</v>
      </c>
      <c r="D606" s="106" t="s">
        <v>339</v>
      </c>
      <c r="E606" s="106" t="s">
        <v>37</v>
      </c>
      <c r="F606" s="107" t="s">
        <v>393</v>
      </c>
      <c r="G606" s="106" t="s">
        <v>325</v>
      </c>
      <c r="H606" s="106" t="s">
        <v>237</v>
      </c>
      <c r="I606" s="106" t="s">
        <v>13</v>
      </c>
      <c r="J606" s="106" t="s">
        <v>231</v>
      </c>
      <c r="K606" s="106"/>
      <c r="L606" s="108">
        <v>24.8</v>
      </c>
      <c r="M606" s="108">
        <f>L606*VLOOKUP(I606,dagsoorttabel1,2,FALSE)</f>
        <v>4.9600000000000009</v>
      </c>
      <c r="N606" s="109">
        <f>prodnorm40</f>
        <v>0</v>
      </c>
      <c r="O606" s="106" t="s">
        <v>105</v>
      </c>
      <c r="P606" s="28">
        <f>uurtarief40</f>
        <v>0</v>
      </c>
      <c r="Q606" s="108" t="e">
        <f>IF(ISBLANK(N606),0,M606/ROUND(N606,4))</f>
        <v>#DIV/0!</v>
      </c>
      <c r="R606" s="28" t="e">
        <f>ROUND(P606,2)*Q606</f>
        <v>#DIV/0!</v>
      </c>
      <c r="S606" s="108" t="e">
        <f>Q606*dagenperjaar1</f>
        <v>#DIV/0!</v>
      </c>
      <c r="T606" s="29" t="e">
        <f>S606*ROUND(P606,2)</f>
        <v>#DIV/0!</v>
      </c>
    </row>
    <row r="607" spans="1:20" x14ac:dyDescent="0.2">
      <c r="A607" s="105" t="s">
        <v>745</v>
      </c>
      <c r="B607" s="106" t="s">
        <v>37</v>
      </c>
      <c r="C607" s="106" t="s">
        <v>415</v>
      </c>
      <c r="D607" s="106" t="s">
        <v>417</v>
      </c>
      <c r="E607" s="106" t="s">
        <v>37</v>
      </c>
      <c r="F607" s="107" t="s">
        <v>454</v>
      </c>
      <c r="G607" s="106" t="s">
        <v>325</v>
      </c>
      <c r="H607" s="106" t="s">
        <v>275</v>
      </c>
      <c r="I607" s="106" t="s">
        <v>13</v>
      </c>
      <c r="J607" s="106" t="s">
        <v>231</v>
      </c>
      <c r="K607" s="106"/>
      <c r="L607" s="108">
        <v>10.199999999999999</v>
      </c>
      <c r="M607" s="108">
        <f>L607*VLOOKUP(I607,dagsoorttabel1,2,FALSE)</f>
        <v>2.04</v>
      </c>
      <c r="N607" s="109">
        <f>prodnorm114</f>
        <v>0</v>
      </c>
      <c r="O607" s="106" t="s">
        <v>105</v>
      </c>
      <c r="P607" s="28">
        <f>uurtarief114</f>
        <v>0</v>
      </c>
      <c r="Q607" s="108" t="e">
        <f>IF(ISBLANK(N607),0,M607/ROUND(N607,4))</f>
        <v>#DIV/0!</v>
      </c>
      <c r="R607" s="28" t="e">
        <f>ROUND(P607,2)*Q607</f>
        <v>#DIV/0!</v>
      </c>
      <c r="S607" s="108" t="e">
        <f>Q607*dagenperjaar1</f>
        <v>#DIV/0!</v>
      </c>
      <c r="T607" s="29" t="e">
        <f>S607*ROUND(P607,2)</f>
        <v>#DIV/0!</v>
      </c>
    </row>
    <row r="608" spans="1:20" x14ac:dyDescent="0.2">
      <c r="A608" s="105" t="s">
        <v>745</v>
      </c>
      <c r="B608" s="106" t="s">
        <v>37</v>
      </c>
      <c r="C608" s="106" t="s">
        <v>415</v>
      </c>
      <c r="D608" s="106" t="s">
        <v>419</v>
      </c>
      <c r="E608" s="106" t="s">
        <v>37</v>
      </c>
      <c r="F608" s="107" t="s">
        <v>579</v>
      </c>
      <c r="G608" s="106" t="s">
        <v>677</v>
      </c>
      <c r="H608" s="106" t="s">
        <v>257</v>
      </c>
      <c r="I608" s="106" t="s">
        <v>13</v>
      </c>
      <c r="J608" s="106" t="s">
        <v>231</v>
      </c>
      <c r="K608" s="106"/>
      <c r="L608" s="108">
        <v>44.6</v>
      </c>
      <c r="M608" s="108">
        <f>L608*VLOOKUP(I608,dagsoorttabel1,2,FALSE)</f>
        <v>8.92</v>
      </c>
      <c r="N608" s="109">
        <f>prodnorm74</f>
        <v>0</v>
      </c>
      <c r="O608" s="106" t="s">
        <v>105</v>
      </c>
      <c r="P608" s="28">
        <f>uurtarief74</f>
        <v>0</v>
      </c>
      <c r="Q608" s="108" t="e">
        <f>IF(ISBLANK(N608),0,M608/ROUND(N608,4))</f>
        <v>#DIV/0!</v>
      </c>
      <c r="R608" s="28" t="e">
        <f>ROUND(P608,2)*Q608</f>
        <v>#DIV/0!</v>
      </c>
      <c r="S608" s="108" t="e">
        <f>Q608*dagenperjaar1</f>
        <v>#DIV/0!</v>
      </c>
      <c r="T608" s="29" t="e">
        <f>S608*ROUND(P608,2)</f>
        <v>#DIV/0!</v>
      </c>
    </row>
    <row r="609" spans="1:20" x14ac:dyDescent="0.2">
      <c r="A609" s="105" t="s">
        <v>745</v>
      </c>
      <c r="B609" s="106" t="s">
        <v>37</v>
      </c>
      <c r="C609" s="106" t="s">
        <v>415</v>
      </c>
      <c r="D609" s="106" t="s">
        <v>750</v>
      </c>
      <c r="E609" s="106" t="s">
        <v>37</v>
      </c>
      <c r="F609" s="107" t="s">
        <v>355</v>
      </c>
      <c r="G609" s="106" t="s">
        <v>677</v>
      </c>
      <c r="H609" s="106" t="s">
        <v>265</v>
      </c>
      <c r="I609" s="106" t="s">
        <v>13</v>
      </c>
      <c r="J609" s="106" t="s">
        <v>231</v>
      </c>
      <c r="K609" s="106"/>
      <c r="L609" s="108">
        <v>3.5</v>
      </c>
      <c r="M609" s="108">
        <f>L609*VLOOKUP(I609,dagsoorttabel1,2,FALSE)</f>
        <v>0.70000000000000007</v>
      </c>
      <c r="N609" s="109">
        <f>prodnorm88</f>
        <v>0</v>
      </c>
      <c r="O609" s="106" t="s">
        <v>105</v>
      </c>
      <c r="P609" s="28">
        <f>uurtarief88</f>
        <v>0</v>
      </c>
      <c r="Q609" s="108" t="e">
        <f>IF(ISBLANK(N609),0,M609/ROUND(N609,4))</f>
        <v>#DIV/0!</v>
      </c>
      <c r="R609" s="28" t="e">
        <f>ROUND(P609,2)*Q609</f>
        <v>#DIV/0!</v>
      </c>
      <c r="S609" s="108" t="e">
        <f>Q609*dagenperjaar1</f>
        <v>#DIV/0!</v>
      </c>
      <c r="T609" s="29" t="e">
        <f>S609*ROUND(P609,2)</f>
        <v>#DIV/0!</v>
      </c>
    </row>
    <row r="610" spans="1:20" x14ac:dyDescent="0.2">
      <c r="A610" s="105" t="s">
        <v>745</v>
      </c>
      <c r="B610" s="106" t="s">
        <v>37</v>
      </c>
      <c r="C610" s="106" t="s">
        <v>415</v>
      </c>
      <c r="D610" s="106" t="s">
        <v>420</v>
      </c>
      <c r="E610" s="106" t="s">
        <v>37</v>
      </c>
      <c r="F610" s="107" t="s">
        <v>393</v>
      </c>
      <c r="G610" s="106" t="s">
        <v>325</v>
      </c>
      <c r="H610" s="106" t="s">
        <v>237</v>
      </c>
      <c r="I610" s="106" t="s">
        <v>13</v>
      </c>
      <c r="J610" s="106" t="s">
        <v>231</v>
      </c>
      <c r="K610" s="106"/>
      <c r="L610" s="108">
        <v>25.2</v>
      </c>
      <c r="M610" s="108">
        <f>L610*VLOOKUP(I610,dagsoorttabel1,2,FALSE)</f>
        <v>5.04</v>
      </c>
      <c r="N610" s="109">
        <f>prodnorm40</f>
        <v>0</v>
      </c>
      <c r="O610" s="106" t="s">
        <v>105</v>
      </c>
      <c r="P610" s="28">
        <f>uurtarief40</f>
        <v>0</v>
      </c>
      <c r="Q610" s="108" t="e">
        <f>IF(ISBLANK(N610),0,M610/ROUND(N610,4))</f>
        <v>#DIV/0!</v>
      </c>
      <c r="R610" s="28" t="e">
        <f>ROUND(P610,2)*Q610</f>
        <v>#DIV/0!</v>
      </c>
      <c r="S610" s="108" t="e">
        <f>Q610*dagenperjaar1</f>
        <v>#DIV/0!</v>
      </c>
      <c r="T610" s="29" t="e">
        <f>S610*ROUND(P610,2)</f>
        <v>#DIV/0!</v>
      </c>
    </row>
    <row r="611" spans="1:20" x14ac:dyDescent="0.2">
      <c r="A611" s="105" t="s">
        <v>745</v>
      </c>
      <c r="B611" s="106" t="s">
        <v>37</v>
      </c>
      <c r="C611" s="106" t="s">
        <v>415</v>
      </c>
      <c r="D611" s="106" t="s">
        <v>422</v>
      </c>
      <c r="E611" s="106" t="s">
        <v>37</v>
      </c>
      <c r="F611" s="107" t="s">
        <v>393</v>
      </c>
      <c r="G611" s="106" t="s">
        <v>325</v>
      </c>
      <c r="H611" s="106" t="s">
        <v>237</v>
      </c>
      <c r="I611" s="106" t="s">
        <v>13</v>
      </c>
      <c r="J611" s="106" t="s">
        <v>231</v>
      </c>
      <c r="K611" s="106"/>
      <c r="L611" s="108">
        <v>11.6</v>
      </c>
      <c r="M611" s="108">
        <f>L611*VLOOKUP(I611,dagsoorttabel1,2,FALSE)</f>
        <v>2.3199999999999998</v>
      </c>
      <c r="N611" s="109">
        <f>prodnorm40</f>
        <v>0</v>
      </c>
      <c r="O611" s="106" t="s">
        <v>105</v>
      </c>
      <c r="P611" s="28">
        <f>uurtarief40</f>
        <v>0</v>
      </c>
      <c r="Q611" s="108" t="e">
        <f>IF(ISBLANK(N611),0,M611/ROUND(N611,4))</f>
        <v>#DIV/0!</v>
      </c>
      <c r="R611" s="28" t="e">
        <f>ROUND(P611,2)*Q611</f>
        <v>#DIV/0!</v>
      </c>
      <c r="S611" s="108" t="e">
        <f>Q611*dagenperjaar1</f>
        <v>#DIV/0!</v>
      </c>
      <c r="T611" s="29" t="e">
        <f>S611*ROUND(P611,2)</f>
        <v>#DIV/0!</v>
      </c>
    </row>
    <row r="612" spans="1:20" x14ac:dyDescent="0.2">
      <c r="A612" s="110" t="s">
        <v>745</v>
      </c>
      <c r="B612" s="111" t="s">
        <v>37</v>
      </c>
      <c r="C612" s="111" t="s">
        <v>544</v>
      </c>
      <c r="D612" s="111" t="s">
        <v>37</v>
      </c>
      <c r="E612" s="111" t="s">
        <v>37</v>
      </c>
      <c r="F612" s="112" t="s">
        <v>751</v>
      </c>
      <c r="G612" s="111" t="s">
        <v>37</v>
      </c>
      <c r="H612" s="111" t="s">
        <v>298</v>
      </c>
      <c r="I612" s="111" t="s">
        <v>13</v>
      </c>
      <c r="J612" s="111" t="s">
        <v>299</v>
      </c>
      <c r="K612" s="111"/>
      <c r="L612" s="113">
        <v>1</v>
      </c>
      <c r="M612" s="113">
        <f>L612*VLOOKUP(I612,dagsoorttabel1,2,FALSE)</f>
        <v>0.2</v>
      </c>
      <c r="N612" s="114">
        <f>prodnorm21</f>
        <v>0</v>
      </c>
      <c r="O612" s="111" t="s">
        <v>301</v>
      </c>
      <c r="P612" s="38">
        <f>uurtarief21</f>
        <v>0</v>
      </c>
      <c r="Q612" s="113">
        <f>M612*ROUND(N612,4)/60</f>
        <v>0</v>
      </c>
      <c r="R612" s="38">
        <f>ROUND(P612,2)*Q612</f>
        <v>0</v>
      </c>
      <c r="S612" s="113">
        <f>Q612*dagenperjaar1</f>
        <v>0</v>
      </c>
      <c r="T612" s="39">
        <f>S612*ROUND(P612,2)</f>
        <v>0</v>
      </c>
    </row>
    <row r="613" spans="1:20" x14ac:dyDescent="0.2">
      <c r="A613" s="115" t="s">
        <v>546</v>
      </c>
      <c r="B613" s="83"/>
      <c r="C613" s="83"/>
      <c r="D613" s="83"/>
      <c r="E613" s="83"/>
      <c r="F613" s="83"/>
      <c r="G613" s="83"/>
      <c r="H613" s="83"/>
      <c r="I613" s="83"/>
      <c r="J613" s="83"/>
      <c r="K613" s="83"/>
      <c r="L613" s="83"/>
      <c r="M613" s="83"/>
      <c r="N613" s="83"/>
      <c r="O613" s="83"/>
      <c r="P613" s="85" t="e">
        <f>IF(_xlfn.SINGLE(object23_urenjaar1)&gt;0,_xlfn.SINGLE(object23_prijsjaar1)/_xlfn.SINGLE(object23_urenjaar1),0)</f>
        <v>#DIV/0!</v>
      </c>
      <c r="Q613" s="84" t="e">
        <f>SUM(Q596:Q612)</f>
        <v>#DIV/0!</v>
      </c>
      <c r="R613" s="85" t="e">
        <f>SUM(R596:R612)</f>
        <v>#DIV/0!</v>
      </c>
      <c r="S613" s="84" t="e">
        <f>SUM(S596:S612)</f>
        <v>#DIV/0!</v>
      </c>
      <c r="T613" s="86" t="e">
        <f>SUM(T596:T612)</f>
        <v>#DIV/0!</v>
      </c>
    </row>
    <row r="614" spans="1:20" x14ac:dyDescent="0.2">
      <c r="A614" s="91" t="s">
        <v>752</v>
      </c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81"/>
    </row>
    <row r="615" spans="1:20" x14ac:dyDescent="0.2">
      <c r="A615" s="53" t="s">
        <v>753</v>
      </c>
      <c r="B615" s="54" t="s">
        <v>37</v>
      </c>
      <c r="C615" s="54" t="s">
        <v>322</v>
      </c>
      <c r="D615" s="54" t="s">
        <v>323</v>
      </c>
      <c r="E615" s="54" t="s">
        <v>37</v>
      </c>
      <c r="F615" s="92" t="s">
        <v>307</v>
      </c>
      <c r="G615" s="54" t="s">
        <v>369</v>
      </c>
      <c r="H615" s="54" t="s">
        <v>306</v>
      </c>
      <c r="I615" s="54" t="s">
        <v>20</v>
      </c>
      <c r="J615" s="54" t="s">
        <v>299</v>
      </c>
      <c r="K615" s="54"/>
      <c r="L615" s="72">
        <v>33.1</v>
      </c>
      <c r="M615" s="72">
        <f>L615*VLOOKUP(I615,dagsoorttabel1,2,FALSE)</f>
        <v>0.51921568627450987</v>
      </c>
      <c r="N615" s="73">
        <f>prodnorm30</f>
        <v>0</v>
      </c>
      <c r="O615" s="54" t="s">
        <v>105</v>
      </c>
      <c r="P615" s="55">
        <f>uurtarief30</f>
        <v>0</v>
      </c>
      <c r="Q615" s="72" t="e">
        <f>IF(ISBLANK(N615),0,M615/ROUND(N615,4))</f>
        <v>#DIV/0!</v>
      </c>
      <c r="R615" s="55" t="e">
        <f>ROUND(P615,2)*Q615</f>
        <v>#DIV/0!</v>
      </c>
      <c r="S615" s="72" t="e">
        <f>Q615*dagenperjaar1</f>
        <v>#DIV/0!</v>
      </c>
      <c r="T615" s="56" t="e">
        <f>S615*ROUND(P615,2)</f>
        <v>#DIV/0!</v>
      </c>
    </row>
    <row r="616" spans="1:20" x14ac:dyDescent="0.2">
      <c r="A616" s="50" t="s">
        <v>754</v>
      </c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2"/>
    </row>
    <row r="617" spans="1:20" x14ac:dyDescent="0.2">
      <c r="A617" s="53" t="s">
        <v>755</v>
      </c>
      <c r="B617" s="54" t="s">
        <v>37</v>
      </c>
      <c r="C617" s="54" t="s">
        <v>322</v>
      </c>
      <c r="D617" s="54" t="s">
        <v>323</v>
      </c>
      <c r="E617" s="54" t="s">
        <v>37</v>
      </c>
      <c r="F617" s="92" t="s">
        <v>307</v>
      </c>
      <c r="G617" s="54" t="s">
        <v>369</v>
      </c>
      <c r="H617" s="54" t="s">
        <v>306</v>
      </c>
      <c r="I617" s="54" t="s">
        <v>20</v>
      </c>
      <c r="J617" s="54" t="s">
        <v>299</v>
      </c>
      <c r="K617" s="54"/>
      <c r="L617" s="72">
        <v>15</v>
      </c>
      <c r="M617" s="72">
        <f>L617*VLOOKUP(I617,dagsoorttabel1,2,FALSE)</f>
        <v>0.23529411764705882</v>
      </c>
      <c r="N617" s="73">
        <f>prodnorm30</f>
        <v>0</v>
      </c>
      <c r="O617" s="54" t="s">
        <v>105</v>
      </c>
      <c r="P617" s="55">
        <f>uurtarief30</f>
        <v>0</v>
      </c>
      <c r="Q617" s="72" t="e">
        <f>IF(ISBLANK(N617),0,M617/ROUND(N617,4))</f>
        <v>#DIV/0!</v>
      </c>
      <c r="R617" s="55" t="e">
        <f>ROUND(P617,2)*Q617</f>
        <v>#DIV/0!</v>
      </c>
      <c r="S617" s="72" t="e">
        <f>Q617*dagenperjaar1</f>
        <v>#DIV/0!</v>
      </c>
      <c r="T617" s="56" t="e">
        <f>S617*ROUND(P617,2)</f>
        <v>#DIV/0!</v>
      </c>
    </row>
    <row r="618" spans="1:20" x14ac:dyDescent="0.2">
      <c r="A618" s="50" t="s">
        <v>756</v>
      </c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2"/>
    </row>
    <row r="619" spans="1:20" x14ac:dyDescent="0.2">
      <c r="A619" s="53" t="s">
        <v>757</v>
      </c>
      <c r="B619" s="54" t="s">
        <v>37</v>
      </c>
      <c r="C619" s="54" t="s">
        <v>322</v>
      </c>
      <c r="D619" s="54" t="s">
        <v>323</v>
      </c>
      <c r="E619" s="54" t="s">
        <v>37</v>
      </c>
      <c r="F619" s="92" t="s">
        <v>307</v>
      </c>
      <c r="G619" s="54" t="s">
        <v>369</v>
      </c>
      <c r="H619" s="54" t="s">
        <v>306</v>
      </c>
      <c r="I619" s="54" t="s">
        <v>20</v>
      </c>
      <c r="J619" s="54" t="s">
        <v>299</v>
      </c>
      <c r="K619" s="54"/>
      <c r="L619" s="72">
        <v>19.2</v>
      </c>
      <c r="M619" s="72">
        <f>L619*VLOOKUP(I619,dagsoorttabel1,2,FALSE)</f>
        <v>0.30117647058823527</v>
      </c>
      <c r="N619" s="73">
        <f>prodnorm30</f>
        <v>0</v>
      </c>
      <c r="O619" s="54" t="s">
        <v>105</v>
      </c>
      <c r="P619" s="55">
        <f>uurtarief30</f>
        <v>0</v>
      </c>
      <c r="Q619" s="72" t="e">
        <f>IF(ISBLANK(N619),0,M619/ROUND(N619,4))</f>
        <v>#DIV/0!</v>
      </c>
      <c r="R619" s="55" t="e">
        <f>ROUND(P619,2)*Q619</f>
        <v>#DIV/0!</v>
      </c>
      <c r="S619" s="72" t="e">
        <f>Q619*dagenperjaar1</f>
        <v>#DIV/0!</v>
      </c>
      <c r="T619" s="56" t="e">
        <f>S619*ROUND(P619,2)</f>
        <v>#DIV/0!</v>
      </c>
    </row>
    <row r="620" spans="1:20" x14ac:dyDescent="0.2">
      <c r="A620" s="50" t="s">
        <v>758</v>
      </c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2"/>
    </row>
    <row r="621" spans="1:20" x14ac:dyDescent="0.2">
      <c r="A621" s="53" t="s">
        <v>759</v>
      </c>
      <c r="B621" s="54" t="s">
        <v>37</v>
      </c>
      <c r="C621" s="54" t="s">
        <v>322</v>
      </c>
      <c r="D621" s="54" t="s">
        <v>323</v>
      </c>
      <c r="E621" s="54" t="s">
        <v>37</v>
      </c>
      <c r="F621" s="92" t="s">
        <v>307</v>
      </c>
      <c r="G621" s="54" t="s">
        <v>369</v>
      </c>
      <c r="H621" s="54" t="s">
        <v>306</v>
      </c>
      <c r="I621" s="54" t="s">
        <v>20</v>
      </c>
      <c r="J621" s="54" t="s">
        <v>299</v>
      </c>
      <c r="K621" s="54"/>
      <c r="L621" s="72">
        <v>9.6999999999999993</v>
      </c>
      <c r="M621" s="72">
        <f>L621*VLOOKUP(I621,dagsoorttabel1,2,FALSE)</f>
        <v>0.15215686274509801</v>
      </c>
      <c r="N621" s="73">
        <f>prodnorm30</f>
        <v>0</v>
      </c>
      <c r="O621" s="54" t="s">
        <v>105</v>
      </c>
      <c r="P621" s="55">
        <f>uurtarief30</f>
        <v>0</v>
      </c>
      <c r="Q621" s="72" t="e">
        <f>IF(ISBLANK(N621),0,M621/ROUND(N621,4))</f>
        <v>#DIV/0!</v>
      </c>
      <c r="R621" s="55" t="e">
        <f>ROUND(P621,2)*Q621</f>
        <v>#DIV/0!</v>
      </c>
      <c r="S621" s="72" t="e">
        <f>Q621*dagenperjaar1</f>
        <v>#DIV/0!</v>
      </c>
      <c r="T621" s="56" t="e">
        <f>S621*ROUND(P621,2)</f>
        <v>#DIV/0!</v>
      </c>
    </row>
    <row r="622" spans="1:20" x14ac:dyDescent="0.2">
      <c r="A622" s="50" t="s">
        <v>760</v>
      </c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2"/>
    </row>
    <row r="623" spans="1:20" x14ac:dyDescent="0.2">
      <c r="A623" s="98" t="s">
        <v>761</v>
      </c>
      <c r="B623" s="99" t="s">
        <v>37</v>
      </c>
      <c r="C623" s="99" t="s">
        <v>322</v>
      </c>
      <c r="D623" s="99" t="s">
        <v>323</v>
      </c>
      <c r="E623" s="99" t="s">
        <v>37</v>
      </c>
      <c r="F623" s="100" t="s">
        <v>307</v>
      </c>
      <c r="G623" s="99" t="s">
        <v>369</v>
      </c>
      <c r="H623" s="99" t="s">
        <v>306</v>
      </c>
      <c r="I623" s="99" t="s">
        <v>20</v>
      </c>
      <c r="J623" s="99" t="s">
        <v>299</v>
      </c>
      <c r="K623" s="99"/>
      <c r="L623" s="101">
        <v>22.5</v>
      </c>
      <c r="M623" s="101">
        <f>L623*VLOOKUP(I623,dagsoorttabel1,2,FALSE)</f>
        <v>0.3529411764705882</v>
      </c>
      <c r="N623" s="102">
        <f>prodnorm30</f>
        <v>0</v>
      </c>
      <c r="O623" s="99" t="s">
        <v>105</v>
      </c>
      <c r="P623" s="103">
        <f>uurtarief30</f>
        <v>0</v>
      </c>
      <c r="Q623" s="101" t="e">
        <f>IF(ISBLANK(N623),0,M623/ROUND(N623,4))</f>
        <v>#DIV/0!</v>
      </c>
      <c r="R623" s="103" t="e">
        <f>ROUND(P623,2)*Q623</f>
        <v>#DIV/0!</v>
      </c>
      <c r="S623" s="101" t="e">
        <f>Q623*dagenperjaar1</f>
        <v>#DIV/0!</v>
      </c>
      <c r="T623" s="104" t="e">
        <f>S623*ROUND(P623,2)</f>
        <v>#DIV/0!</v>
      </c>
    </row>
    <row r="624" spans="1:20" x14ac:dyDescent="0.2">
      <c r="A624" s="110" t="s">
        <v>761</v>
      </c>
      <c r="B624" s="111" t="s">
        <v>37</v>
      </c>
      <c r="C624" s="111" t="s">
        <v>322</v>
      </c>
      <c r="D624" s="111" t="s">
        <v>326</v>
      </c>
      <c r="E624" s="111" t="s">
        <v>37</v>
      </c>
      <c r="F624" s="112" t="s">
        <v>307</v>
      </c>
      <c r="G624" s="111" t="s">
        <v>632</v>
      </c>
      <c r="H624" s="111" t="s">
        <v>306</v>
      </c>
      <c r="I624" s="111" t="s">
        <v>20</v>
      </c>
      <c r="J624" s="111" t="s">
        <v>299</v>
      </c>
      <c r="K624" s="111"/>
      <c r="L624" s="113">
        <v>10</v>
      </c>
      <c r="M624" s="113">
        <f>L624*VLOOKUP(I624,dagsoorttabel1,2,FALSE)</f>
        <v>0.15686274509803921</v>
      </c>
      <c r="N624" s="114">
        <f>prodnorm30</f>
        <v>0</v>
      </c>
      <c r="O624" s="111" t="s">
        <v>105</v>
      </c>
      <c r="P624" s="38">
        <f>uurtarief30</f>
        <v>0</v>
      </c>
      <c r="Q624" s="113" t="e">
        <f>IF(ISBLANK(N624),0,M624/ROUND(N624,4))</f>
        <v>#DIV/0!</v>
      </c>
      <c r="R624" s="38" t="e">
        <f>ROUND(P624,2)*Q624</f>
        <v>#DIV/0!</v>
      </c>
      <c r="S624" s="113" t="e">
        <f>Q624*dagenperjaar1</f>
        <v>#DIV/0!</v>
      </c>
      <c r="T624" s="39" t="e">
        <f>S624*ROUND(P624,2)</f>
        <v>#DIV/0!</v>
      </c>
    </row>
    <row r="625" spans="1:20" x14ac:dyDescent="0.2">
      <c r="A625" s="115" t="s">
        <v>546</v>
      </c>
      <c r="B625" s="83"/>
      <c r="C625" s="83"/>
      <c r="D625" s="83"/>
      <c r="E625" s="83"/>
      <c r="F625" s="83"/>
      <c r="G625" s="83"/>
      <c r="H625" s="83"/>
      <c r="I625" s="83"/>
      <c r="J625" s="83"/>
      <c r="K625" s="83"/>
      <c r="L625" s="83"/>
      <c r="M625" s="83"/>
      <c r="N625" s="83"/>
      <c r="O625" s="83"/>
      <c r="P625" s="85" t="e">
        <f>IF(_xlfn.SINGLE(object28_urenjaar1)&gt;0,_xlfn.SINGLE(object28_prijsjaar1)/_xlfn.SINGLE(object28_urenjaar1),0)</f>
        <v>#DIV/0!</v>
      </c>
      <c r="Q625" s="84" t="e">
        <f>SUM(Q623:Q624)</f>
        <v>#DIV/0!</v>
      </c>
      <c r="R625" s="85" t="e">
        <f>SUM(R623:R624)</f>
        <v>#DIV/0!</v>
      </c>
      <c r="S625" s="84" t="e">
        <f>SUM(S623:S624)</f>
        <v>#DIV/0!</v>
      </c>
      <c r="T625" s="86" t="e">
        <f>SUM(T623:T624)</f>
        <v>#DIV/0!</v>
      </c>
    </row>
    <row r="626" spans="1:20" x14ac:dyDescent="0.2">
      <c r="A626" s="91" t="s">
        <v>762</v>
      </c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81"/>
    </row>
    <row r="627" spans="1:20" x14ac:dyDescent="0.2">
      <c r="A627" s="98" t="s">
        <v>763</v>
      </c>
      <c r="B627" s="99" t="s">
        <v>37</v>
      </c>
      <c r="C627" s="99" t="s">
        <v>322</v>
      </c>
      <c r="D627" s="99" t="s">
        <v>323</v>
      </c>
      <c r="E627" s="99" t="s">
        <v>37</v>
      </c>
      <c r="F627" s="100" t="s">
        <v>454</v>
      </c>
      <c r="G627" s="99" t="s">
        <v>369</v>
      </c>
      <c r="H627" s="99" t="s">
        <v>273</v>
      </c>
      <c r="I627" s="99" t="s">
        <v>20</v>
      </c>
      <c r="J627" s="99" t="s">
        <v>231</v>
      </c>
      <c r="K627" s="99"/>
      <c r="L627" s="101">
        <v>2.8</v>
      </c>
      <c r="M627" s="101">
        <f>L627*VLOOKUP(I627,dagsoorttabel1,2,FALSE)</f>
        <v>4.3921568627450974E-2</v>
      </c>
      <c r="N627" s="102">
        <f>prodnorm111</f>
        <v>0</v>
      </c>
      <c r="O627" s="99" t="s">
        <v>105</v>
      </c>
      <c r="P627" s="103">
        <f>uurtarief111</f>
        <v>0</v>
      </c>
      <c r="Q627" s="101" t="e">
        <f>IF(ISBLANK(N627),0,M627/ROUND(N627,4))</f>
        <v>#DIV/0!</v>
      </c>
      <c r="R627" s="103" t="e">
        <f>ROUND(P627,2)*Q627</f>
        <v>#DIV/0!</v>
      </c>
      <c r="S627" s="101" t="e">
        <f>Q627*dagenperjaar1</f>
        <v>#DIV/0!</v>
      </c>
      <c r="T627" s="104" t="e">
        <f>S627*ROUND(P627,2)</f>
        <v>#DIV/0!</v>
      </c>
    </row>
    <row r="628" spans="1:20" x14ac:dyDescent="0.2">
      <c r="A628" s="105" t="s">
        <v>763</v>
      </c>
      <c r="B628" s="106" t="s">
        <v>37</v>
      </c>
      <c r="C628" s="106" t="s">
        <v>322</v>
      </c>
      <c r="D628" s="106" t="s">
        <v>326</v>
      </c>
      <c r="E628" s="106" t="s">
        <v>37</v>
      </c>
      <c r="F628" s="107" t="s">
        <v>764</v>
      </c>
      <c r="G628" s="106" t="s">
        <v>369</v>
      </c>
      <c r="H628" s="106" t="s">
        <v>247</v>
      </c>
      <c r="I628" s="106" t="s">
        <v>20</v>
      </c>
      <c r="J628" s="106" t="s">
        <v>231</v>
      </c>
      <c r="K628" s="106"/>
      <c r="L628" s="108">
        <v>28.1</v>
      </c>
      <c r="M628" s="108">
        <f>L628*VLOOKUP(I628,dagsoorttabel1,2,FALSE)</f>
        <v>0.44078431372549021</v>
      </c>
      <c r="N628" s="109">
        <f>prodnorm54</f>
        <v>0</v>
      </c>
      <c r="O628" s="106" t="s">
        <v>105</v>
      </c>
      <c r="P628" s="28">
        <f>uurtarief54</f>
        <v>0</v>
      </c>
      <c r="Q628" s="108" t="e">
        <f>IF(ISBLANK(N628),0,M628/ROUND(N628,4))</f>
        <v>#DIV/0!</v>
      </c>
      <c r="R628" s="28" t="e">
        <f>ROUND(P628,2)*Q628</f>
        <v>#DIV/0!</v>
      </c>
      <c r="S628" s="108" t="e">
        <f>Q628*dagenperjaar1</f>
        <v>#DIV/0!</v>
      </c>
      <c r="T628" s="29" t="e">
        <f>S628*ROUND(P628,2)</f>
        <v>#DIV/0!</v>
      </c>
    </row>
    <row r="629" spans="1:20" x14ac:dyDescent="0.2">
      <c r="A629" s="105" t="s">
        <v>763</v>
      </c>
      <c r="B629" s="106" t="s">
        <v>37</v>
      </c>
      <c r="C629" s="106" t="s">
        <v>322</v>
      </c>
      <c r="D629" s="106" t="s">
        <v>329</v>
      </c>
      <c r="E629" s="106" t="s">
        <v>37</v>
      </c>
      <c r="F629" s="107" t="s">
        <v>371</v>
      </c>
      <c r="G629" s="106" t="s">
        <v>369</v>
      </c>
      <c r="H629" s="106" t="s">
        <v>253</v>
      </c>
      <c r="I629" s="106" t="s">
        <v>20</v>
      </c>
      <c r="J629" s="106" t="s">
        <v>231</v>
      </c>
      <c r="K629" s="106"/>
      <c r="L629" s="108">
        <v>2.5</v>
      </c>
      <c r="M629" s="108">
        <f>L629*VLOOKUP(I629,dagsoorttabel1,2,FALSE)</f>
        <v>3.9215686274509803E-2</v>
      </c>
      <c r="N629" s="109">
        <f>prodnorm66</f>
        <v>0</v>
      </c>
      <c r="O629" s="106" t="s">
        <v>105</v>
      </c>
      <c r="P629" s="28">
        <f>uurtarief66</f>
        <v>0</v>
      </c>
      <c r="Q629" s="108" t="e">
        <f>IF(ISBLANK(N629),0,M629/ROUND(N629,4))</f>
        <v>#DIV/0!</v>
      </c>
      <c r="R629" s="28" t="e">
        <f>ROUND(P629,2)*Q629</f>
        <v>#DIV/0!</v>
      </c>
      <c r="S629" s="108" t="e">
        <f>Q629*dagenperjaar1</f>
        <v>#DIV/0!</v>
      </c>
      <c r="T629" s="29" t="e">
        <f>S629*ROUND(P629,2)</f>
        <v>#DIV/0!</v>
      </c>
    </row>
    <row r="630" spans="1:20" x14ac:dyDescent="0.2">
      <c r="A630" s="105" t="s">
        <v>763</v>
      </c>
      <c r="B630" s="106" t="s">
        <v>37</v>
      </c>
      <c r="C630" s="106" t="s">
        <v>322</v>
      </c>
      <c r="D630" s="106" t="s">
        <v>332</v>
      </c>
      <c r="E630" s="106" t="s">
        <v>37</v>
      </c>
      <c r="F630" s="107" t="s">
        <v>615</v>
      </c>
      <c r="G630" s="106" t="s">
        <v>369</v>
      </c>
      <c r="H630" s="106" t="s">
        <v>267</v>
      </c>
      <c r="I630" s="106" t="s">
        <v>20</v>
      </c>
      <c r="J630" s="106" t="s">
        <v>231</v>
      </c>
      <c r="K630" s="106"/>
      <c r="L630" s="108">
        <v>1.5</v>
      </c>
      <c r="M630" s="108">
        <f>L630*VLOOKUP(I630,dagsoorttabel1,2,FALSE)</f>
        <v>2.3529411764705882E-2</v>
      </c>
      <c r="N630" s="109">
        <f>prodnorm99</f>
        <v>0</v>
      </c>
      <c r="O630" s="106" t="s">
        <v>105</v>
      </c>
      <c r="P630" s="28">
        <f>uurtarief99</f>
        <v>0</v>
      </c>
      <c r="Q630" s="108" t="e">
        <f>IF(ISBLANK(N630),0,M630/ROUND(N630,4))</f>
        <v>#DIV/0!</v>
      </c>
      <c r="R630" s="28" t="e">
        <f>ROUND(P630,2)*Q630</f>
        <v>#DIV/0!</v>
      </c>
      <c r="S630" s="108" t="e">
        <f>Q630*dagenperjaar1</f>
        <v>#DIV/0!</v>
      </c>
      <c r="T630" s="29" t="e">
        <f>S630*ROUND(P630,2)</f>
        <v>#DIV/0!</v>
      </c>
    </row>
    <row r="631" spans="1:20" x14ac:dyDescent="0.2">
      <c r="A631" s="105" t="s">
        <v>763</v>
      </c>
      <c r="B631" s="106" t="s">
        <v>37</v>
      </c>
      <c r="C631" s="106" t="s">
        <v>322</v>
      </c>
      <c r="D631" s="106" t="s">
        <v>334</v>
      </c>
      <c r="E631" s="106" t="s">
        <v>37</v>
      </c>
      <c r="F631" s="107" t="s">
        <v>764</v>
      </c>
      <c r="G631" s="106" t="s">
        <v>632</v>
      </c>
      <c r="H631" s="106" t="s">
        <v>247</v>
      </c>
      <c r="I631" s="106" t="s">
        <v>20</v>
      </c>
      <c r="J631" s="106" t="s">
        <v>231</v>
      </c>
      <c r="K631" s="106"/>
      <c r="L631" s="108">
        <v>95</v>
      </c>
      <c r="M631" s="108">
        <f>L631*VLOOKUP(I631,dagsoorttabel1,2,FALSE)</f>
        <v>1.4901960784313726</v>
      </c>
      <c r="N631" s="109">
        <f>prodnorm54</f>
        <v>0</v>
      </c>
      <c r="O631" s="106" t="s">
        <v>105</v>
      </c>
      <c r="P631" s="28">
        <f>uurtarief54</f>
        <v>0</v>
      </c>
      <c r="Q631" s="108" t="e">
        <f>IF(ISBLANK(N631),0,M631/ROUND(N631,4))</f>
        <v>#DIV/0!</v>
      </c>
      <c r="R631" s="28" t="e">
        <f>ROUND(P631,2)*Q631</f>
        <v>#DIV/0!</v>
      </c>
      <c r="S631" s="108" t="e">
        <f>Q631*dagenperjaar1</f>
        <v>#DIV/0!</v>
      </c>
      <c r="T631" s="29" t="e">
        <f>S631*ROUND(P631,2)</f>
        <v>#DIV/0!</v>
      </c>
    </row>
    <row r="632" spans="1:20" x14ac:dyDescent="0.2">
      <c r="A632" s="110" t="s">
        <v>763</v>
      </c>
      <c r="B632" s="111" t="s">
        <v>37</v>
      </c>
      <c r="C632" s="111" t="s">
        <v>322</v>
      </c>
      <c r="D632" s="111" t="s">
        <v>336</v>
      </c>
      <c r="E632" s="111" t="s">
        <v>37</v>
      </c>
      <c r="F632" s="112" t="s">
        <v>654</v>
      </c>
      <c r="G632" s="111" t="s">
        <v>358</v>
      </c>
      <c r="H632" s="111" t="s">
        <v>290</v>
      </c>
      <c r="I632" s="111" t="s">
        <v>20</v>
      </c>
      <c r="J632" s="111" t="s">
        <v>231</v>
      </c>
      <c r="K632" s="111"/>
      <c r="L632" s="113">
        <v>1</v>
      </c>
      <c r="M632" s="113">
        <f>L632*VLOOKUP(I632,dagsoorttabel1,2,FALSE)</f>
        <v>1.5686274509803921E-2</v>
      </c>
      <c r="N632" s="114">
        <f>prodnorm145</f>
        <v>0</v>
      </c>
      <c r="O632" s="111" t="s">
        <v>105</v>
      </c>
      <c r="P632" s="38">
        <f>uurtarief145</f>
        <v>0</v>
      </c>
      <c r="Q632" s="113" t="e">
        <f>IF(ISBLANK(N632),0,M632/ROUND(N632,4))</f>
        <v>#DIV/0!</v>
      </c>
      <c r="R632" s="38" t="e">
        <f>ROUND(P632,2)*Q632</f>
        <v>#DIV/0!</v>
      </c>
      <c r="S632" s="113" t="e">
        <f>Q632*dagenperjaar1</f>
        <v>#DIV/0!</v>
      </c>
      <c r="T632" s="39" t="e">
        <f>S632*ROUND(P632,2)</f>
        <v>#DIV/0!</v>
      </c>
    </row>
    <row r="633" spans="1:20" x14ac:dyDescent="0.2">
      <c r="A633" s="115" t="s">
        <v>546</v>
      </c>
      <c r="B633" s="83"/>
      <c r="C633" s="83"/>
      <c r="D633" s="83"/>
      <c r="E633" s="83"/>
      <c r="F633" s="83"/>
      <c r="G633" s="83"/>
      <c r="H633" s="83"/>
      <c r="I633" s="83"/>
      <c r="J633" s="83"/>
      <c r="K633" s="83"/>
      <c r="L633" s="83"/>
      <c r="M633" s="83"/>
      <c r="N633" s="83"/>
      <c r="O633" s="83"/>
      <c r="P633" s="85" t="e">
        <f>IF(_xlfn.SINGLE(object29_urenjaar1)&gt;0,_xlfn.SINGLE(object29_prijsjaar1)/_xlfn.SINGLE(object29_urenjaar1),0)</f>
        <v>#DIV/0!</v>
      </c>
      <c r="Q633" s="84" t="e">
        <f>SUM(Q627:Q632)</f>
        <v>#DIV/0!</v>
      </c>
      <c r="R633" s="85" t="e">
        <f>SUM(R627:R632)</f>
        <v>#DIV/0!</v>
      </c>
      <c r="S633" s="84" t="e">
        <f>SUM(S627:S632)</f>
        <v>#DIV/0!</v>
      </c>
      <c r="T633" s="86" t="e">
        <f>SUM(T627:T632)</f>
        <v>#DIV/0!</v>
      </c>
    </row>
    <row r="634" spans="1:20" x14ac:dyDescent="0.2">
      <c r="A634" s="91" t="s">
        <v>765</v>
      </c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81"/>
    </row>
    <row r="635" spans="1:20" x14ac:dyDescent="0.2">
      <c r="A635" s="98" t="s">
        <v>766</v>
      </c>
      <c r="B635" s="99" t="s">
        <v>37</v>
      </c>
      <c r="C635" s="99" t="s">
        <v>322</v>
      </c>
      <c r="D635" s="99" t="s">
        <v>323</v>
      </c>
      <c r="E635" s="99" t="s">
        <v>37</v>
      </c>
      <c r="F635" s="100" t="s">
        <v>454</v>
      </c>
      <c r="G635" s="99" t="s">
        <v>331</v>
      </c>
      <c r="H635" s="99" t="s">
        <v>273</v>
      </c>
      <c r="I635" s="99" t="s">
        <v>20</v>
      </c>
      <c r="J635" s="99" t="s">
        <v>231</v>
      </c>
      <c r="K635" s="99"/>
      <c r="L635" s="101">
        <v>5</v>
      </c>
      <c r="M635" s="101">
        <f>L635*VLOOKUP(I635,dagsoorttabel1,2,FALSE)</f>
        <v>7.8431372549019607E-2</v>
      </c>
      <c r="N635" s="102">
        <f>prodnorm111</f>
        <v>0</v>
      </c>
      <c r="O635" s="99" t="s">
        <v>105</v>
      </c>
      <c r="P635" s="103">
        <f>uurtarief111</f>
        <v>0</v>
      </c>
      <c r="Q635" s="101" t="e">
        <f>IF(ISBLANK(N635),0,M635/ROUND(N635,4))</f>
        <v>#DIV/0!</v>
      </c>
      <c r="R635" s="103" t="e">
        <f>ROUND(P635,2)*Q635</f>
        <v>#DIV/0!</v>
      </c>
      <c r="S635" s="101" t="e">
        <f>Q635*dagenperjaar1</f>
        <v>#DIV/0!</v>
      </c>
      <c r="T635" s="104" t="e">
        <f>S635*ROUND(P635,2)</f>
        <v>#DIV/0!</v>
      </c>
    </row>
    <row r="636" spans="1:20" x14ac:dyDescent="0.2">
      <c r="A636" s="105" t="s">
        <v>766</v>
      </c>
      <c r="B636" s="106" t="s">
        <v>37</v>
      </c>
      <c r="C636" s="106" t="s">
        <v>322</v>
      </c>
      <c r="D636" s="106" t="s">
        <v>326</v>
      </c>
      <c r="E636" s="106" t="s">
        <v>37</v>
      </c>
      <c r="F636" s="107" t="s">
        <v>735</v>
      </c>
      <c r="G636" s="106" t="s">
        <v>369</v>
      </c>
      <c r="H636" s="106" t="s">
        <v>288</v>
      </c>
      <c r="I636" s="106" t="s">
        <v>20</v>
      </c>
      <c r="J636" s="106" t="s">
        <v>231</v>
      </c>
      <c r="K636" s="106"/>
      <c r="L636" s="108">
        <v>61.5</v>
      </c>
      <c r="M636" s="108">
        <f>L636*VLOOKUP(I636,dagsoorttabel1,2,FALSE)</f>
        <v>0.96470588235294119</v>
      </c>
      <c r="N636" s="109">
        <f>prodnorm138</f>
        <v>0</v>
      </c>
      <c r="O636" s="106" t="s">
        <v>105</v>
      </c>
      <c r="P636" s="28">
        <f>uurtarief138</f>
        <v>0</v>
      </c>
      <c r="Q636" s="108" t="e">
        <f>IF(ISBLANK(N636),0,M636/ROUND(N636,4))</f>
        <v>#DIV/0!</v>
      </c>
      <c r="R636" s="28" t="e">
        <f>ROUND(P636,2)*Q636</f>
        <v>#DIV/0!</v>
      </c>
      <c r="S636" s="108" t="e">
        <f>Q636*dagenperjaar1</f>
        <v>#DIV/0!</v>
      </c>
      <c r="T636" s="29" t="e">
        <f>S636*ROUND(P636,2)</f>
        <v>#DIV/0!</v>
      </c>
    </row>
    <row r="637" spans="1:20" x14ac:dyDescent="0.2">
      <c r="A637" s="105" t="s">
        <v>766</v>
      </c>
      <c r="B637" s="106" t="s">
        <v>37</v>
      </c>
      <c r="C637" s="106" t="s">
        <v>322</v>
      </c>
      <c r="D637" s="106" t="s">
        <v>329</v>
      </c>
      <c r="E637" s="106" t="s">
        <v>37</v>
      </c>
      <c r="F637" s="107" t="s">
        <v>735</v>
      </c>
      <c r="G637" s="106" t="s">
        <v>632</v>
      </c>
      <c r="H637" s="106" t="s">
        <v>288</v>
      </c>
      <c r="I637" s="106" t="s">
        <v>20</v>
      </c>
      <c r="J637" s="106" t="s">
        <v>231</v>
      </c>
      <c r="K637" s="106"/>
      <c r="L637" s="108">
        <v>7.2</v>
      </c>
      <c r="M637" s="108">
        <f>L637*VLOOKUP(I637,dagsoorttabel1,2,FALSE)</f>
        <v>0.11294117647058824</v>
      </c>
      <c r="N637" s="109">
        <f>prodnorm138</f>
        <v>0</v>
      </c>
      <c r="O637" s="106" t="s">
        <v>105</v>
      </c>
      <c r="P637" s="28">
        <f>uurtarief138</f>
        <v>0</v>
      </c>
      <c r="Q637" s="108" t="e">
        <f>IF(ISBLANK(N637),0,M637/ROUND(N637,4))</f>
        <v>#DIV/0!</v>
      </c>
      <c r="R637" s="28" t="e">
        <f>ROUND(P637,2)*Q637</f>
        <v>#DIV/0!</v>
      </c>
      <c r="S637" s="108" t="e">
        <f>Q637*dagenperjaar1</f>
        <v>#DIV/0!</v>
      </c>
      <c r="T637" s="29" t="e">
        <f>S637*ROUND(P637,2)</f>
        <v>#DIV/0!</v>
      </c>
    </row>
    <row r="638" spans="1:20" x14ac:dyDescent="0.2">
      <c r="A638" s="105" t="s">
        <v>766</v>
      </c>
      <c r="B638" s="106" t="s">
        <v>37</v>
      </c>
      <c r="C638" s="106" t="s">
        <v>322</v>
      </c>
      <c r="D638" s="106" t="s">
        <v>332</v>
      </c>
      <c r="E638" s="106" t="s">
        <v>37</v>
      </c>
      <c r="F638" s="107" t="s">
        <v>654</v>
      </c>
      <c r="G638" s="106" t="s">
        <v>660</v>
      </c>
      <c r="H638" s="106" t="s">
        <v>290</v>
      </c>
      <c r="I638" s="106" t="s">
        <v>20</v>
      </c>
      <c r="J638" s="106" t="s">
        <v>231</v>
      </c>
      <c r="K638" s="106"/>
      <c r="L638" s="108">
        <v>6</v>
      </c>
      <c r="M638" s="108">
        <f>L638*VLOOKUP(I638,dagsoorttabel1,2,FALSE)</f>
        <v>9.4117647058823528E-2</v>
      </c>
      <c r="N638" s="109">
        <f>prodnorm145</f>
        <v>0</v>
      </c>
      <c r="O638" s="106" t="s">
        <v>105</v>
      </c>
      <c r="P638" s="28">
        <f>uurtarief145</f>
        <v>0</v>
      </c>
      <c r="Q638" s="108" t="e">
        <f>IF(ISBLANK(N638),0,M638/ROUND(N638,4))</f>
        <v>#DIV/0!</v>
      </c>
      <c r="R638" s="28" t="e">
        <f>ROUND(P638,2)*Q638</f>
        <v>#DIV/0!</v>
      </c>
      <c r="S638" s="108" t="e">
        <f>Q638*dagenperjaar1</f>
        <v>#DIV/0!</v>
      </c>
      <c r="T638" s="29" t="e">
        <f>S638*ROUND(P638,2)</f>
        <v>#DIV/0!</v>
      </c>
    </row>
    <row r="639" spans="1:20" x14ac:dyDescent="0.2">
      <c r="A639" s="105" t="s">
        <v>766</v>
      </c>
      <c r="B639" s="106" t="s">
        <v>37</v>
      </c>
      <c r="C639" s="106" t="s">
        <v>322</v>
      </c>
      <c r="D639" s="106" t="s">
        <v>334</v>
      </c>
      <c r="E639" s="106" t="s">
        <v>37</v>
      </c>
      <c r="F639" s="107" t="s">
        <v>454</v>
      </c>
      <c r="G639" s="106" t="s">
        <v>331</v>
      </c>
      <c r="H639" s="106" t="s">
        <v>273</v>
      </c>
      <c r="I639" s="106" t="s">
        <v>20</v>
      </c>
      <c r="J639" s="106" t="s">
        <v>231</v>
      </c>
      <c r="K639" s="106"/>
      <c r="L639" s="108">
        <v>20</v>
      </c>
      <c r="M639" s="108">
        <f>L639*VLOOKUP(I639,dagsoorttabel1,2,FALSE)</f>
        <v>0.31372549019607843</v>
      </c>
      <c r="N639" s="109">
        <f>prodnorm111</f>
        <v>0</v>
      </c>
      <c r="O639" s="106" t="s">
        <v>105</v>
      </c>
      <c r="P639" s="28">
        <f>uurtarief111</f>
        <v>0</v>
      </c>
      <c r="Q639" s="108" t="e">
        <f>IF(ISBLANK(N639),0,M639/ROUND(N639,4))</f>
        <v>#DIV/0!</v>
      </c>
      <c r="R639" s="28" t="e">
        <f>ROUND(P639,2)*Q639</f>
        <v>#DIV/0!</v>
      </c>
      <c r="S639" s="108" t="e">
        <f>Q639*dagenperjaar1</f>
        <v>#DIV/0!</v>
      </c>
      <c r="T639" s="29" t="e">
        <f>S639*ROUND(P639,2)</f>
        <v>#DIV/0!</v>
      </c>
    </row>
    <row r="640" spans="1:20" x14ac:dyDescent="0.2">
      <c r="A640" s="105" t="s">
        <v>766</v>
      </c>
      <c r="B640" s="106" t="s">
        <v>37</v>
      </c>
      <c r="C640" s="106" t="s">
        <v>322</v>
      </c>
      <c r="D640" s="106" t="s">
        <v>336</v>
      </c>
      <c r="E640" s="106" t="s">
        <v>37</v>
      </c>
      <c r="F640" s="107" t="s">
        <v>307</v>
      </c>
      <c r="G640" s="106" t="s">
        <v>331</v>
      </c>
      <c r="H640" s="106" t="s">
        <v>306</v>
      </c>
      <c r="I640" s="106" t="s">
        <v>20</v>
      </c>
      <c r="J640" s="106" t="s">
        <v>299</v>
      </c>
      <c r="K640" s="106"/>
      <c r="L640" s="108">
        <v>10</v>
      </c>
      <c r="M640" s="108">
        <f>L640*VLOOKUP(I640,dagsoorttabel1,2,FALSE)</f>
        <v>0.15686274509803921</v>
      </c>
      <c r="N640" s="109">
        <f>prodnorm30</f>
        <v>0</v>
      </c>
      <c r="O640" s="106" t="s">
        <v>105</v>
      </c>
      <c r="P640" s="28">
        <f>uurtarief30</f>
        <v>0</v>
      </c>
      <c r="Q640" s="108" t="e">
        <f>IF(ISBLANK(N640),0,M640/ROUND(N640,4))</f>
        <v>#DIV/0!</v>
      </c>
      <c r="R640" s="28" t="e">
        <f>ROUND(P640,2)*Q640</f>
        <v>#DIV/0!</v>
      </c>
      <c r="S640" s="108" t="e">
        <f>Q640*dagenperjaar1</f>
        <v>#DIV/0!</v>
      </c>
      <c r="T640" s="29" t="e">
        <f>S640*ROUND(P640,2)</f>
        <v>#DIV/0!</v>
      </c>
    </row>
    <row r="641" spans="1:20" x14ac:dyDescent="0.2">
      <c r="A641" s="110" t="s">
        <v>766</v>
      </c>
      <c r="B641" s="111" t="s">
        <v>37</v>
      </c>
      <c r="C641" s="111" t="s">
        <v>322</v>
      </c>
      <c r="D641" s="111" t="s">
        <v>338</v>
      </c>
      <c r="E641" s="111" t="s">
        <v>37</v>
      </c>
      <c r="F641" s="112" t="s">
        <v>615</v>
      </c>
      <c r="G641" s="111" t="s">
        <v>369</v>
      </c>
      <c r="H641" s="111" t="s">
        <v>267</v>
      </c>
      <c r="I641" s="111" t="s">
        <v>20</v>
      </c>
      <c r="J641" s="111" t="s">
        <v>231</v>
      </c>
      <c r="K641" s="111"/>
      <c r="L641" s="113">
        <v>1.9000000000000001</v>
      </c>
      <c r="M641" s="113">
        <f>L641*VLOOKUP(I641,dagsoorttabel1,2,FALSE)</f>
        <v>2.9803921568627451E-2</v>
      </c>
      <c r="N641" s="114">
        <f>prodnorm99</f>
        <v>0</v>
      </c>
      <c r="O641" s="111" t="s">
        <v>105</v>
      </c>
      <c r="P641" s="38">
        <f>uurtarief99</f>
        <v>0</v>
      </c>
      <c r="Q641" s="113" t="e">
        <f>IF(ISBLANK(N641),0,M641/ROUND(N641,4))</f>
        <v>#DIV/0!</v>
      </c>
      <c r="R641" s="38" t="e">
        <f>ROUND(P641,2)*Q641</f>
        <v>#DIV/0!</v>
      </c>
      <c r="S641" s="113" t="e">
        <f>Q641*dagenperjaar1</f>
        <v>#DIV/0!</v>
      </c>
      <c r="T641" s="39" t="e">
        <f>S641*ROUND(P641,2)</f>
        <v>#DIV/0!</v>
      </c>
    </row>
    <row r="642" spans="1:20" x14ac:dyDescent="0.2">
      <c r="A642" s="115" t="s">
        <v>546</v>
      </c>
      <c r="B642" s="83"/>
      <c r="C642" s="83"/>
      <c r="D642" s="83"/>
      <c r="E642" s="83"/>
      <c r="F642" s="83"/>
      <c r="G642" s="83"/>
      <c r="H642" s="83"/>
      <c r="I642" s="83"/>
      <c r="J642" s="83"/>
      <c r="K642" s="83"/>
      <c r="L642" s="83"/>
      <c r="M642" s="83"/>
      <c r="N642" s="83"/>
      <c r="O642" s="83"/>
      <c r="P642" s="85" t="e">
        <f>IF(_xlfn.SINGLE(object30_urenjaar1)&gt;0,_xlfn.SINGLE(object30_prijsjaar1)/_xlfn.SINGLE(object30_urenjaar1),0)</f>
        <v>#DIV/0!</v>
      </c>
      <c r="Q642" s="84" t="e">
        <f>SUM(Q635:Q641)</f>
        <v>#DIV/0!</v>
      </c>
      <c r="R642" s="85" t="e">
        <f>SUM(R635:R641)</f>
        <v>#DIV/0!</v>
      </c>
      <c r="S642" s="84" t="e">
        <f>SUM(S635:S641)</f>
        <v>#DIV/0!</v>
      </c>
      <c r="T642" s="86" t="e">
        <f>SUM(T635:T641)</f>
        <v>#DIV/0!</v>
      </c>
    </row>
    <row r="643" spans="1:20" x14ac:dyDescent="0.2">
      <c r="A643" s="91" t="s">
        <v>767</v>
      </c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81"/>
    </row>
    <row r="644" spans="1:20" x14ac:dyDescent="0.2">
      <c r="A644" s="98" t="s">
        <v>768</v>
      </c>
      <c r="B644" s="99" t="s">
        <v>37</v>
      </c>
      <c r="C644" s="99" t="s">
        <v>733</v>
      </c>
      <c r="D644" s="99" t="s">
        <v>734</v>
      </c>
      <c r="E644" s="99" t="s">
        <v>37</v>
      </c>
      <c r="F644" s="100" t="s">
        <v>735</v>
      </c>
      <c r="G644" s="99" t="s">
        <v>632</v>
      </c>
      <c r="H644" s="99" t="s">
        <v>288</v>
      </c>
      <c r="I644" s="99" t="s">
        <v>20</v>
      </c>
      <c r="J644" s="99" t="s">
        <v>231</v>
      </c>
      <c r="K644" s="99"/>
      <c r="L644" s="101">
        <v>25</v>
      </c>
      <c r="M644" s="101">
        <f>L644*VLOOKUP(I644,dagsoorttabel1,2,FALSE)</f>
        <v>0.39215686274509803</v>
      </c>
      <c r="N644" s="102">
        <f>prodnorm138</f>
        <v>0</v>
      </c>
      <c r="O644" s="99" t="s">
        <v>105</v>
      </c>
      <c r="P644" s="103">
        <f>uurtarief138</f>
        <v>0</v>
      </c>
      <c r="Q644" s="101" t="e">
        <f>IF(ISBLANK(N644),0,M644/ROUND(N644,4))</f>
        <v>#DIV/0!</v>
      </c>
      <c r="R644" s="103" t="e">
        <f>ROUND(P644,2)*Q644</f>
        <v>#DIV/0!</v>
      </c>
      <c r="S644" s="101" t="e">
        <f>Q644*dagenperjaar1</f>
        <v>#DIV/0!</v>
      </c>
      <c r="T644" s="104" t="e">
        <f>S644*ROUND(P644,2)</f>
        <v>#DIV/0!</v>
      </c>
    </row>
    <row r="645" spans="1:20" x14ac:dyDescent="0.2">
      <c r="A645" s="110" t="s">
        <v>768</v>
      </c>
      <c r="B645" s="111" t="s">
        <v>37</v>
      </c>
      <c r="C645" s="111" t="s">
        <v>322</v>
      </c>
      <c r="D645" s="111" t="s">
        <v>323</v>
      </c>
      <c r="E645" s="111" t="s">
        <v>37</v>
      </c>
      <c r="F645" s="112" t="s">
        <v>307</v>
      </c>
      <c r="G645" s="111" t="s">
        <v>369</v>
      </c>
      <c r="H645" s="111" t="s">
        <v>306</v>
      </c>
      <c r="I645" s="111" t="s">
        <v>20</v>
      </c>
      <c r="J645" s="111" t="s">
        <v>299</v>
      </c>
      <c r="K645" s="111"/>
      <c r="L645" s="113">
        <v>23.8</v>
      </c>
      <c r="M645" s="113">
        <f>L645*VLOOKUP(I645,dagsoorttabel1,2,FALSE)</f>
        <v>0.37333333333333335</v>
      </c>
      <c r="N645" s="114">
        <f>prodnorm30</f>
        <v>0</v>
      </c>
      <c r="O645" s="111" t="s">
        <v>105</v>
      </c>
      <c r="P645" s="38">
        <f>uurtarief30</f>
        <v>0</v>
      </c>
      <c r="Q645" s="113" t="e">
        <f>IF(ISBLANK(N645),0,M645/ROUND(N645,4))</f>
        <v>#DIV/0!</v>
      </c>
      <c r="R645" s="38" t="e">
        <f>ROUND(P645,2)*Q645</f>
        <v>#DIV/0!</v>
      </c>
      <c r="S645" s="113" t="e">
        <f>Q645*dagenperjaar1</f>
        <v>#DIV/0!</v>
      </c>
      <c r="T645" s="39" t="e">
        <f>S645*ROUND(P645,2)</f>
        <v>#DIV/0!</v>
      </c>
    </row>
    <row r="646" spans="1:20" x14ac:dyDescent="0.2">
      <c r="A646" s="115" t="s">
        <v>546</v>
      </c>
      <c r="B646" s="83"/>
      <c r="C646" s="83"/>
      <c r="D646" s="83"/>
      <c r="E646" s="83"/>
      <c r="F646" s="83"/>
      <c r="G646" s="83"/>
      <c r="H646" s="83"/>
      <c r="I646" s="83"/>
      <c r="J646" s="83"/>
      <c r="K646" s="83"/>
      <c r="L646" s="83"/>
      <c r="M646" s="83"/>
      <c r="N646" s="83"/>
      <c r="O646" s="83"/>
      <c r="P646" s="85" t="e">
        <f>IF(_xlfn.SINGLE(object31_urenjaar1)&gt;0,_xlfn.SINGLE(object31_prijsjaar1)/_xlfn.SINGLE(object31_urenjaar1),0)</f>
        <v>#DIV/0!</v>
      </c>
      <c r="Q646" s="84" t="e">
        <f>SUM(Q644:Q645)</f>
        <v>#DIV/0!</v>
      </c>
      <c r="R646" s="85" t="e">
        <f>SUM(R644:R645)</f>
        <v>#DIV/0!</v>
      </c>
      <c r="S646" s="84" t="e">
        <f>SUM(S644:S645)</f>
        <v>#DIV/0!</v>
      </c>
      <c r="T646" s="86" t="e">
        <f>SUM(T644:T645)</f>
        <v>#DIV/0!</v>
      </c>
    </row>
    <row r="647" spans="1:20" x14ac:dyDescent="0.2">
      <c r="A647" s="91" t="s">
        <v>769</v>
      </c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81"/>
    </row>
    <row r="648" spans="1:20" x14ac:dyDescent="0.2">
      <c r="A648" s="53" t="s">
        <v>770</v>
      </c>
      <c r="B648" s="54" t="s">
        <v>37</v>
      </c>
      <c r="C648" s="54" t="s">
        <v>322</v>
      </c>
      <c r="D648" s="54" t="s">
        <v>323</v>
      </c>
      <c r="E648" s="54" t="s">
        <v>37</v>
      </c>
      <c r="F648" s="92" t="s">
        <v>307</v>
      </c>
      <c r="G648" s="54" t="s">
        <v>632</v>
      </c>
      <c r="H648" s="54" t="s">
        <v>306</v>
      </c>
      <c r="I648" s="54" t="s">
        <v>20</v>
      </c>
      <c r="J648" s="54" t="s">
        <v>299</v>
      </c>
      <c r="K648" s="54"/>
      <c r="L648" s="72">
        <v>4.7</v>
      </c>
      <c r="M648" s="72">
        <f>L648*VLOOKUP(I648,dagsoorttabel1,2,FALSE)</f>
        <v>7.3725490196078436E-2</v>
      </c>
      <c r="N648" s="73">
        <f>prodnorm30</f>
        <v>0</v>
      </c>
      <c r="O648" s="54" t="s">
        <v>105</v>
      </c>
      <c r="P648" s="55">
        <f>uurtarief30</f>
        <v>0</v>
      </c>
      <c r="Q648" s="72" t="e">
        <f>IF(ISBLANK(N648),0,M648/ROUND(N648,4))</f>
        <v>#DIV/0!</v>
      </c>
      <c r="R648" s="55" t="e">
        <f>ROUND(P648,2)*Q648</f>
        <v>#DIV/0!</v>
      </c>
      <c r="S648" s="72" t="e">
        <f>Q648*dagenperjaar1</f>
        <v>#DIV/0!</v>
      </c>
      <c r="T648" s="56" t="e">
        <f>S648*ROUND(P648,2)</f>
        <v>#DIV/0!</v>
      </c>
    </row>
    <row r="649" spans="1:20" x14ac:dyDescent="0.2">
      <c r="A649" s="50" t="s">
        <v>771</v>
      </c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2"/>
    </row>
    <row r="650" spans="1:20" x14ac:dyDescent="0.2">
      <c r="A650" s="98" t="s">
        <v>772</v>
      </c>
      <c r="B650" s="99" t="s">
        <v>37</v>
      </c>
      <c r="C650" s="99" t="s">
        <v>322</v>
      </c>
      <c r="D650" s="99" t="s">
        <v>323</v>
      </c>
      <c r="E650" s="99" t="s">
        <v>37</v>
      </c>
      <c r="F650" s="100" t="s">
        <v>592</v>
      </c>
      <c r="G650" s="99" t="s">
        <v>376</v>
      </c>
      <c r="H650" s="99" t="s">
        <v>279</v>
      </c>
      <c r="I650" s="99" t="s">
        <v>14</v>
      </c>
      <c r="J650" s="99" t="s">
        <v>231</v>
      </c>
      <c r="K650" s="99"/>
      <c r="L650" s="101">
        <v>9</v>
      </c>
      <c r="M650" s="101">
        <f>L650*VLOOKUP(I650,dagsoorttabel1,2,FALSE)</f>
        <v>0.91764705882352937</v>
      </c>
      <c r="N650" s="102">
        <f>prodnorm121</f>
        <v>0</v>
      </c>
      <c r="O650" s="99" t="s">
        <v>105</v>
      </c>
      <c r="P650" s="103">
        <f>uurtarief121</f>
        <v>0</v>
      </c>
      <c r="Q650" s="101" t="e">
        <f>IF(ISBLANK(N650),0,M650/ROUND(N650,4))</f>
        <v>#DIV/0!</v>
      </c>
      <c r="R650" s="103" t="e">
        <f>ROUND(P650,2)*Q650</f>
        <v>#DIV/0!</v>
      </c>
      <c r="S650" s="101" t="e">
        <f>Q650*dagenperjaar1</f>
        <v>#DIV/0!</v>
      </c>
      <c r="T650" s="104" t="e">
        <f>S650*ROUND(P650,2)</f>
        <v>#DIV/0!</v>
      </c>
    </row>
    <row r="651" spans="1:20" x14ac:dyDescent="0.2">
      <c r="A651" s="105" t="s">
        <v>772</v>
      </c>
      <c r="B651" s="106" t="s">
        <v>37</v>
      </c>
      <c r="C651" s="106" t="s">
        <v>322</v>
      </c>
      <c r="D651" s="106" t="s">
        <v>326</v>
      </c>
      <c r="E651" s="106" t="s">
        <v>37</v>
      </c>
      <c r="F651" s="107" t="s">
        <v>615</v>
      </c>
      <c r="G651" s="106" t="s">
        <v>376</v>
      </c>
      <c r="H651" s="106" t="s">
        <v>267</v>
      </c>
      <c r="I651" s="106" t="s">
        <v>14</v>
      </c>
      <c r="J651" s="106" t="s">
        <v>231</v>
      </c>
      <c r="K651" s="106"/>
      <c r="L651" s="108">
        <v>3</v>
      </c>
      <c r="M651" s="108">
        <f>L651*VLOOKUP(I651,dagsoorttabel1,2,FALSE)</f>
        <v>0.30588235294117649</v>
      </c>
      <c r="N651" s="109">
        <f>prodnorm95</f>
        <v>0</v>
      </c>
      <c r="O651" s="106" t="s">
        <v>105</v>
      </c>
      <c r="P651" s="28">
        <f>uurtarief95</f>
        <v>0</v>
      </c>
      <c r="Q651" s="108" t="e">
        <f>IF(ISBLANK(N651),0,M651/ROUND(N651,4))</f>
        <v>#DIV/0!</v>
      </c>
      <c r="R651" s="28" t="e">
        <f>ROUND(P651,2)*Q651</f>
        <v>#DIV/0!</v>
      </c>
      <c r="S651" s="108" t="e">
        <f>Q651*dagenperjaar1</f>
        <v>#DIV/0!</v>
      </c>
      <c r="T651" s="29" t="e">
        <f>S651*ROUND(P651,2)</f>
        <v>#DIV/0!</v>
      </c>
    </row>
    <row r="652" spans="1:20" x14ac:dyDescent="0.2">
      <c r="A652" s="105" t="s">
        <v>772</v>
      </c>
      <c r="B652" s="106" t="s">
        <v>37</v>
      </c>
      <c r="C652" s="106" t="s">
        <v>322</v>
      </c>
      <c r="D652" s="106" t="s">
        <v>329</v>
      </c>
      <c r="E652" s="106" t="s">
        <v>37</v>
      </c>
      <c r="F652" s="107" t="s">
        <v>773</v>
      </c>
      <c r="G652" s="106" t="s">
        <v>376</v>
      </c>
      <c r="H652" s="106" t="s">
        <v>257</v>
      </c>
      <c r="I652" s="106" t="s">
        <v>14</v>
      </c>
      <c r="J652" s="106" t="s">
        <v>231</v>
      </c>
      <c r="K652" s="106"/>
      <c r="L652" s="108">
        <v>15</v>
      </c>
      <c r="M652" s="108">
        <f>L652*VLOOKUP(I652,dagsoorttabel1,2,FALSE)</f>
        <v>1.5294117647058822</v>
      </c>
      <c r="N652" s="109">
        <f>prodnorm75</f>
        <v>0</v>
      </c>
      <c r="O652" s="106" t="s">
        <v>105</v>
      </c>
      <c r="P652" s="28">
        <f>uurtarief75</f>
        <v>0</v>
      </c>
      <c r="Q652" s="108" t="e">
        <f>IF(ISBLANK(N652),0,M652/ROUND(N652,4))</f>
        <v>#DIV/0!</v>
      </c>
      <c r="R652" s="28" t="e">
        <f>ROUND(P652,2)*Q652</f>
        <v>#DIV/0!</v>
      </c>
      <c r="S652" s="108" t="e">
        <f>Q652*dagenperjaar1</f>
        <v>#DIV/0!</v>
      </c>
      <c r="T652" s="29" t="e">
        <f>S652*ROUND(P652,2)</f>
        <v>#DIV/0!</v>
      </c>
    </row>
    <row r="653" spans="1:20" x14ac:dyDescent="0.2">
      <c r="A653" s="105" t="s">
        <v>772</v>
      </c>
      <c r="B653" s="106" t="s">
        <v>37</v>
      </c>
      <c r="C653" s="106" t="s">
        <v>322</v>
      </c>
      <c r="D653" s="106" t="s">
        <v>332</v>
      </c>
      <c r="E653" s="106" t="s">
        <v>37</v>
      </c>
      <c r="F653" s="107" t="s">
        <v>774</v>
      </c>
      <c r="G653" s="106" t="s">
        <v>376</v>
      </c>
      <c r="H653" s="106" t="s">
        <v>251</v>
      </c>
      <c r="I653" s="106" t="s">
        <v>14</v>
      </c>
      <c r="J653" s="106" t="s">
        <v>231</v>
      </c>
      <c r="K653" s="106"/>
      <c r="L653" s="108">
        <v>20</v>
      </c>
      <c r="M653" s="108">
        <f>L653*VLOOKUP(I653,dagsoorttabel1,2,FALSE)</f>
        <v>2.0392156862745097</v>
      </c>
      <c r="N653" s="109">
        <f>prodnorm60</f>
        <v>0</v>
      </c>
      <c r="O653" s="106" t="s">
        <v>105</v>
      </c>
      <c r="P653" s="28">
        <f>uurtarief60</f>
        <v>0</v>
      </c>
      <c r="Q653" s="108" t="e">
        <f>IF(ISBLANK(N653),0,M653/ROUND(N653,4))</f>
        <v>#DIV/0!</v>
      </c>
      <c r="R653" s="28" t="e">
        <f>ROUND(P653,2)*Q653</f>
        <v>#DIV/0!</v>
      </c>
      <c r="S653" s="108" t="e">
        <f>Q653*dagenperjaar1</f>
        <v>#DIV/0!</v>
      </c>
      <c r="T653" s="29" t="e">
        <f>S653*ROUND(P653,2)</f>
        <v>#DIV/0!</v>
      </c>
    </row>
    <row r="654" spans="1:20" x14ac:dyDescent="0.2">
      <c r="A654" s="110" t="s">
        <v>772</v>
      </c>
      <c r="B654" s="111" t="s">
        <v>37</v>
      </c>
      <c r="C654" s="111" t="s">
        <v>322</v>
      </c>
      <c r="D654" s="111" t="s">
        <v>334</v>
      </c>
      <c r="E654" s="111" t="s">
        <v>37</v>
      </c>
      <c r="F654" s="112" t="s">
        <v>307</v>
      </c>
      <c r="G654" s="111" t="s">
        <v>331</v>
      </c>
      <c r="H654" s="111" t="s">
        <v>306</v>
      </c>
      <c r="I654" s="111" t="s">
        <v>14</v>
      </c>
      <c r="J654" s="111" t="s">
        <v>299</v>
      </c>
      <c r="K654" s="111"/>
      <c r="L654" s="113">
        <v>26</v>
      </c>
      <c r="M654" s="113">
        <f>L654*VLOOKUP(I654,dagsoorttabel1,2,FALSE)</f>
        <v>2.6509803921568627</v>
      </c>
      <c r="N654" s="114">
        <f>prodnorm27</f>
        <v>0</v>
      </c>
      <c r="O654" s="111" t="s">
        <v>105</v>
      </c>
      <c r="P654" s="38">
        <f>uurtarief27</f>
        <v>0</v>
      </c>
      <c r="Q654" s="113" t="e">
        <f>IF(ISBLANK(N654),0,M654/ROUND(N654,4))</f>
        <v>#DIV/0!</v>
      </c>
      <c r="R654" s="38" t="e">
        <f>ROUND(P654,2)*Q654</f>
        <v>#DIV/0!</v>
      </c>
      <c r="S654" s="113" t="e">
        <f>Q654*dagenperjaar1</f>
        <v>#DIV/0!</v>
      </c>
      <c r="T654" s="39" t="e">
        <f>S654*ROUND(P654,2)</f>
        <v>#DIV/0!</v>
      </c>
    </row>
    <row r="655" spans="1:20" x14ac:dyDescent="0.2">
      <c r="A655" s="115" t="s">
        <v>546</v>
      </c>
      <c r="B655" s="83"/>
      <c r="C655" s="83"/>
      <c r="D655" s="83"/>
      <c r="E655" s="83"/>
      <c r="F655" s="83"/>
      <c r="G655" s="83"/>
      <c r="H655" s="83"/>
      <c r="I655" s="83"/>
      <c r="J655" s="83"/>
      <c r="K655" s="83"/>
      <c r="L655" s="83"/>
      <c r="M655" s="83"/>
      <c r="N655" s="83"/>
      <c r="O655" s="83"/>
      <c r="P655" s="85" t="e">
        <f>IF(_xlfn.SINGLE(object33_urenjaar1)&gt;0,_xlfn.SINGLE(object33_prijsjaar1)/_xlfn.SINGLE(object33_urenjaar1),0)</f>
        <v>#DIV/0!</v>
      </c>
      <c r="Q655" s="84" t="e">
        <f>SUM(Q650:Q654)</f>
        <v>#DIV/0!</v>
      </c>
      <c r="R655" s="85" t="e">
        <f>SUM(R650:R654)</f>
        <v>#DIV/0!</v>
      </c>
      <c r="S655" s="84" t="e">
        <f>SUM(S650:S654)</f>
        <v>#DIV/0!</v>
      </c>
      <c r="T655" s="86" t="e">
        <f>SUM(T650:T654)</f>
        <v>#DIV/0!</v>
      </c>
    </row>
    <row r="656" spans="1:20" x14ac:dyDescent="0.2">
      <c r="A656" s="91" t="s">
        <v>775</v>
      </c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81"/>
    </row>
    <row r="657" spans="1:20" x14ac:dyDescent="0.2">
      <c r="A657" s="98" t="s">
        <v>776</v>
      </c>
      <c r="B657" s="99" t="s">
        <v>37</v>
      </c>
      <c r="C657" s="99" t="s">
        <v>322</v>
      </c>
      <c r="D657" s="99" t="s">
        <v>323</v>
      </c>
      <c r="E657" s="99" t="s">
        <v>37</v>
      </c>
      <c r="F657" s="100" t="s">
        <v>777</v>
      </c>
      <c r="G657" s="99" t="s">
        <v>379</v>
      </c>
      <c r="H657" s="99" t="s">
        <v>279</v>
      </c>
      <c r="I657" s="99" t="s">
        <v>12</v>
      </c>
      <c r="J657" s="99" t="s">
        <v>231</v>
      </c>
      <c r="K657" s="99"/>
      <c r="L657" s="101">
        <v>15.7</v>
      </c>
      <c r="M657" s="101">
        <f>L657*VLOOKUP(I657,dagsoorttabel1,2,FALSE)</f>
        <v>6.28</v>
      </c>
      <c r="N657" s="102">
        <f>prodnorm122</f>
        <v>0</v>
      </c>
      <c r="O657" s="99" t="s">
        <v>105</v>
      </c>
      <c r="P657" s="103">
        <f>uurtarief122</f>
        <v>0</v>
      </c>
      <c r="Q657" s="101" t="e">
        <f>IF(ISBLANK(N657),0,M657/ROUND(N657,4))</f>
        <v>#DIV/0!</v>
      </c>
      <c r="R657" s="103" t="e">
        <f>ROUND(P657,2)*Q657</f>
        <v>#DIV/0!</v>
      </c>
      <c r="S657" s="101" t="e">
        <f>Q657*dagenperjaar1</f>
        <v>#DIV/0!</v>
      </c>
      <c r="T657" s="104" t="e">
        <f>S657*ROUND(P657,2)</f>
        <v>#DIV/0!</v>
      </c>
    </row>
    <row r="658" spans="1:20" x14ac:dyDescent="0.2">
      <c r="A658" s="105" t="s">
        <v>776</v>
      </c>
      <c r="B658" s="106" t="s">
        <v>37</v>
      </c>
      <c r="C658" s="106" t="s">
        <v>322</v>
      </c>
      <c r="D658" s="106" t="s">
        <v>326</v>
      </c>
      <c r="E658" s="106" t="s">
        <v>37</v>
      </c>
      <c r="F658" s="107" t="s">
        <v>579</v>
      </c>
      <c r="G658" s="106" t="s">
        <v>379</v>
      </c>
      <c r="H658" s="106" t="s">
        <v>257</v>
      </c>
      <c r="I658" s="106" t="s">
        <v>12</v>
      </c>
      <c r="J658" s="106" t="s">
        <v>231</v>
      </c>
      <c r="K658" s="106"/>
      <c r="L658" s="108">
        <v>28.4</v>
      </c>
      <c r="M658" s="108">
        <f>L658*VLOOKUP(I658,dagsoorttabel1,2,FALSE)</f>
        <v>11.36</v>
      </c>
      <c r="N658" s="109">
        <f>prodnorm76</f>
        <v>0</v>
      </c>
      <c r="O658" s="106" t="s">
        <v>105</v>
      </c>
      <c r="P658" s="28">
        <f>uurtarief76</f>
        <v>0</v>
      </c>
      <c r="Q658" s="108" t="e">
        <f>IF(ISBLANK(N658),0,M658/ROUND(N658,4))</f>
        <v>#DIV/0!</v>
      </c>
      <c r="R658" s="28" t="e">
        <f>ROUND(P658,2)*Q658</f>
        <v>#DIV/0!</v>
      </c>
      <c r="S658" s="108" t="e">
        <f>Q658*dagenperjaar1</f>
        <v>#DIV/0!</v>
      </c>
      <c r="T658" s="29" t="e">
        <f>S658*ROUND(P658,2)</f>
        <v>#DIV/0!</v>
      </c>
    </row>
    <row r="659" spans="1:20" x14ac:dyDescent="0.2">
      <c r="A659" s="105" t="s">
        <v>776</v>
      </c>
      <c r="B659" s="106" t="s">
        <v>37</v>
      </c>
      <c r="C659" s="106" t="s">
        <v>322</v>
      </c>
      <c r="D659" s="106" t="s">
        <v>329</v>
      </c>
      <c r="E659" s="106" t="s">
        <v>37</v>
      </c>
      <c r="F659" s="107" t="s">
        <v>615</v>
      </c>
      <c r="G659" s="106" t="s">
        <v>369</v>
      </c>
      <c r="H659" s="106" t="s">
        <v>267</v>
      </c>
      <c r="I659" s="106" t="s">
        <v>12</v>
      </c>
      <c r="J659" s="106" t="s">
        <v>231</v>
      </c>
      <c r="K659" s="106"/>
      <c r="L659" s="108">
        <v>1.1000000000000001</v>
      </c>
      <c r="M659" s="108">
        <f>L659*VLOOKUP(I659,dagsoorttabel1,2,FALSE)</f>
        <v>0.44000000000000006</v>
      </c>
      <c r="N659" s="109">
        <f>prodnorm97</f>
        <v>0</v>
      </c>
      <c r="O659" s="106" t="s">
        <v>105</v>
      </c>
      <c r="P659" s="28">
        <f>uurtarief97</f>
        <v>0</v>
      </c>
      <c r="Q659" s="108" t="e">
        <f>IF(ISBLANK(N659),0,M659/ROUND(N659,4))</f>
        <v>#DIV/0!</v>
      </c>
      <c r="R659" s="28" t="e">
        <f>ROUND(P659,2)*Q659</f>
        <v>#DIV/0!</v>
      </c>
      <c r="S659" s="108" t="e">
        <f>Q659*dagenperjaar1</f>
        <v>#DIV/0!</v>
      </c>
      <c r="T659" s="29" t="e">
        <f>S659*ROUND(P659,2)</f>
        <v>#DIV/0!</v>
      </c>
    </row>
    <row r="660" spans="1:20" x14ac:dyDescent="0.2">
      <c r="A660" s="105" t="s">
        <v>776</v>
      </c>
      <c r="B660" s="106" t="s">
        <v>37</v>
      </c>
      <c r="C660" s="106" t="s">
        <v>322</v>
      </c>
      <c r="D660" s="106" t="s">
        <v>332</v>
      </c>
      <c r="E660" s="106" t="s">
        <v>37</v>
      </c>
      <c r="F660" s="107" t="s">
        <v>628</v>
      </c>
      <c r="G660" s="106" t="s">
        <v>778</v>
      </c>
      <c r="H660" s="106" t="s">
        <v>290</v>
      </c>
      <c r="I660" s="106" t="s">
        <v>12</v>
      </c>
      <c r="J660" s="106" t="s">
        <v>231</v>
      </c>
      <c r="K660" s="106"/>
      <c r="L660" s="108">
        <v>5</v>
      </c>
      <c r="M660" s="108">
        <f>L660*VLOOKUP(I660,dagsoorttabel1,2,FALSE)</f>
        <v>2</v>
      </c>
      <c r="N660" s="109">
        <f>prodnorm143</f>
        <v>0</v>
      </c>
      <c r="O660" s="106" t="s">
        <v>105</v>
      </c>
      <c r="P660" s="28">
        <f>uurtarief143</f>
        <v>0</v>
      </c>
      <c r="Q660" s="108" t="e">
        <f>IF(ISBLANK(N660),0,M660/ROUND(N660,4))</f>
        <v>#DIV/0!</v>
      </c>
      <c r="R660" s="28" t="e">
        <f>ROUND(P660,2)*Q660</f>
        <v>#DIV/0!</v>
      </c>
      <c r="S660" s="108" t="e">
        <f>Q660*dagenperjaar1</f>
        <v>#DIV/0!</v>
      </c>
      <c r="T660" s="29" t="e">
        <f>S660*ROUND(P660,2)</f>
        <v>#DIV/0!</v>
      </c>
    </row>
    <row r="661" spans="1:20" x14ac:dyDescent="0.2">
      <c r="A661" s="105" t="s">
        <v>776</v>
      </c>
      <c r="B661" s="106" t="s">
        <v>37</v>
      </c>
      <c r="C661" s="106" t="s">
        <v>322</v>
      </c>
      <c r="D661" s="106" t="s">
        <v>334</v>
      </c>
      <c r="E661" s="106" t="s">
        <v>37</v>
      </c>
      <c r="F661" s="107" t="s">
        <v>779</v>
      </c>
      <c r="G661" s="106" t="s">
        <v>369</v>
      </c>
      <c r="H661" s="106" t="s">
        <v>265</v>
      </c>
      <c r="I661" s="106" t="s">
        <v>12</v>
      </c>
      <c r="J661" s="106" t="s">
        <v>231</v>
      </c>
      <c r="K661" s="106"/>
      <c r="L661" s="108">
        <v>14.5</v>
      </c>
      <c r="M661" s="108">
        <f>L661*VLOOKUP(I661,dagsoorttabel1,2,FALSE)</f>
        <v>5.8000000000000007</v>
      </c>
      <c r="N661" s="109">
        <f>prodnorm90</f>
        <v>0</v>
      </c>
      <c r="O661" s="106" t="s">
        <v>105</v>
      </c>
      <c r="P661" s="28">
        <f>uurtarief90</f>
        <v>0</v>
      </c>
      <c r="Q661" s="108" t="e">
        <f>IF(ISBLANK(N661),0,M661/ROUND(N661,4))</f>
        <v>#DIV/0!</v>
      </c>
      <c r="R661" s="28" t="e">
        <f>ROUND(P661,2)*Q661</f>
        <v>#DIV/0!</v>
      </c>
      <c r="S661" s="108" t="e">
        <f>Q661*dagenperjaar1</f>
        <v>#DIV/0!</v>
      </c>
      <c r="T661" s="29" t="e">
        <f>S661*ROUND(P661,2)</f>
        <v>#DIV/0!</v>
      </c>
    </row>
    <row r="662" spans="1:20" x14ac:dyDescent="0.2">
      <c r="A662" s="105" t="s">
        <v>776</v>
      </c>
      <c r="B662" s="106" t="s">
        <v>37</v>
      </c>
      <c r="C662" s="106" t="s">
        <v>322</v>
      </c>
      <c r="D662" s="106" t="s">
        <v>336</v>
      </c>
      <c r="E662" s="106" t="s">
        <v>37</v>
      </c>
      <c r="F662" s="107" t="s">
        <v>640</v>
      </c>
      <c r="G662" s="106" t="s">
        <v>369</v>
      </c>
      <c r="H662" s="106" t="s">
        <v>271</v>
      </c>
      <c r="I662" s="106" t="s">
        <v>12</v>
      </c>
      <c r="J662" s="106" t="s">
        <v>231</v>
      </c>
      <c r="K662" s="106"/>
      <c r="L662" s="108">
        <v>4</v>
      </c>
      <c r="M662" s="108">
        <f>L662*VLOOKUP(I662,dagsoorttabel1,2,FALSE)</f>
        <v>1.6</v>
      </c>
      <c r="N662" s="109">
        <f>prodnorm105</f>
        <v>0</v>
      </c>
      <c r="O662" s="106" t="s">
        <v>105</v>
      </c>
      <c r="P662" s="28">
        <f>uurtarief105</f>
        <v>0</v>
      </c>
      <c r="Q662" s="108" t="e">
        <f>IF(ISBLANK(N662),0,M662/ROUND(N662,4))</f>
        <v>#DIV/0!</v>
      </c>
      <c r="R662" s="28" t="e">
        <f>ROUND(P662,2)*Q662</f>
        <v>#DIV/0!</v>
      </c>
      <c r="S662" s="108" t="e">
        <f>Q662*dagenperjaar1</f>
        <v>#DIV/0!</v>
      </c>
      <c r="T662" s="29" t="e">
        <f>S662*ROUND(P662,2)</f>
        <v>#DIV/0!</v>
      </c>
    </row>
    <row r="663" spans="1:20" x14ac:dyDescent="0.2">
      <c r="A663" s="105" t="s">
        <v>776</v>
      </c>
      <c r="B663" s="106" t="s">
        <v>37</v>
      </c>
      <c r="C663" s="106" t="s">
        <v>322</v>
      </c>
      <c r="D663" s="106" t="s">
        <v>338</v>
      </c>
      <c r="E663" s="106" t="s">
        <v>37</v>
      </c>
      <c r="F663" s="107" t="s">
        <v>780</v>
      </c>
      <c r="G663" s="106" t="s">
        <v>369</v>
      </c>
      <c r="H663" s="106" t="s">
        <v>267</v>
      </c>
      <c r="I663" s="106" t="s">
        <v>12</v>
      </c>
      <c r="J663" s="106" t="s">
        <v>231</v>
      </c>
      <c r="K663" s="106"/>
      <c r="L663" s="108">
        <v>9.6</v>
      </c>
      <c r="M663" s="108">
        <f>L663*VLOOKUP(I663,dagsoorttabel1,2,FALSE)</f>
        <v>3.84</v>
      </c>
      <c r="N663" s="109">
        <f>prodnorm97</f>
        <v>0</v>
      </c>
      <c r="O663" s="106" t="s">
        <v>105</v>
      </c>
      <c r="P663" s="28">
        <f>uurtarief97</f>
        <v>0</v>
      </c>
      <c r="Q663" s="108" t="e">
        <f>IF(ISBLANK(N663),0,M663/ROUND(N663,4))</f>
        <v>#DIV/0!</v>
      </c>
      <c r="R663" s="28" t="e">
        <f>ROUND(P663,2)*Q663</f>
        <v>#DIV/0!</v>
      </c>
      <c r="S663" s="108" t="e">
        <f>Q663*dagenperjaar1</f>
        <v>#DIV/0!</v>
      </c>
      <c r="T663" s="29" t="e">
        <f>S663*ROUND(P663,2)</f>
        <v>#DIV/0!</v>
      </c>
    </row>
    <row r="664" spans="1:20" x14ac:dyDescent="0.2">
      <c r="A664" s="105" t="s">
        <v>776</v>
      </c>
      <c r="B664" s="106" t="s">
        <v>37</v>
      </c>
      <c r="C664" s="106" t="s">
        <v>322</v>
      </c>
      <c r="D664" s="106" t="s">
        <v>350</v>
      </c>
      <c r="E664" s="106" t="s">
        <v>37</v>
      </c>
      <c r="F664" s="107" t="s">
        <v>337</v>
      </c>
      <c r="G664" s="106" t="s">
        <v>379</v>
      </c>
      <c r="H664" s="106" t="s">
        <v>241</v>
      </c>
      <c r="I664" s="106" t="s">
        <v>12</v>
      </c>
      <c r="J664" s="106" t="s">
        <v>231</v>
      </c>
      <c r="K664" s="106"/>
      <c r="L664" s="108">
        <v>36</v>
      </c>
      <c r="M664" s="108">
        <f>L664*VLOOKUP(I664,dagsoorttabel1,2,FALSE)</f>
        <v>14.4</v>
      </c>
      <c r="N664" s="109">
        <f>prodnorm45</f>
        <v>0</v>
      </c>
      <c r="O664" s="106" t="s">
        <v>105</v>
      </c>
      <c r="P664" s="28">
        <f>uurtarief45</f>
        <v>0</v>
      </c>
      <c r="Q664" s="108" t="e">
        <f>IF(ISBLANK(N664),0,M664/ROUND(N664,4))</f>
        <v>#DIV/0!</v>
      </c>
      <c r="R664" s="28" t="e">
        <f>ROUND(P664,2)*Q664</f>
        <v>#DIV/0!</v>
      </c>
      <c r="S664" s="108" t="e">
        <f>Q664*dagenperjaar1</f>
        <v>#DIV/0!</v>
      </c>
      <c r="T664" s="29" t="e">
        <f>S664*ROUND(P664,2)</f>
        <v>#DIV/0!</v>
      </c>
    </row>
    <row r="665" spans="1:20" x14ac:dyDescent="0.2">
      <c r="A665" s="105" t="s">
        <v>776</v>
      </c>
      <c r="B665" s="106" t="s">
        <v>37</v>
      </c>
      <c r="C665" s="106" t="s">
        <v>415</v>
      </c>
      <c r="D665" s="106" t="s">
        <v>416</v>
      </c>
      <c r="E665" s="106" t="s">
        <v>37</v>
      </c>
      <c r="F665" s="107" t="s">
        <v>393</v>
      </c>
      <c r="G665" s="106" t="s">
        <v>379</v>
      </c>
      <c r="H665" s="106" t="s">
        <v>235</v>
      </c>
      <c r="I665" s="106" t="s">
        <v>12</v>
      </c>
      <c r="J665" s="106" t="s">
        <v>231</v>
      </c>
      <c r="K665" s="106"/>
      <c r="L665" s="108">
        <v>36</v>
      </c>
      <c r="M665" s="108">
        <f>L665*VLOOKUP(I665,dagsoorttabel1,2,FALSE)</f>
        <v>14.4</v>
      </c>
      <c r="N665" s="109">
        <f>prodnorm37</f>
        <v>0</v>
      </c>
      <c r="O665" s="106" t="s">
        <v>105</v>
      </c>
      <c r="P665" s="28">
        <f>uurtarief37</f>
        <v>0</v>
      </c>
      <c r="Q665" s="108" t="e">
        <f>IF(ISBLANK(N665),0,M665/ROUND(N665,4))</f>
        <v>#DIV/0!</v>
      </c>
      <c r="R665" s="28" t="e">
        <f>ROUND(P665,2)*Q665</f>
        <v>#DIV/0!</v>
      </c>
      <c r="S665" s="108" t="e">
        <f>Q665*dagenperjaar1</f>
        <v>#DIV/0!</v>
      </c>
      <c r="T665" s="29" t="e">
        <f>S665*ROUND(P665,2)</f>
        <v>#DIV/0!</v>
      </c>
    </row>
    <row r="666" spans="1:20" x14ac:dyDescent="0.2">
      <c r="A666" s="105" t="s">
        <v>776</v>
      </c>
      <c r="B666" s="106" t="s">
        <v>37</v>
      </c>
      <c r="C666" s="106" t="s">
        <v>415</v>
      </c>
      <c r="D666" s="106" t="s">
        <v>417</v>
      </c>
      <c r="E666" s="106" t="s">
        <v>37</v>
      </c>
      <c r="F666" s="107" t="s">
        <v>781</v>
      </c>
      <c r="G666" s="106" t="s">
        <v>379</v>
      </c>
      <c r="H666" s="106" t="s">
        <v>241</v>
      </c>
      <c r="I666" s="106" t="s">
        <v>12</v>
      </c>
      <c r="J666" s="106" t="s">
        <v>231</v>
      </c>
      <c r="K666" s="106"/>
      <c r="L666" s="108">
        <v>24.6</v>
      </c>
      <c r="M666" s="108">
        <f>L666*VLOOKUP(I666,dagsoorttabel1,2,FALSE)</f>
        <v>9.8400000000000016</v>
      </c>
      <c r="N666" s="109">
        <f>prodnorm45</f>
        <v>0</v>
      </c>
      <c r="O666" s="106" t="s">
        <v>105</v>
      </c>
      <c r="P666" s="28">
        <f>uurtarief45</f>
        <v>0</v>
      </c>
      <c r="Q666" s="108" t="e">
        <f>IF(ISBLANK(N666),0,M666/ROUND(N666,4))</f>
        <v>#DIV/0!</v>
      </c>
      <c r="R666" s="28" t="e">
        <f>ROUND(P666,2)*Q666</f>
        <v>#DIV/0!</v>
      </c>
      <c r="S666" s="108" t="e">
        <f>Q666*dagenperjaar1</f>
        <v>#DIV/0!</v>
      </c>
      <c r="T666" s="29" t="e">
        <f>S666*ROUND(P666,2)</f>
        <v>#DIV/0!</v>
      </c>
    </row>
    <row r="667" spans="1:20" x14ac:dyDescent="0.2">
      <c r="A667" s="105" t="s">
        <v>776</v>
      </c>
      <c r="B667" s="106" t="s">
        <v>37</v>
      </c>
      <c r="C667" s="106" t="s">
        <v>415</v>
      </c>
      <c r="D667" s="106" t="s">
        <v>421</v>
      </c>
      <c r="E667" s="106" t="s">
        <v>37</v>
      </c>
      <c r="F667" s="107" t="s">
        <v>781</v>
      </c>
      <c r="G667" s="106" t="s">
        <v>379</v>
      </c>
      <c r="H667" s="106" t="s">
        <v>241</v>
      </c>
      <c r="I667" s="106" t="s">
        <v>12</v>
      </c>
      <c r="J667" s="106" t="s">
        <v>231</v>
      </c>
      <c r="K667" s="106"/>
      <c r="L667" s="108">
        <v>6</v>
      </c>
      <c r="M667" s="108">
        <f>L667*VLOOKUP(I667,dagsoorttabel1,2,FALSE)</f>
        <v>2.4000000000000004</v>
      </c>
      <c r="N667" s="109">
        <f>prodnorm45</f>
        <v>0</v>
      </c>
      <c r="O667" s="106" t="s">
        <v>105</v>
      </c>
      <c r="P667" s="28">
        <f>uurtarief45</f>
        <v>0</v>
      </c>
      <c r="Q667" s="108" t="e">
        <f>IF(ISBLANK(N667),0,M667/ROUND(N667,4))</f>
        <v>#DIV/0!</v>
      </c>
      <c r="R667" s="28" t="e">
        <f>ROUND(P667,2)*Q667</f>
        <v>#DIV/0!</v>
      </c>
      <c r="S667" s="108" t="e">
        <f>Q667*dagenperjaar1</f>
        <v>#DIV/0!</v>
      </c>
      <c r="T667" s="29" t="e">
        <f>S667*ROUND(P667,2)</f>
        <v>#DIV/0!</v>
      </c>
    </row>
    <row r="668" spans="1:20" x14ac:dyDescent="0.2">
      <c r="A668" s="105" t="s">
        <v>776</v>
      </c>
      <c r="B668" s="106" t="s">
        <v>37</v>
      </c>
      <c r="C668" s="106" t="s">
        <v>415</v>
      </c>
      <c r="D668" s="106" t="s">
        <v>422</v>
      </c>
      <c r="E668" s="106" t="s">
        <v>37</v>
      </c>
      <c r="F668" s="107" t="s">
        <v>335</v>
      </c>
      <c r="G668" s="106" t="s">
        <v>379</v>
      </c>
      <c r="H668" s="106" t="s">
        <v>290</v>
      </c>
      <c r="I668" s="106" t="s">
        <v>12</v>
      </c>
      <c r="J668" s="106" t="s">
        <v>231</v>
      </c>
      <c r="K668" s="106"/>
      <c r="L668" s="108">
        <v>5</v>
      </c>
      <c r="M668" s="108">
        <f>L668*VLOOKUP(I668,dagsoorttabel1,2,FALSE)</f>
        <v>2</v>
      </c>
      <c r="N668" s="109">
        <f>prodnorm143</f>
        <v>0</v>
      </c>
      <c r="O668" s="106" t="s">
        <v>105</v>
      </c>
      <c r="P668" s="28">
        <f>uurtarief143</f>
        <v>0</v>
      </c>
      <c r="Q668" s="108" t="e">
        <f>IF(ISBLANK(N668),0,M668/ROUND(N668,4))</f>
        <v>#DIV/0!</v>
      </c>
      <c r="R668" s="28" t="e">
        <f>ROUND(P668,2)*Q668</f>
        <v>#DIV/0!</v>
      </c>
      <c r="S668" s="108" t="e">
        <f>Q668*dagenperjaar1</f>
        <v>#DIV/0!</v>
      </c>
      <c r="T668" s="29" t="e">
        <f>S668*ROUND(P668,2)</f>
        <v>#DIV/0!</v>
      </c>
    </row>
    <row r="669" spans="1:20" x14ac:dyDescent="0.2">
      <c r="A669" s="105" t="s">
        <v>776</v>
      </c>
      <c r="B669" s="106" t="s">
        <v>37</v>
      </c>
      <c r="C669" s="106" t="s">
        <v>415</v>
      </c>
      <c r="D669" s="106" t="s">
        <v>424</v>
      </c>
      <c r="E669" s="106" t="s">
        <v>37</v>
      </c>
      <c r="F669" s="107" t="s">
        <v>337</v>
      </c>
      <c r="G669" s="106" t="s">
        <v>379</v>
      </c>
      <c r="H669" s="106" t="s">
        <v>241</v>
      </c>
      <c r="I669" s="106" t="s">
        <v>12</v>
      </c>
      <c r="J669" s="106" t="s">
        <v>231</v>
      </c>
      <c r="K669" s="106"/>
      <c r="L669" s="108">
        <v>16</v>
      </c>
      <c r="M669" s="108">
        <f>L669*VLOOKUP(I669,dagsoorttabel1,2,FALSE)</f>
        <v>6.4</v>
      </c>
      <c r="N669" s="109">
        <f>prodnorm45</f>
        <v>0</v>
      </c>
      <c r="O669" s="106" t="s">
        <v>105</v>
      </c>
      <c r="P669" s="28">
        <f>uurtarief45</f>
        <v>0</v>
      </c>
      <c r="Q669" s="108" t="e">
        <f>IF(ISBLANK(N669),0,M669/ROUND(N669,4))</f>
        <v>#DIV/0!</v>
      </c>
      <c r="R669" s="28" t="e">
        <f>ROUND(P669,2)*Q669</f>
        <v>#DIV/0!</v>
      </c>
      <c r="S669" s="108" t="e">
        <f>Q669*dagenperjaar1</f>
        <v>#DIV/0!</v>
      </c>
      <c r="T669" s="29" t="e">
        <f>S669*ROUND(P669,2)</f>
        <v>#DIV/0!</v>
      </c>
    </row>
    <row r="670" spans="1:20" x14ac:dyDescent="0.2">
      <c r="A670" s="105" t="s">
        <v>776</v>
      </c>
      <c r="B670" s="106" t="s">
        <v>37</v>
      </c>
      <c r="C670" s="106" t="s">
        <v>544</v>
      </c>
      <c r="D670" s="106" t="s">
        <v>37</v>
      </c>
      <c r="E670" s="106" t="s">
        <v>37</v>
      </c>
      <c r="F670" s="107" t="s">
        <v>545</v>
      </c>
      <c r="G670" s="106" t="s">
        <v>37</v>
      </c>
      <c r="H670" s="106" t="s">
        <v>298</v>
      </c>
      <c r="I670" s="106" t="s">
        <v>13</v>
      </c>
      <c r="J670" s="106" t="s">
        <v>299</v>
      </c>
      <c r="K670" s="106"/>
      <c r="L670" s="108">
        <v>1</v>
      </c>
      <c r="M670" s="108">
        <f>L670*VLOOKUP(I670,dagsoorttabel1,2,FALSE)</f>
        <v>0.2</v>
      </c>
      <c r="N670" s="109">
        <f>prodnorm21</f>
        <v>0</v>
      </c>
      <c r="O670" s="106" t="s">
        <v>301</v>
      </c>
      <c r="P670" s="28">
        <f>uurtarief21</f>
        <v>0</v>
      </c>
      <c r="Q670" s="108">
        <f>M670*ROUND(N670,4)/60</f>
        <v>0</v>
      </c>
      <c r="R670" s="28">
        <f>ROUND(P670,2)*Q670</f>
        <v>0</v>
      </c>
      <c r="S670" s="108">
        <f>Q670*dagenperjaar1</f>
        <v>0</v>
      </c>
      <c r="T670" s="29">
        <f>S670*ROUND(P670,2)</f>
        <v>0</v>
      </c>
    </row>
    <row r="671" spans="1:20" x14ac:dyDescent="0.2">
      <c r="A671" s="105" t="s">
        <v>776</v>
      </c>
      <c r="B671" s="106" t="s">
        <v>37</v>
      </c>
      <c r="C671" s="106" t="s">
        <v>544</v>
      </c>
      <c r="D671" s="106" t="s">
        <v>37</v>
      </c>
      <c r="E671" s="106" t="s">
        <v>37</v>
      </c>
      <c r="F671" s="107" t="s">
        <v>545</v>
      </c>
      <c r="G671" s="106" t="s">
        <v>37</v>
      </c>
      <c r="H671" s="106" t="s">
        <v>302</v>
      </c>
      <c r="I671" s="106" t="s">
        <v>15</v>
      </c>
      <c r="J671" s="106" t="s">
        <v>299</v>
      </c>
      <c r="K671" s="106"/>
      <c r="L671" s="108">
        <v>1</v>
      </c>
      <c r="M671" s="108">
        <f>L671*VLOOKUP(I671,dagsoorttabel1,2,FALSE)</f>
        <v>4.7058823529411764E-2</v>
      </c>
      <c r="N671" s="109">
        <f>prodnorm24</f>
        <v>0</v>
      </c>
      <c r="O671" s="106" t="s">
        <v>301</v>
      </c>
      <c r="P671" s="28">
        <f>uurtarief24</f>
        <v>0</v>
      </c>
      <c r="Q671" s="108">
        <f>M671*ROUND(N671,4)/60</f>
        <v>0</v>
      </c>
      <c r="R671" s="28">
        <f>ROUND(P671,2)*Q671</f>
        <v>0</v>
      </c>
      <c r="S671" s="108">
        <f>Q671*dagenperjaar1</f>
        <v>0</v>
      </c>
      <c r="T671" s="29">
        <f>S671*ROUND(P671,2)</f>
        <v>0</v>
      </c>
    </row>
    <row r="672" spans="1:20" x14ac:dyDescent="0.2">
      <c r="A672" s="110" t="s">
        <v>776</v>
      </c>
      <c r="B672" s="111" t="s">
        <v>37</v>
      </c>
      <c r="C672" s="111" t="s">
        <v>544</v>
      </c>
      <c r="D672" s="111" t="s">
        <v>37</v>
      </c>
      <c r="E672" s="111" t="s">
        <v>37</v>
      </c>
      <c r="F672" s="112" t="s">
        <v>545</v>
      </c>
      <c r="G672" s="111" t="s">
        <v>37</v>
      </c>
      <c r="H672" s="111" t="s">
        <v>304</v>
      </c>
      <c r="I672" s="111" t="s">
        <v>13</v>
      </c>
      <c r="J672" s="111" t="s">
        <v>299</v>
      </c>
      <c r="K672" s="111"/>
      <c r="L672" s="113">
        <v>1</v>
      </c>
      <c r="M672" s="113">
        <f>L672*VLOOKUP(I672,dagsoorttabel1,2,FALSE)</f>
        <v>0.2</v>
      </c>
      <c r="N672" s="114">
        <f>prodnorm25</f>
        <v>0</v>
      </c>
      <c r="O672" s="111" t="s">
        <v>301</v>
      </c>
      <c r="P672" s="38">
        <f>uurtarief25</f>
        <v>0</v>
      </c>
      <c r="Q672" s="113">
        <f>M672*ROUND(N672,4)/60</f>
        <v>0</v>
      </c>
      <c r="R672" s="38">
        <f>ROUND(P672,2)*Q672</f>
        <v>0</v>
      </c>
      <c r="S672" s="113">
        <f>Q672*dagenperjaar1</f>
        <v>0</v>
      </c>
      <c r="T672" s="39">
        <f>S672*ROUND(P672,2)</f>
        <v>0</v>
      </c>
    </row>
    <row r="673" spans="1:20" x14ac:dyDescent="0.2">
      <c r="A673" s="115" t="s">
        <v>546</v>
      </c>
      <c r="B673" s="83"/>
      <c r="C673" s="83"/>
      <c r="D673" s="83"/>
      <c r="E673" s="83"/>
      <c r="F673" s="83"/>
      <c r="G673" s="83"/>
      <c r="H673" s="83"/>
      <c r="I673" s="83"/>
      <c r="J673" s="83"/>
      <c r="K673" s="83"/>
      <c r="L673" s="83"/>
      <c r="M673" s="83"/>
      <c r="N673" s="83"/>
      <c r="O673" s="83"/>
      <c r="P673" s="85" t="e">
        <f>IF(_xlfn.SINGLE(object34_urenjaar1)&gt;0,_xlfn.SINGLE(object34_prijsjaar1)/_xlfn.SINGLE(object34_urenjaar1),0)</f>
        <v>#DIV/0!</v>
      </c>
      <c r="Q673" s="84" t="e">
        <f>SUM(Q657:Q672)</f>
        <v>#DIV/0!</v>
      </c>
      <c r="R673" s="85" t="e">
        <f>SUM(R657:R672)</f>
        <v>#DIV/0!</v>
      </c>
      <c r="S673" s="84" t="e">
        <f>SUM(S657:S672)</f>
        <v>#DIV/0!</v>
      </c>
      <c r="T673" s="86" t="e">
        <f>SUM(T657:T672)</f>
        <v>#DIV/0!</v>
      </c>
    </row>
    <row r="674" spans="1:20" x14ac:dyDescent="0.2">
      <c r="A674" s="91" t="s">
        <v>782</v>
      </c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81"/>
    </row>
    <row r="675" spans="1:20" x14ac:dyDescent="0.2">
      <c r="A675" s="98" t="s">
        <v>783</v>
      </c>
      <c r="B675" s="99" t="s">
        <v>37</v>
      </c>
      <c r="C675" s="99" t="s">
        <v>322</v>
      </c>
      <c r="D675" s="99" t="s">
        <v>784</v>
      </c>
      <c r="E675" s="99" t="s">
        <v>37</v>
      </c>
      <c r="F675" s="100" t="s">
        <v>592</v>
      </c>
      <c r="G675" s="99" t="s">
        <v>379</v>
      </c>
      <c r="H675" s="99" t="s">
        <v>279</v>
      </c>
      <c r="I675" s="99" t="s">
        <v>13</v>
      </c>
      <c r="J675" s="99" t="s">
        <v>231</v>
      </c>
      <c r="K675" s="99"/>
      <c r="L675" s="101">
        <v>4.5</v>
      </c>
      <c r="M675" s="101">
        <f>L675*VLOOKUP(I675,dagsoorttabel1,2,FALSE)</f>
        <v>0.9</v>
      </c>
      <c r="N675" s="102">
        <f>prodnorm120</f>
        <v>0</v>
      </c>
      <c r="O675" s="99" t="s">
        <v>105</v>
      </c>
      <c r="P675" s="103">
        <f>uurtarief120</f>
        <v>0</v>
      </c>
      <c r="Q675" s="101" t="e">
        <f>IF(ISBLANK(N675),0,M675/ROUND(N675,4))</f>
        <v>#DIV/0!</v>
      </c>
      <c r="R675" s="103" t="e">
        <f>ROUND(P675,2)*Q675</f>
        <v>#DIV/0!</v>
      </c>
      <c r="S675" s="101" t="e">
        <f>Q675*dagenperjaar1</f>
        <v>#DIV/0!</v>
      </c>
      <c r="T675" s="104" t="e">
        <f>S675*ROUND(P675,2)</f>
        <v>#DIV/0!</v>
      </c>
    </row>
    <row r="676" spans="1:20" x14ac:dyDescent="0.2">
      <c r="A676" s="105" t="s">
        <v>783</v>
      </c>
      <c r="B676" s="106" t="s">
        <v>37</v>
      </c>
      <c r="C676" s="106" t="s">
        <v>322</v>
      </c>
      <c r="D676" s="106" t="s">
        <v>785</v>
      </c>
      <c r="E676" s="106" t="s">
        <v>37</v>
      </c>
      <c r="F676" s="107" t="s">
        <v>371</v>
      </c>
      <c r="G676" s="106" t="s">
        <v>379</v>
      </c>
      <c r="H676" s="106" t="s">
        <v>253</v>
      </c>
      <c r="I676" s="106" t="s">
        <v>13</v>
      </c>
      <c r="J676" s="106" t="s">
        <v>231</v>
      </c>
      <c r="K676" s="106"/>
      <c r="L676" s="108">
        <v>8.6999999999999993</v>
      </c>
      <c r="M676" s="108">
        <f>L676*VLOOKUP(I676,dagsoorttabel1,2,FALSE)</f>
        <v>1.74</v>
      </c>
      <c r="N676" s="109">
        <f>prodnorm64</f>
        <v>0</v>
      </c>
      <c r="O676" s="106" t="s">
        <v>105</v>
      </c>
      <c r="P676" s="28">
        <f>uurtarief64</f>
        <v>0</v>
      </c>
      <c r="Q676" s="108" t="e">
        <f>IF(ISBLANK(N676),0,M676/ROUND(N676,4))</f>
        <v>#DIV/0!</v>
      </c>
      <c r="R676" s="28" t="e">
        <f>ROUND(P676,2)*Q676</f>
        <v>#DIV/0!</v>
      </c>
      <c r="S676" s="108" t="e">
        <f>Q676*dagenperjaar1</f>
        <v>#DIV/0!</v>
      </c>
      <c r="T676" s="29" t="e">
        <f>S676*ROUND(P676,2)</f>
        <v>#DIV/0!</v>
      </c>
    </row>
    <row r="677" spans="1:20" x14ac:dyDescent="0.2">
      <c r="A677" s="105" t="s">
        <v>783</v>
      </c>
      <c r="B677" s="106" t="s">
        <v>37</v>
      </c>
      <c r="C677" s="106" t="s">
        <v>322</v>
      </c>
      <c r="D677" s="106" t="s">
        <v>786</v>
      </c>
      <c r="E677" s="106" t="s">
        <v>37</v>
      </c>
      <c r="F677" s="107" t="s">
        <v>335</v>
      </c>
      <c r="G677" s="106" t="s">
        <v>379</v>
      </c>
      <c r="H677" s="106" t="s">
        <v>290</v>
      </c>
      <c r="I677" s="106" t="s">
        <v>13</v>
      </c>
      <c r="J677" s="106" t="s">
        <v>231</v>
      </c>
      <c r="K677" s="106"/>
      <c r="L677" s="108">
        <v>3.3</v>
      </c>
      <c r="M677" s="108">
        <f>L677*VLOOKUP(I677,dagsoorttabel1,2,FALSE)</f>
        <v>0.66</v>
      </c>
      <c r="N677" s="109">
        <f>prodnorm140</f>
        <v>0</v>
      </c>
      <c r="O677" s="106" t="s">
        <v>105</v>
      </c>
      <c r="P677" s="28">
        <f>uurtarief140</f>
        <v>0</v>
      </c>
      <c r="Q677" s="108" t="e">
        <f>IF(ISBLANK(N677),0,M677/ROUND(N677,4))</f>
        <v>#DIV/0!</v>
      </c>
      <c r="R677" s="28" t="e">
        <f>ROUND(P677,2)*Q677</f>
        <v>#DIV/0!</v>
      </c>
      <c r="S677" s="108" t="e">
        <f>Q677*dagenperjaar1</f>
        <v>#DIV/0!</v>
      </c>
      <c r="T677" s="29" t="e">
        <f>S677*ROUND(P677,2)</f>
        <v>#DIV/0!</v>
      </c>
    </row>
    <row r="678" spans="1:20" x14ac:dyDescent="0.2">
      <c r="A678" s="105" t="s">
        <v>783</v>
      </c>
      <c r="B678" s="106" t="s">
        <v>37</v>
      </c>
      <c r="C678" s="106" t="s">
        <v>322</v>
      </c>
      <c r="D678" s="106" t="s">
        <v>787</v>
      </c>
      <c r="E678" s="106" t="s">
        <v>37</v>
      </c>
      <c r="F678" s="107" t="s">
        <v>393</v>
      </c>
      <c r="G678" s="106" t="s">
        <v>379</v>
      </c>
      <c r="H678" s="106" t="s">
        <v>235</v>
      </c>
      <c r="I678" s="106" t="s">
        <v>13</v>
      </c>
      <c r="J678" s="106" t="s">
        <v>231</v>
      </c>
      <c r="K678" s="106"/>
      <c r="L678" s="108">
        <v>37.299999999999997</v>
      </c>
      <c r="M678" s="108">
        <f>L678*VLOOKUP(I678,dagsoorttabel1,2,FALSE)</f>
        <v>7.46</v>
      </c>
      <c r="N678" s="109">
        <f>prodnorm35</f>
        <v>0</v>
      </c>
      <c r="O678" s="106" t="s">
        <v>105</v>
      </c>
      <c r="P678" s="28">
        <f>uurtarief35</f>
        <v>0</v>
      </c>
      <c r="Q678" s="108" t="e">
        <f>IF(ISBLANK(N678),0,M678/ROUND(N678,4))</f>
        <v>#DIV/0!</v>
      </c>
      <c r="R678" s="28" t="e">
        <f>ROUND(P678,2)*Q678</f>
        <v>#DIV/0!</v>
      </c>
      <c r="S678" s="108" t="e">
        <f>Q678*dagenperjaar1</f>
        <v>#DIV/0!</v>
      </c>
      <c r="T678" s="29" t="e">
        <f>S678*ROUND(P678,2)</f>
        <v>#DIV/0!</v>
      </c>
    </row>
    <row r="679" spans="1:20" x14ac:dyDescent="0.2">
      <c r="A679" s="105" t="s">
        <v>783</v>
      </c>
      <c r="B679" s="106" t="s">
        <v>37</v>
      </c>
      <c r="C679" s="106" t="s">
        <v>322</v>
      </c>
      <c r="D679" s="106" t="s">
        <v>788</v>
      </c>
      <c r="E679" s="106" t="s">
        <v>37</v>
      </c>
      <c r="F679" s="107" t="s">
        <v>615</v>
      </c>
      <c r="G679" s="106" t="s">
        <v>379</v>
      </c>
      <c r="H679" s="106" t="s">
        <v>267</v>
      </c>
      <c r="I679" s="106" t="s">
        <v>13</v>
      </c>
      <c r="J679" s="106" t="s">
        <v>231</v>
      </c>
      <c r="K679" s="106"/>
      <c r="L679" s="108">
        <v>6.5</v>
      </c>
      <c r="M679" s="108">
        <f>L679*VLOOKUP(I679,dagsoorttabel1,2,FALSE)</f>
        <v>1.3</v>
      </c>
      <c r="N679" s="109">
        <f>prodnorm94</f>
        <v>0</v>
      </c>
      <c r="O679" s="106" t="s">
        <v>105</v>
      </c>
      <c r="P679" s="28">
        <f>uurtarief94</f>
        <v>0</v>
      </c>
      <c r="Q679" s="108" t="e">
        <f>IF(ISBLANK(N679),0,M679/ROUND(N679,4))</f>
        <v>#DIV/0!</v>
      </c>
      <c r="R679" s="28" t="e">
        <f>ROUND(P679,2)*Q679</f>
        <v>#DIV/0!</v>
      </c>
      <c r="S679" s="108" t="e">
        <f>Q679*dagenperjaar1</f>
        <v>#DIV/0!</v>
      </c>
      <c r="T679" s="29" t="e">
        <f>S679*ROUND(P679,2)</f>
        <v>#DIV/0!</v>
      </c>
    </row>
    <row r="680" spans="1:20" x14ac:dyDescent="0.2">
      <c r="A680" s="110" t="s">
        <v>783</v>
      </c>
      <c r="B680" s="111" t="s">
        <v>37</v>
      </c>
      <c r="C680" s="111" t="s">
        <v>544</v>
      </c>
      <c r="D680" s="111" t="s">
        <v>37</v>
      </c>
      <c r="E680" s="111" t="s">
        <v>37</v>
      </c>
      <c r="F680" s="112" t="s">
        <v>37</v>
      </c>
      <c r="G680" s="111" t="s">
        <v>37</v>
      </c>
      <c r="H680" s="111" t="s">
        <v>298</v>
      </c>
      <c r="I680" s="111" t="s">
        <v>13</v>
      </c>
      <c r="J680" s="111" t="s">
        <v>299</v>
      </c>
      <c r="K680" s="111"/>
      <c r="L680" s="113">
        <v>1</v>
      </c>
      <c r="M680" s="113">
        <f>L680*VLOOKUP(I680,dagsoorttabel1,2,FALSE)</f>
        <v>0.2</v>
      </c>
      <c r="N680" s="114">
        <f>prodnorm21</f>
        <v>0</v>
      </c>
      <c r="O680" s="111" t="s">
        <v>301</v>
      </c>
      <c r="P680" s="38">
        <f>uurtarief21</f>
        <v>0</v>
      </c>
      <c r="Q680" s="113">
        <f>M680*ROUND(N680,4)/60</f>
        <v>0</v>
      </c>
      <c r="R680" s="38">
        <f>ROUND(P680,2)*Q680</f>
        <v>0</v>
      </c>
      <c r="S680" s="113">
        <f>Q680*dagenperjaar1</f>
        <v>0</v>
      </c>
      <c r="T680" s="39">
        <f>S680*ROUND(P680,2)</f>
        <v>0</v>
      </c>
    </row>
    <row r="681" spans="1:20" x14ac:dyDescent="0.2">
      <c r="A681" s="115" t="s">
        <v>546</v>
      </c>
      <c r="B681" s="83"/>
      <c r="C681" s="83"/>
      <c r="D681" s="83"/>
      <c r="E681" s="83"/>
      <c r="F681" s="83"/>
      <c r="G681" s="83"/>
      <c r="H681" s="83"/>
      <c r="I681" s="83"/>
      <c r="J681" s="83"/>
      <c r="K681" s="83"/>
      <c r="L681" s="83"/>
      <c r="M681" s="83"/>
      <c r="N681" s="83"/>
      <c r="O681" s="83"/>
      <c r="P681" s="85" t="e">
        <f>IF(_xlfn.SINGLE(object35_urenjaar1)&gt;0,_xlfn.SINGLE(object35_prijsjaar1)/_xlfn.SINGLE(object35_urenjaar1),0)</f>
        <v>#DIV/0!</v>
      </c>
      <c r="Q681" s="84" t="e">
        <f>SUM(Q675:Q680)</f>
        <v>#DIV/0!</v>
      </c>
      <c r="R681" s="85" t="e">
        <f>SUM(R675:R680)</f>
        <v>#DIV/0!</v>
      </c>
      <c r="S681" s="84" t="e">
        <f>SUM(S675:S680)</f>
        <v>#DIV/0!</v>
      </c>
      <c r="T681" s="86" t="e">
        <f>SUM(T675:T680)</f>
        <v>#DIV/0!</v>
      </c>
    </row>
    <row r="682" spans="1:20" x14ac:dyDescent="0.2">
      <c r="A682" s="91" t="s">
        <v>789</v>
      </c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81"/>
    </row>
    <row r="683" spans="1:20" x14ac:dyDescent="0.2">
      <c r="A683" s="98" t="s">
        <v>790</v>
      </c>
      <c r="B683" s="99" t="s">
        <v>37</v>
      </c>
      <c r="C683" s="99" t="s">
        <v>322</v>
      </c>
      <c r="D683" s="99" t="s">
        <v>323</v>
      </c>
      <c r="E683" s="99" t="s">
        <v>37</v>
      </c>
      <c r="F683" s="100" t="s">
        <v>393</v>
      </c>
      <c r="G683" s="99" t="s">
        <v>369</v>
      </c>
      <c r="H683" s="99" t="s">
        <v>235</v>
      </c>
      <c r="I683" s="99" t="s">
        <v>12</v>
      </c>
      <c r="J683" s="99" t="s">
        <v>231</v>
      </c>
      <c r="K683" s="99"/>
      <c r="L683" s="101">
        <v>20</v>
      </c>
      <c r="M683" s="101">
        <f>L683*VLOOKUP(I683,dagsoorttabel1,2,FALSE)</f>
        <v>8</v>
      </c>
      <c r="N683" s="102">
        <f>prodnorm37</f>
        <v>0</v>
      </c>
      <c r="O683" s="99" t="s">
        <v>105</v>
      </c>
      <c r="P683" s="103">
        <f>uurtarief37</f>
        <v>0</v>
      </c>
      <c r="Q683" s="101" t="e">
        <f>IF(ISBLANK(N683),0,M683/ROUND(N683,4))</f>
        <v>#DIV/0!</v>
      </c>
      <c r="R683" s="103" t="e">
        <f>ROUND(P683,2)*Q683</f>
        <v>#DIV/0!</v>
      </c>
      <c r="S683" s="101" t="e">
        <f>Q683*dagenperjaar1</f>
        <v>#DIV/0!</v>
      </c>
      <c r="T683" s="104" t="e">
        <f>S683*ROUND(P683,2)</f>
        <v>#DIV/0!</v>
      </c>
    </row>
    <row r="684" spans="1:20" x14ac:dyDescent="0.2">
      <c r="A684" s="105" t="s">
        <v>790</v>
      </c>
      <c r="B684" s="106" t="s">
        <v>37</v>
      </c>
      <c r="C684" s="106" t="s">
        <v>322</v>
      </c>
      <c r="D684" s="106" t="s">
        <v>326</v>
      </c>
      <c r="E684" s="106" t="s">
        <v>37</v>
      </c>
      <c r="F684" s="107" t="s">
        <v>592</v>
      </c>
      <c r="G684" s="106" t="s">
        <v>325</v>
      </c>
      <c r="H684" s="106" t="s">
        <v>281</v>
      </c>
      <c r="I684" s="106" t="s">
        <v>12</v>
      </c>
      <c r="J684" s="106" t="s">
        <v>231</v>
      </c>
      <c r="K684" s="106"/>
      <c r="L684" s="108">
        <v>6</v>
      </c>
      <c r="M684" s="108">
        <f>L684*VLOOKUP(I684,dagsoorttabel1,2,FALSE)</f>
        <v>2.4000000000000004</v>
      </c>
      <c r="N684" s="109">
        <f>prodnorm126</f>
        <v>0</v>
      </c>
      <c r="O684" s="106" t="s">
        <v>105</v>
      </c>
      <c r="P684" s="28">
        <f>uurtarief126</f>
        <v>0</v>
      </c>
      <c r="Q684" s="108" t="e">
        <f>IF(ISBLANK(N684),0,M684/ROUND(N684,4))</f>
        <v>#DIV/0!</v>
      </c>
      <c r="R684" s="28" t="e">
        <f>ROUND(P684,2)*Q684</f>
        <v>#DIV/0!</v>
      </c>
      <c r="S684" s="108" t="e">
        <f>Q684*dagenperjaar1</f>
        <v>#DIV/0!</v>
      </c>
      <c r="T684" s="29" t="e">
        <f>S684*ROUND(P684,2)</f>
        <v>#DIV/0!</v>
      </c>
    </row>
    <row r="685" spans="1:20" x14ac:dyDescent="0.2">
      <c r="A685" s="105" t="s">
        <v>790</v>
      </c>
      <c r="B685" s="106" t="s">
        <v>37</v>
      </c>
      <c r="C685" s="106" t="s">
        <v>322</v>
      </c>
      <c r="D685" s="106" t="s">
        <v>329</v>
      </c>
      <c r="E685" s="106" t="s">
        <v>37</v>
      </c>
      <c r="F685" s="107" t="s">
        <v>335</v>
      </c>
      <c r="G685" s="106" t="s">
        <v>379</v>
      </c>
      <c r="H685" s="106" t="s">
        <v>290</v>
      </c>
      <c r="I685" s="106" t="s">
        <v>12</v>
      </c>
      <c r="J685" s="106" t="s">
        <v>231</v>
      </c>
      <c r="K685" s="106"/>
      <c r="L685" s="108">
        <v>27</v>
      </c>
      <c r="M685" s="108">
        <f>L685*VLOOKUP(I685,dagsoorttabel1,2,FALSE)</f>
        <v>10.8</v>
      </c>
      <c r="N685" s="109">
        <f>prodnorm143</f>
        <v>0</v>
      </c>
      <c r="O685" s="106" t="s">
        <v>105</v>
      </c>
      <c r="P685" s="28">
        <f>uurtarief143</f>
        <v>0</v>
      </c>
      <c r="Q685" s="108" t="e">
        <f>IF(ISBLANK(N685),0,M685/ROUND(N685,4))</f>
        <v>#DIV/0!</v>
      </c>
      <c r="R685" s="28" t="e">
        <f>ROUND(P685,2)*Q685</f>
        <v>#DIV/0!</v>
      </c>
      <c r="S685" s="108" t="e">
        <f>Q685*dagenperjaar1</f>
        <v>#DIV/0!</v>
      </c>
      <c r="T685" s="29" t="e">
        <f>S685*ROUND(P685,2)</f>
        <v>#DIV/0!</v>
      </c>
    </row>
    <row r="686" spans="1:20" x14ac:dyDescent="0.2">
      <c r="A686" s="105" t="s">
        <v>790</v>
      </c>
      <c r="B686" s="106" t="s">
        <v>37</v>
      </c>
      <c r="C686" s="106" t="s">
        <v>322</v>
      </c>
      <c r="D686" s="106" t="s">
        <v>332</v>
      </c>
      <c r="E686" s="106" t="s">
        <v>37</v>
      </c>
      <c r="F686" s="107" t="s">
        <v>628</v>
      </c>
      <c r="G686" s="106" t="s">
        <v>331</v>
      </c>
      <c r="H686" s="106" t="s">
        <v>292</v>
      </c>
      <c r="I686" s="106" t="s">
        <v>12</v>
      </c>
      <c r="J686" s="106" t="s">
        <v>231</v>
      </c>
      <c r="K686" s="106"/>
      <c r="L686" s="108">
        <v>9.1</v>
      </c>
      <c r="M686" s="108">
        <f>L686*VLOOKUP(I686,dagsoorttabel1,2,FALSE)</f>
        <v>3.64</v>
      </c>
      <c r="N686" s="109">
        <f>prodnorm148</f>
        <v>0</v>
      </c>
      <c r="O686" s="106" t="s">
        <v>105</v>
      </c>
      <c r="P686" s="28">
        <f>uurtarief148</f>
        <v>0</v>
      </c>
      <c r="Q686" s="108" t="e">
        <f>IF(ISBLANK(N686),0,M686/ROUND(N686,4))</f>
        <v>#DIV/0!</v>
      </c>
      <c r="R686" s="28" t="e">
        <f>ROUND(P686,2)*Q686</f>
        <v>#DIV/0!</v>
      </c>
      <c r="S686" s="108" t="e">
        <f>Q686*dagenperjaar1</f>
        <v>#DIV/0!</v>
      </c>
      <c r="T686" s="29" t="e">
        <f>S686*ROUND(P686,2)</f>
        <v>#DIV/0!</v>
      </c>
    </row>
    <row r="687" spans="1:20" x14ac:dyDescent="0.2">
      <c r="A687" s="105" t="s">
        <v>790</v>
      </c>
      <c r="B687" s="106" t="s">
        <v>37</v>
      </c>
      <c r="C687" s="106" t="s">
        <v>322</v>
      </c>
      <c r="D687" s="106" t="s">
        <v>334</v>
      </c>
      <c r="E687" s="106" t="s">
        <v>37</v>
      </c>
      <c r="F687" s="107" t="s">
        <v>680</v>
      </c>
      <c r="G687" s="106" t="s">
        <v>379</v>
      </c>
      <c r="H687" s="106" t="s">
        <v>292</v>
      </c>
      <c r="I687" s="106" t="s">
        <v>12</v>
      </c>
      <c r="J687" s="106" t="s">
        <v>231</v>
      </c>
      <c r="K687" s="106"/>
      <c r="L687" s="108">
        <v>2.7</v>
      </c>
      <c r="M687" s="108">
        <f>L687*VLOOKUP(I687,dagsoorttabel1,2,FALSE)</f>
        <v>1.08</v>
      </c>
      <c r="N687" s="109">
        <f>prodnorm148</f>
        <v>0</v>
      </c>
      <c r="O687" s="106" t="s">
        <v>105</v>
      </c>
      <c r="P687" s="28">
        <f>uurtarief148</f>
        <v>0</v>
      </c>
      <c r="Q687" s="108" t="e">
        <f>IF(ISBLANK(N687),0,M687/ROUND(N687,4))</f>
        <v>#DIV/0!</v>
      </c>
      <c r="R687" s="28" t="e">
        <f>ROUND(P687,2)*Q687</f>
        <v>#DIV/0!</v>
      </c>
      <c r="S687" s="108" t="e">
        <f>Q687*dagenperjaar1</f>
        <v>#DIV/0!</v>
      </c>
      <c r="T687" s="29" t="e">
        <f>S687*ROUND(P687,2)</f>
        <v>#DIV/0!</v>
      </c>
    </row>
    <row r="688" spans="1:20" x14ac:dyDescent="0.2">
      <c r="A688" s="105" t="s">
        <v>790</v>
      </c>
      <c r="B688" s="106" t="s">
        <v>37</v>
      </c>
      <c r="C688" s="106" t="s">
        <v>322</v>
      </c>
      <c r="D688" s="106" t="s">
        <v>336</v>
      </c>
      <c r="E688" s="106" t="s">
        <v>37</v>
      </c>
      <c r="F688" s="107" t="s">
        <v>791</v>
      </c>
      <c r="G688" s="106" t="s">
        <v>369</v>
      </c>
      <c r="H688" s="106" t="s">
        <v>267</v>
      </c>
      <c r="I688" s="106" t="s">
        <v>12</v>
      </c>
      <c r="J688" s="106" t="s">
        <v>231</v>
      </c>
      <c r="K688" s="106"/>
      <c r="L688" s="108">
        <v>16</v>
      </c>
      <c r="M688" s="108">
        <f>L688*VLOOKUP(I688,dagsoorttabel1,2,FALSE)</f>
        <v>6.4</v>
      </c>
      <c r="N688" s="109">
        <f>prodnorm97</f>
        <v>0</v>
      </c>
      <c r="O688" s="106" t="s">
        <v>105</v>
      </c>
      <c r="P688" s="28">
        <f>uurtarief97</f>
        <v>0</v>
      </c>
      <c r="Q688" s="108" t="e">
        <f>IF(ISBLANK(N688),0,M688/ROUND(N688,4))</f>
        <v>#DIV/0!</v>
      </c>
      <c r="R688" s="28" t="e">
        <f>ROUND(P688,2)*Q688</f>
        <v>#DIV/0!</v>
      </c>
      <c r="S688" s="108" t="e">
        <f>Q688*dagenperjaar1</f>
        <v>#DIV/0!</v>
      </c>
      <c r="T688" s="29" t="e">
        <f>S688*ROUND(P688,2)</f>
        <v>#DIV/0!</v>
      </c>
    </row>
    <row r="689" spans="1:20" x14ac:dyDescent="0.2">
      <c r="A689" s="105" t="s">
        <v>790</v>
      </c>
      <c r="B689" s="106" t="s">
        <v>37</v>
      </c>
      <c r="C689" s="106" t="s">
        <v>322</v>
      </c>
      <c r="D689" s="106" t="s">
        <v>338</v>
      </c>
      <c r="E689" s="106" t="s">
        <v>37</v>
      </c>
      <c r="F689" s="107" t="s">
        <v>619</v>
      </c>
      <c r="G689" s="106" t="s">
        <v>369</v>
      </c>
      <c r="H689" s="106" t="s">
        <v>261</v>
      </c>
      <c r="I689" s="106" t="s">
        <v>12</v>
      </c>
      <c r="J689" s="106" t="s">
        <v>231</v>
      </c>
      <c r="K689" s="106"/>
      <c r="L689" s="108">
        <v>1.4</v>
      </c>
      <c r="M689" s="108">
        <f>L689*VLOOKUP(I689,dagsoorttabel1,2,FALSE)</f>
        <v>0.55999999999999994</v>
      </c>
      <c r="N689" s="109">
        <f>prodnorm84</f>
        <v>0</v>
      </c>
      <c r="O689" s="106" t="s">
        <v>105</v>
      </c>
      <c r="P689" s="28">
        <f>uurtarief84</f>
        <v>0</v>
      </c>
      <c r="Q689" s="108" t="e">
        <f>IF(ISBLANK(N689),0,M689/ROUND(N689,4))</f>
        <v>#DIV/0!</v>
      </c>
      <c r="R689" s="28" t="e">
        <f>ROUND(P689,2)*Q689</f>
        <v>#DIV/0!</v>
      </c>
      <c r="S689" s="108" t="e">
        <f>Q689*dagenperjaar1</f>
        <v>#DIV/0!</v>
      </c>
      <c r="T689" s="29" t="e">
        <f>S689*ROUND(P689,2)</f>
        <v>#DIV/0!</v>
      </c>
    </row>
    <row r="690" spans="1:20" x14ac:dyDescent="0.2">
      <c r="A690" s="105" t="s">
        <v>790</v>
      </c>
      <c r="B690" s="106" t="s">
        <v>37</v>
      </c>
      <c r="C690" s="106" t="s">
        <v>322</v>
      </c>
      <c r="D690" s="106" t="s">
        <v>339</v>
      </c>
      <c r="E690" s="106" t="s">
        <v>37</v>
      </c>
      <c r="F690" s="107" t="s">
        <v>792</v>
      </c>
      <c r="G690" s="106" t="s">
        <v>369</v>
      </c>
      <c r="H690" s="106" t="s">
        <v>251</v>
      </c>
      <c r="I690" s="106" t="s">
        <v>12</v>
      </c>
      <c r="J690" s="106" t="s">
        <v>231</v>
      </c>
      <c r="K690" s="106"/>
      <c r="L690" s="108">
        <v>4.8499999999999996</v>
      </c>
      <c r="M690" s="108">
        <f>L690*VLOOKUP(I690,dagsoorttabel1,2,FALSE)</f>
        <v>1.94</v>
      </c>
      <c r="N690" s="109">
        <f>prodnorm62</f>
        <v>0</v>
      </c>
      <c r="O690" s="106" t="s">
        <v>105</v>
      </c>
      <c r="P690" s="28">
        <f>uurtarief62</f>
        <v>0</v>
      </c>
      <c r="Q690" s="108" t="e">
        <f>IF(ISBLANK(N690),0,M690/ROUND(N690,4))</f>
        <v>#DIV/0!</v>
      </c>
      <c r="R690" s="28" t="e">
        <f>ROUND(P690,2)*Q690</f>
        <v>#DIV/0!</v>
      </c>
      <c r="S690" s="108" t="e">
        <f>Q690*dagenperjaar1</f>
        <v>#DIV/0!</v>
      </c>
      <c r="T690" s="29" t="e">
        <f>S690*ROUND(P690,2)</f>
        <v>#DIV/0!</v>
      </c>
    </row>
    <row r="691" spans="1:20" x14ac:dyDescent="0.2">
      <c r="A691" s="105" t="s">
        <v>790</v>
      </c>
      <c r="B691" s="106" t="s">
        <v>37</v>
      </c>
      <c r="C691" s="106" t="s">
        <v>322</v>
      </c>
      <c r="D691" s="106" t="s">
        <v>342</v>
      </c>
      <c r="E691" s="106" t="s">
        <v>37</v>
      </c>
      <c r="F691" s="107" t="s">
        <v>747</v>
      </c>
      <c r="G691" s="106" t="s">
        <v>369</v>
      </c>
      <c r="H691" s="106" t="s">
        <v>267</v>
      </c>
      <c r="I691" s="106" t="s">
        <v>12</v>
      </c>
      <c r="J691" s="106" t="s">
        <v>231</v>
      </c>
      <c r="K691" s="106"/>
      <c r="L691" s="108">
        <v>7.2</v>
      </c>
      <c r="M691" s="108">
        <f>L691*VLOOKUP(I691,dagsoorttabel1,2,FALSE)</f>
        <v>2.8800000000000003</v>
      </c>
      <c r="N691" s="109">
        <f>prodnorm97</f>
        <v>0</v>
      </c>
      <c r="O691" s="106" t="s">
        <v>105</v>
      </c>
      <c r="P691" s="28">
        <f>uurtarief97</f>
        <v>0</v>
      </c>
      <c r="Q691" s="108" t="e">
        <f>IF(ISBLANK(N691),0,M691/ROUND(N691,4))</f>
        <v>#DIV/0!</v>
      </c>
      <c r="R691" s="28" t="e">
        <f>ROUND(P691,2)*Q691</f>
        <v>#DIV/0!</v>
      </c>
      <c r="S691" s="108" t="e">
        <f>Q691*dagenperjaar1</f>
        <v>#DIV/0!</v>
      </c>
      <c r="T691" s="29" t="e">
        <f>S691*ROUND(P691,2)</f>
        <v>#DIV/0!</v>
      </c>
    </row>
    <row r="692" spans="1:20" x14ac:dyDescent="0.2">
      <c r="A692" s="105" t="s">
        <v>790</v>
      </c>
      <c r="B692" s="106" t="s">
        <v>37</v>
      </c>
      <c r="C692" s="106" t="s">
        <v>322</v>
      </c>
      <c r="D692" s="106" t="s">
        <v>344</v>
      </c>
      <c r="E692" s="106" t="s">
        <v>37</v>
      </c>
      <c r="F692" s="107" t="s">
        <v>579</v>
      </c>
      <c r="G692" s="106" t="s">
        <v>379</v>
      </c>
      <c r="H692" s="106" t="s">
        <v>257</v>
      </c>
      <c r="I692" s="106" t="s">
        <v>12</v>
      </c>
      <c r="J692" s="106" t="s">
        <v>231</v>
      </c>
      <c r="K692" s="106"/>
      <c r="L692" s="108">
        <v>45</v>
      </c>
      <c r="M692" s="108">
        <f>L692*VLOOKUP(I692,dagsoorttabel1,2,FALSE)</f>
        <v>18</v>
      </c>
      <c r="N692" s="109">
        <f>prodnorm76</f>
        <v>0</v>
      </c>
      <c r="O692" s="106" t="s">
        <v>105</v>
      </c>
      <c r="P692" s="28">
        <f>uurtarief76</f>
        <v>0</v>
      </c>
      <c r="Q692" s="108" t="e">
        <f>IF(ISBLANK(N692),0,M692/ROUND(N692,4))</f>
        <v>#DIV/0!</v>
      </c>
      <c r="R692" s="28" t="e">
        <f>ROUND(P692,2)*Q692</f>
        <v>#DIV/0!</v>
      </c>
      <c r="S692" s="108" t="e">
        <f>Q692*dagenperjaar1</f>
        <v>#DIV/0!</v>
      </c>
      <c r="T692" s="29" t="e">
        <f>S692*ROUND(P692,2)</f>
        <v>#DIV/0!</v>
      </c>
    </row>
    <row r="693" spans="1:20" x14ac:dyDescent="0.2">
      <c r="A693" s="105" t="s">
        <v>790</v>
      </c>
      <c r="B693" s="106" t="s">
        <v>37</v>
      </c>
      <c r="C693" s="106" t="s">
        <v>322</v>
      </c>
      <c r="D693" s="106" t="s">
        <v>347</v>
      </c>
      <c r="E693" s="106" t="s">
        <v>37</v>
      </c>
      <c r="F693" s="107" t="s">
        <v>793</v>
      </c>
      <c r="G693" s="106" t="s">
        <v>379</v>
      </c>
      <c r="H693" s="106" t="s">
        <v>251</v>
      </c>
      <c r="I693" s="106" t="s">
        <v>12</v>
      </c>
      <c r="J693" s="106" t="s">
        <v>231</v>
      </c>
      <c r="K693" s="106"/>
      <c r="L693" s="108">
        <v>7.7</v>
      </c>
      <c r="M693" s="108">
        <f>L693*VLOOKUP(I693,dagsoorttabel1,2,FALSE)</f>
        <v>3.08</v>
      </c>
      <c r="N693" s="109">
        <f>prodnorm62</f>
        <v>0</v>
      </c>
      <c r="O693" s="106" t="s">
        <v>105</v>
      </c>
      <c r="P693" s="28">
        <f>uurtarief62</f>
        <v>0</v>
      </c>
      <c r="Q693" s="108" t="e">
        <f>IF(ISBLANK(N693),0,M693/ROUND(N693,4))</f>
        <v>#DIV/0!</v>
      </c>
      <c r="R693" s="28" t="e">
        <f>ROUND(P693,2)*Q693</f>
        <v>#DIV/0!</v>
      </c>
      <c r="S693" s="108" t="e">
        <f>Q693*dagenperjaar1</f>
        <v>#DIV/0!</v>
      </c>
      <c r="T693" s="29" t="e">
        <f>S693*ROUND(P693,2)</f>
        <v>#DIV/0!</v>
      </c>
    </row>
    <row r="694" spans="1:20" x14ac:dyDescent="0.2">
      <c r="A694" s="105" t="s">
        <v>790</v>
      </c>
      <c r="B694" s="106" t="s">
        <v>37</v>
      </c>
      <c r="C694" s="106" t="s">
        <v>322</v>
      </c>
      <c r="D694" s="106" t="s">
        <v>349</v>
      </c>
      <c r="E694" s="106" t="s">
        <v>37</v>
      </c>
      <c r="F694" s="107" t="s">
        <v>781</v>
      </c>
      <c r="G694" s="106" t="s">
        <v>379</v>
      </c>
      <c r="H694" s="106" t="s">
        <v>241</v>
      </c>
      <c r="I694" s="106" t="s">
        <v>12</v>
      </c>
      <c r="J694" s="106" t="s">
        <v>231</v>
      </c>
      <c r="K694" s="106"/>
      <c r="L694" s="108">
        <v>6</v>
      </c>
      <c r="M694" s="108">
        <f>L694*VLOOKUP(I694,dagsoorttabel1,2,FALSE)</f>
        <v>2.4000000000000004</v>
      </c>
      <c r="N694" s="109">
        <f>prodnorm45</f>
        <v>0</v>
      </c>
      <c r="O694" s="106" t="s">
        <v>105</v>
      </c>
      <c r="P694" s="28">
        <f>uurtarief45</f>
        <v>0</v>
      </c>
      <c r="Q694" s="108" t="e">
        <f>IF(ISBLANK(N694),0,M694/ROUND(N694,4))</f>
        <v>#DIV/0!</v>
      </c>
      <c r="R694" s="28" t="e">
        <f>ROUND(P694,2)*Q694</f>
        <v>#DIV/0!</v>
      </c>
      <c r="S694" s="108" t="e">
        <f>Q694*dagenperjaar1</f>
        <v>#DIV/0!</v>
      </c>
      <c r="T694" s="29" t="e">
        <f>S694*ROUND(P694,2)</f>
        <v>#DIV/0!</v>
      </c>
    </row>
    <row r="695" spans="1:20" x14ac:dyDescent="0.2">
      <c r="A695" s="105" t="s">
        <v>790</v>
      </c>
      <c r="B695" s="106" t="s">
        <v>37</v>
      </c>
      <c r="C695" s="106" t="s">
        <v>415</v>
      </c>
      <c r="D695" s="106" t="s">
        <v>416</v>
      </c>
      <c r="E695" s="106" t="s">
        <v>37</v>
      </c>
      <c r="F695" s="107" t="s">
        <v>794</v>
      </c>
      <c r="G695" s="106" t="s">
        <v>379</v>
      </c>
      <c r="H695" s="106" t="s">
        <v>273</v>
      </c>
      <c r="I695" s="106" t="s">
        <v>12</v>
      </c>
      <c r="J695" s="106" t="s">
        <v>231</v>
      </c>
      <c r="K695" s="106"/>
      <c r="L695" s="108">
        <v>2.2000000000000002</v>
      </c>
      <c r="M695" s="108">
        <f>L695*VLOOKUP(I695,dagsoorttabel1,2,FALSE)</f>
        <v>0.88000000000000012</v>
      </c>
      <c r="N695" s="109">
        <f>prodnorm109</f>
        <v>0</v>
      </c>
      <c r="O695" s="106" t="s">
        <v>105</v>
      </c>
      <c r="P695" s="28">
        <f>uurtarief109</f>
        <v>0</v>
      </c>
      <c r="Q695" s="108" t="e">
        <f>IF(ISBLANK(N695),0,M695/ROUND(N695,4))</f>
        <v>#DIV/0!</v>
      </c>
      <c r="R695" s="28" t="e">
        <f>ROUND(P695,2)*Q695</f>
        <v>#DIV/0!</v>
      </c>
      <c r="S695" s="108" t="e">
        <f>Q695*dagenperjaar1</f>
        <v>#DIV/0!</v>
      </c>
      <c r="T695" s="29" t="e">
        <f>S695*ROUND(P695,2)</f>
        <v>#DIV/0!</v>
      </c>
    </row>
    <row r="696" spans="1:20" x14ac:dyDescent="0.2">
      <c r="A696" s="105" t="s">
        <v>790</v>
      </c>
      <c r="B696" s="106" t="s">
        <v>37</v>
      </c>
      <c r="C696" s="106" t="s">
        <v>415</v>
      </c>
      <c r="D696" s="106" t="s">
        <v>417</v>
      </c>
      <c r="E696" s="106" t="s">
        <v>37</v>
      </c>
      <c r="F696" s="107" t="s">
        <v>795</v>
      </c>
      <c r="G696" s="106" t="s">
        <v>379</v>
      </c>
      <c r="H696" s="106" t="s">
        <v>273</v>
      </c>
      <c r="I696" s="106" t="s">
        <v>12</v>
      </c>
      <c r="J696" s="106" t="s">
        <v>231</v>
      </c>
      <c r="K696" s="106"/>
      <c r="L696" s="108">
        <v>8.1</v>
      </c>
      <c r="M696" s="108">
        <f>L696*VLOOKUP(I696,dagsoorttabel1,2,FALSE)</f>
        <v>3.24</v>
      </c>
      <c r="N696" s="109">
        <f>prodnorm109</f>
        <v>0</v>
      </c>
      <c r="O696" s="106" t="s">
        <v>105</v>
      </c>
      <c r="P696" s="28">
        <f>uurtarief109</f>
        <v>0</v>
      </c>
      <c r="Q696" s="108" t="e">
        <f>IF(ISBLANK(N696),0,M696/ROUND(N696,4))</f>
        <v>#DIV/0!</v>
      </c>
      <c r="R696" s="28" t="e">
        <f>ROUND(P696,2)*Q696</f>
        <v>#DIV/0!</v>
      </c>
      <c r="S696" s="108" t="e">
        <f>Q696*dagenperjaar1</f>
        <v>#DIV/0!</v>
      </c>
      <c r="T696" s="29" t="e">
        <f>S696*ROUND(P696,2)</f>
        <v>#DIV/0!</v>
      </c>
    </row>
    <row r="697" spans="1:20" x14ac:dyDescent="0.2">
      <c r="A697" s="105" t="s">
        <v>790</v>
      </c>
      <c r="B697" s="106" t="s">
        <v>37</v>
      </c>
      <c r="C697" s="106" t="s">
        <v>415</v>
      </c>
      <c r="D697" s="106" t="s">
        <v>419</v>
      </c>
      <c r="E697" s="106" t="s">
        <v>37</v>
      </c>
      <c r="F697" s="107" t="s">
        <v>393</v>
      </c>
      <c r="G697" s="106" t="s">
        <v>379</v>
      </c>
      <c r="H697" s="106" t="s">
        <v>235</v>
      </c>
      <c r="I697" s="106" t="s">
        <v>12</v>
      </c>
      <c r="J697" s="106" t="s">
        <v>231</v>
      </c>
      <c r="K697" s="106"/>
      <c r="L697" s="108">
        <v>20</v>
      </c>
      <c r="M697" s="108">
        <f>L697*VLOOKUP(I697,dagsoorttabel1,2,FALSE)</f>
        <v>8</v>
      </c>
      <c r="N697" s="109">
        <f>prodnorm37</f>
        <v>0</v>
      </c>
      <c r="O697" s="106" t="s">
        <v>105</v>
      </c>
      <c r="P697" s="28">
        <f>uurtarief37</f>
        <v>0</v>
      </c>
      <c r="Q697" s="108" t="e">
        <f>IF(ISBLANK(N697),0,M697/ROUND(N697,4))</f>
        <v>#DIV/0!</v>
      </c>
      <c r="R697" s="28" t="e">
        <f>ROUND(P697,2)*Q697</f>
        <v>#DIV/0!</v>
      </c>
      <c r="S697" s="108" t="e">
        <f>Q697*dagenperjaar1</f>
        <v>#DIV/0!</v>
      </c>
      <c r="T697" s="29" t="e">
        <f>S697*ROUND(P697,2)</f>
        <v>#DIV/0!</v>
      </c>
    </row>
    <row r="698" spans="1:20" x14ac:dyDescent="0.2">
      <c r="A698" s="105" t="s">
        <v>790</v>
      </c>
      <c r="B698" s="106" t="s">
        <v>37</v>
      </c>
      <c r="C698" s="106" t="s">
        <v>415</v>
      </c>
      <c r="D698" s="106" t="s">
        <v>420</v>
      </c>
      <c r="E698" s="106" t="s">
        <v>37</v>
      </c>
      <c r="F698" s="107" t="s">
        <v>337</v>
      </c>
      <c r="G698" s="106" t="s">
        <v>379</v>
      </c>
      <c r="H698" s="106" t="s">
        <v>241</v>
      </c>
      <c r="I698" s="106" t="s">
        <v>12</v>
      </c>
      <c r="J698" s="106" t="s">
        <v>231</v>
      </c>
      <c r="K698" s="106"/>
      <c r="L698" s="108">
        <v>20.3</v>
      </c>
      <c r="M698" s="108">
        <f>L698*VLOOKUP(I698,dagsoorttabel1,2,FALSE)</f>
        <v>8.120000000000001</v>
      </c>
      <c r="N698" s="109">
        <f>prodnorm45</f>
        <v>0</v>
      </c>
      <c r="O698" s="106" t="s">
        <v>105</v>
      </c>
      <c r="P698" s="28">
        <f>uurtarief45</f>
        <v>0</v>
      </c>
      <c r="Q698" s="108" t="e">
        <f>IF(ISBLANK(N698),0,M698/ROUND(N698,4))</f>
        <v>#DIV/0!</v>
      </c>
      <c r="R698" s="28" t="e">
        <f>ROUND(P698,2)*Q698</f>
        <v>#DIV/0!</v>
      </c>
      <c r="S698" s="108" t="e">
        <f>Q698*dagenperjaar1</f>
        <v>#DIV/0!</v>
      </c>
      <c r="T698" s="29" t="e">
        <f>S698*ROUND(P698,2)</f>
        <v>#DIV/0!</v>
      </c>
    </row>
    <row r="699" spans="1:20" x14ac:dyDescent="0.2">
      <c r="A699" s="105" t="s">
        <v>790</v>
      </c>
      <c r="B699" s="106" t="s">
        <v>37</v>
      </c>
      <c r="C699" s="106" t="s">
        <v>415</v>
      </c>
      <c r="D699" s="106" t="s">
        <v>421</v>
      </c>
      <c r="E699" s="106" t="s">
        <v>37</v>
      </c>
      <c r="F699" s="107" t="s">
        <v>393</v>
      </c>
      <c r="G699" s="106" t="s">
        <v>379</v>
      </c>
      <c r="H699" s="106" t="s">
        <v>235</v>
      </c>
      <c r="I699" s="106" t="s">
        <v>12</v>
      </c>
      <c r="J699" s="106" t="s">
        <v>231</v>
      </c>
      <c r="K699" s="106"/>
      <c r="L699" s="108">
        <v>57</v>
      </c>
      <c r="M699" s="108">
        <f>L699*VLOOKUP(I699,dagsoorttabel1,2,FALSE)</f>
        <v>22.8</v>
      </c>
      <c r="N699" s="109">
        <f>prodnorm37</f>
        <v>0</v>
      </c>
      <c r="O699" s="106" t="s">
        <v>105</v>
      </c>
      <c r="P699" s="28">
        <f>uurtarief37</f>
        <v>0</v>
      </c>
      <c r="Q699" s="108" t="e">
        <f>IF(ISBLANK(N699),0,M699/ROUND(N699,4))</f>
        <v>#DIV/0!</v>
      </c>
      <c r="R699" s="28" t="e">
        <f>ROUND(P699,2)*Q699</f>
        <v>#DIV/0!</v>
      </c>
      <c r="S699" s="108" t="e">
        <f>Q699*dagenperjaar1</f>
        <v>#DIV/0!</v>
      </c>
      <c r="T699" s="29" t="e">
        <f>S699*ROUND(P699,2)</f>
        <v>#DIV/0!</v>
      </c>
    </row>
    <row r="700" spans="1:20" x14ac:dyDescent="0.2">
      <c r="A700" s="110" t="s">
        <v>790</v>
      </c>
      <c r="B700" s="111" t="s">
        <v>37</v>
      </c>
      <c r="C700" s="111" t="s">
        <v>544</v>
      </c>
      <c r="D700" s="111" t="s">
        <v>37</v>
      </c>
      <c r="E700" s="111" t="s">
        <v>37</v>
      </c>
      <c r="F700" s="112" t="s">
        <v>796</v>
      </c>
      <c r="G700" s="111" t="s">
        <v>37</v>
      </c>
      <c r="H700" s="111" t="s">
        <v>298</v>
      </c>
      <c r="I700" s="111" t="s">
        <v>13</v>
      </c>
      <c r="J700" s="111" t="s">
        <v>299</v>
      </c>
      <c r="K700" s="111"/>
      <c r="L700" s="113">
        <v>1</v>
      </c>
      <c r="M700" s="113">
        <f>L700*VLOOKUP(I700,dagsoorttabel1,2,FALSE)</f>
        <v>0.2</v>
      </c>
      <c r="N700" s="114">
        <f>prodnorm21</f>
        <v>0</v>
      </c>
      <c r="O700" s="111" t="s">
        <v>301</v>
      </c>
      <c r="P700" s="38">
        <f>uurtarief21</f>
        <v>0</v>
      </c>
      <c r="Q700" s="113">
        <f>M700*ROUND(N700,4)/60</f>
        <v>0</v>
      </c>
      <c r="R700" s="38">
        <f>ROUND(P700,2)*Q700</f>
        <v>0</v>
      </c>
      <c r="S700" s="113">
        <f>Q700*dagenperjaar1</f>
        <v>0</v>
      </c>
      <c r="T700" s="39">
        <f>S700*ROUND(P700,2)</f>
        <v>0</v>
      </c>
    </row>
    <row r="701" spans="1:20" x14ac:dyDescent="0.2">
      <c r="A701" s="115" t="s">
        <v>546</v>
      </c>
      <c r="B701" s="83"/>
      <c r="C701" s="83"/>
      <c r="D701" s="83"/>
      <c r="E701" s="83"/>
      <c r="F701" s="83"/>
      <c r="G701" s="83"/>
      <c r="H701" s="83"/>
      <c r="I701" s="83"/>
      <c r="J701" s="83"/>
      <c r="K701" s="83"/>
      <c r="L701" s="83"/>
      <c r="M701" s="83"/>
      <c r="N701" s="83"/>
      <c r="O701" s="83"/>
      <c r="P701" s="85" t="e">
        <f>IF(_xlfn.SINGLE(object36_urenjaar1)&gt;0,_xlfn.SINGLE(object36_prijsjaar1)/_xlfn.SINGLE(object36_urenjaar1),0)</f>
        <v>#DIV/0!</v>
      </c>
      <c r="Q701" s="84" t="e">
        <f>SUM(Q683:Q700)</f>
        <v>#DIV/0!</v>
      </c>
      <c r="R701" s="85" t="e">
        <f>SUM(R683:R700)</f>
        <v>#DIV/0!</v>
      </c>
      <c r="S701" s="84" t="e">
        <f>SUM(S683:S700)</f>
        <v>#DIV/0!</v>
      </c>
      <c r="T701" s="86" t="e">
        <f>SUM(T683:T700)</f>
        <v>#DIV/0!</v>
      </c>
    </row>
    <row r="702" spans="1:20" x14ac:dyDescent="0.2">
      <c r="A702" s="91" t="s">
        <v>797</v>
      </c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81"/>
    </row>
    <row r="703" spans="1:20" x14ac:dyDescent="0.2">
      <c r="A703" s="98" t="s">
        <v>798</v>
      </c>
      <c r="B703" s="99" t="s">
        <v>37</v>
      </c>
      <c r="C703" s="99" t="s">
        <v>322</v>
      </c>
      <c r="D703" s="99" t="s">
        <v>323</v>
      </c>
      <c r="E703" s="99" t="s">
        <v>37</v>
      </c>
      <c r="F703" s="100" t="s">
        <v>592</v>
      </c>
      <c r="G703" s="99" t="s">
        <v>379</v>
      </c>
      <c r="H703" s="99" t="s">
        <v>279</v>
      </c>
      <c r="I703" s="99" t="s">
        <v>12</v>
      </c>
      <c r="J703" s="99" t="s">
        <v>231</v>
      </c>
      <c r="K703" s="99"/>
      <c r="L703" s="101">
        <v>24.7</v>
      </c>
      <c r="M703" s="101">
        <f>L703*VLOOKUP(I703,dagsoorttabel1,2,FALSE)</f>
        <v>9.8800000000000008</v>
      </c>
      <c r="N703" s="102">
        <f>prodnorm122</f>
        <v>0</v>
      </c>
      <c r="O703" s="99" t="s">
        <v>105</v>
      </c>
      <c r="P703" s="103">
        <f>uurtarief122</f>
        <v>0</v>
      </c>
      <c r="Q703" s="101" t="e">
        <f>IF(ISBLANK(N703),0,M703/ROUND(N703,4))</f>
        <v>#DIV/0!</v>
      </c>
      <c r="R703" s="103" t="e">
        <f>ROUND(P703,2)*Q703</f>
        <v>#DIV/0!</v>
      </c>
      <c r="S703" s="101" t="e">
        <f>Q703*dagenperjaar1</f>
        <v>#DIV/0!</v>
      </c>
      <c r="T703" s="104" t="e">
        <f>S703*ROUND(P703,2)</f>
        <v>#DIV/0!</v>
      </c>
    </row>
    <row r="704" spans="1:20" x14ac:dyDescent="0.2">
      <c r="A704" s="105" t="s">
        <v>798</v>
      </c>
      <c r="B704" s="106" t="s">
        <v>37</v>
      </c>
      <c r="C704" s="106" t="s">
        <v>322</v>
      </c>
      <c r="D704" s="106" t="s">
        <v>326</v>
      </c>
      <c r="E704" s="106" t="s">
        <v>37</v>
      </c>
      <c r="F704" s="107" t="s">
        <v>799</v>
      </c>
      <c r="G704" s="106" t="s">
        <v>379</v>
      </c>
      <c r="H704" s="106" t="s">
        <v>241</v>
      </c>
      <c r="I704" s="106" t="s">
        <v>12</v>
      </c>
      <c r="J704" s="106" t="s">
        <v>231</v>
      </c>
      <c r="K704" s="106"/>
      <c r="L704" s="108">
        <v>40.799999999999997</v>
      </c>
      <c r="M704" s="108">
        <f>L704*VLOOKUP(I704,dagsoorttabel1,2,FALSE)</f>
        <v>16.32</v>
      </c>
      <c r="N704" s="109">
        <f>prodnorm45</f>
        <v>0</v>
      </c>
      <c r="O704" s="106" t="s">
        <v>105</v>
      </c>
      <c r="P704" s="28">
        <f>uurtarief45</f>
        <v>0</v>
      </c>
      <c r="Q704" s="108" t="e">
        <f>IF(ISBLANK(N704),0,M704/ROUND(N704,4))</f>
        <v>#DIV/0!</v>
      </c>
      <c r="R704" s="28" t="e">
        <f>ROUND(P704,2)*Q704</f>
        <v>#DIV/0!</v>
      </c>
      <c r="S704" s="108" t="e">
        <f>Q704*dagenperjaar1</f>
        <v>#DIV/0!</v>
      </c>
      <c r="T704" s="29" t="e">
        <f>S704*ROUND(P704,2)</f>
        <v>#DIV/0!</v>
      </c>
    </row>
    <row r="705" spans="1:20" x14ac:dyDescent="0.2">
      <c r="A705" s="105" t="s">
        <v>798</v>
      </c>
      <c r="B705" s="106" t="s">
        <v>37</v>
      </c>
      <c r="C705" s="106" t="s">
        <v>322</v>
      </c>
      <c r="D705" s="106" t="s">
        <v>329</v>
      </c>
      <c r="E705" s="106" t="s">
        <v>37</v>
      </c>
      <c r="F705" s="107" t="s">
        <v>800</v>
      </c>
      <c r="G705" s="106" t="s">
        <v>379</v>
      </c>
      <c r="H705" s="106" t="s">
        <v>241</v>
      </c>
      <c r="I705" s="106" t="s">
        <v>12</v>
      </c>
      <c r="J705" s="106" t="s">
        <v>231</v>
      </c>
      <c r="K705" s="106"/>
      <c r="L705" s="108">
        <v>32.4</v>
      </c>
      <c r="M705" s="108">
        <f>L705*VLOOKUP(I705,dagsoorttabel1,2,FALSE)</f>
        <v>12.96</v>
      </c>
      <c r="N705" s="109">
        <f>prodnorm45</f>
        <v>0</v>
      </c>
      <c r="O705" s="106" t="s">
        <v>105</v>
      </c>
      <c r="P705" s="28">
        <f>uurtarief45</f>
        <v>0</v>
      </c>
      <c r="Q705" s="108" t="e">
        <f>IF(ISBLANK(N705),0,M705/ROUND(N705,4))</f>
        <v>#DIV/0!</v>
      </c>
      <c r="R705" s="28" t="e">
        <f>ROUND(P705,2)*Q705</f>
        <v>#DIV/0!</v>
      </c>
      <c r="S705" s="108" t="e">
        <f>Q705*dagenperjaar1</f>
        <v>#DIV/0!</v>
      </c>
      <c r="T705" s="29" t="e">
        <f>S705*ROUND(P705,2)</f>
        <v>#DIV/0!</v>
      </c>
    </row>
    <row r="706" spans="1:20" x14ac:dyDescent="0.2">
      <c r="A706" s="105" t="s">
        <v>798</v>
      </c>
      <c r="B706" s="106" t="s">
        <v>37</v>
      </c>
      <c r="C706" s="106" t="s">
        <v>322</v>
      </c>
      <c r="D706" s="106" t="s">
        <v>332</v>
      </c>
      <c r="E706" s="106" t="s">
        <v>37</v>
      </c>
      <c r="F706" s="107" t="s">
        <v>628</v>
      </c>
      <c r="G706" s="106" t="s">
        <v>801</v>
      </c>
      <c r="H706" s="106" t="s">
        <v>290</v>
      </c>
      <c r="I706" s="106" t="s">
        <v>12</v>
      </c>
      <c r="J706" s="106" t="s">
        <v>231</v>
      </c>
      <c r="K706" s="106"/>
      <c r="L706" s="108">
        <v>6.5</v>
      </c>
      <c r="M706" s="108">
        <f>L706*VLOOKUP(I706,dagsoorttabel1,2,FALSE)</f>
        <v>2.6</v>
      </c>
      <c r="N706" s="109">
        <f>prodnorm143</f>
        <v>0</v>
      </c>
      <c r="O706" s="106" t="s">
        <v>105</v>
      </c>
      <c r="P706" s="28">
        <f>uurtarief143</f>
        <v>0</v>
      </c>
      <c r="Q706" s="108" t="e">
        <f>IF(ISBLANK(N706),0,M706/ROUND(N706,4))</f>
        <v>#DIV/0!</v>
      </c>
      <c r="R706" s="28" t="e">
        <f>ROUND(P706,2)*Q706</f>
        <v>#DIV/0!</v>
      </c>
      <c r="S706" s="108" t="e">
        <f>Q706*dagenperjaar1</f>
        <v>#DIV/0!</v>
      </c>
      <c r="T706" s="29" t="e">
        <f>S706*ROUND(P706,2)</f>
        <v>#DIV/0!</v>
      </c>
    </row>
    <row r="707" spans="1:20" x14ac:dyDescent="0.2">
      <c r="A707" s="105" t="s">
        <v>798</v>
      </c>
      <c r="B707" s="106" t="s">
        <v>37</v>
      </c>
      <c r="C707" s="106" t="s">
        <v>322</v>
      </c>
      <c r="D707" s="106" t="s">
        <v>334</v>
      </c>
      <c r="E707" s="106" t="s">
        <v>37</v>
      </c>
      <c r="F707" s="107" t="s">
        <v>590</v>
      </c>
      <c r="G707" s="106" t="s">
        <v>369</v>
      </c>
      <c r="H707" s="106" t="s">
        <v>265</v>
      </c>
      <c r="I707" s="106" t="s">
        <v>12</v>
      </c>
      <c r="J707" s="106" t="s">
        <v>231</v>
      </c>
      <c r="K707" s="106"/>
      <c r="L707" s="108">
        <v>17.600000000000001</v>
      </c>
      <c r="M707" s="108">
        <f>L707*VLOOKUP(I707,dagsoorttabel1,2,FALSE)</f>
        <v>7.0400000000000009</v>
      </c>
      <c r="N707" s="109">
        <f>prodnorm90</f>
        <v>0</v>
      </c>
      <c r="O707" s="106" t="s">
        <v>105</v>
      </c>
      <c r="P707" s="28">
        <f>uurtarief90</f>
        <v>0</v>
      </c>
      <c r="Q707" s="108" t="e">
        <f>IF(ISBLANK(N707),0,M707/ROUND(N707,4))</f>
        <v>#DIV/0!</v>
      </c>
      <c r="R707" s="28" t="e">
        <f>ROUND(P707,2)*Q707</f>
        <v>#DIV/0!</v>
      </c>
      <c r="S707" s="108" t="e">
        <f>Q707*dagenperjaar1</f>
        <v>#DIV/0!</v>
      </c>
      <c r="T707" s="29" t="e">
        <f>S707*ROUND(P707,2)</f>
        <v>#DIV/0!</v>
      </c>
    </row>
    <row r="708" spans="1:20" x14ac:dyDescent="0.2">
      <c r="A708" s="105" t="s">
        <v>798</v>
      </c>
      <c r="B708" s="106" t="s">
        <v>37</v>
      </c>
      <c r="C708" s="106" t="s">
        <v>322</v>
      </c>
      <c r="D708" s="106" t="s">
        <v>336</v>
      </c>
      <c r="E708" s="106" t="s">
        <v>37</v>
      </c>
      <c r="F708" s="107" t="s">
        <v>802</v>
      </c>
      <c r="G708" s="106" t="s">
        <v>369</v>
      </c>
      <c r="H708" s="106" t="s">
        <v>267</v>
      </c>
      <c r="I708" s="106" t="s">
        <v>12</v>
      </c>
      <c r="J708" s="106" t="s">
        <v>231</v>
      </c>
      <c r="K708" s="106"/>
      <c r="L708" s="108">
        <v>3</v>
      </c>
      <c r="M708" s="108">
        <f>L708*VLOOKUP(I708,dagsoorttabel1,2,FALSE)</f>
        <v>1.2000000000000002</v>
      </c>
      <c r="N708" s="109">
        <f>prodnorm97</f>
        <v>0</v>
      </c>
      <c r="O708" s="106" t="s">
        <v>105</v>
      </c>
      <c r="P708" s="28">
        <f>uurtarief97</f>
        <v>0</v>
      </c>
      <c r="Q708" s="108" t="e">
        <f>IF(ISBLANK(N708),0,M708/ROUND(N708,4))</f>
        <v>#DIV/0!</v>
      </c>
      <c r="R708" s="28" t="e">
        <f>ROUND(P708,2)*Q708</f>
        <v>#DIV/0!</v>
      </c>
      <c r="S708" s="108" t="e">
        <f>Q708*dagenperjaar1</f>
        <v>#DIV/0!</v>
      </c>
      <c r="T708" s="29" t="e">
        <f>S708*ROUND(P708,2)</f>
        <v>#DIV/0!</v>
      </c>
    </row>
    <row r="709" spans="1:20" x14ac:dyDescent="0.2">
      <c r="A709" s="105" t="s">
        <v>798</v>
      </c>
      <c r="B709" s="106" t="s">
        <v>37</v>
      </c>
      <c r="C709" s="106" t="s">
        <v>322</v>
      </c>
      <c r="D709" s="106" t="s">
        <v>338</v>
      </c>
      <c r="E709" s="106" t="s">
        <v>37</v>
      </c>
      <c r="F709" s="107" t="s">
        <v>803</v>
      </c>
      <c r="G709" s="106" t="s">
        <v>369</v>
      </c>
      <c r="H709" s="106" t="s">
        <v>267</v>
      </c>
      <c r="I709" s="106" t="s">
        <v>12</v>
      </c>
      <c r="J709" s="106" t="s">
        <v>231</v>
      </c>
      <c r="K709" s="106"/>
      <c r="L709" s="108">
        <v>2.2999999999999998</v>
      </c>
      <c r="M709" s="108">
        <f>L709*VLOOKUP(I709,dagsoorttabel1,2,FALSE)</f>
        <v>0.91999999999999993</v>
      </c>
      <c r="N709" s="109">
        <f>prodnorm97</f>
        <v>0</v>
      </c>
      <c r="O709" s="106" t="s">
        <v>105</v>
      </c>
      <c r="P709" s="28">
        <f>uurtarief97</f>
        <v>0</v>
      </c>
      <c r="Q709" s="108" t="e">
        <f>IF(ISBLANK(N709),0,M709/ROUND(N709,4))</f>
        <v>#DIV/0!</v>
      </c>
      <c r="R709" s="28" t="e">
        <f>ROUND(P709,2)*Q709</f>
        <v>#DIV/0!</v>
      </c>
      <c r="S709" s="108" t="e">
        <f>Q709*dagenperjaar1</f>
        <v>#DIV/0!</v>
      </c>
      <c r="T709" s="29" t="e">
        <f>S709*ROUND(P709,2)</f>
        <v>#DIV/0!</v>
      </c>
    </row>
    <row r="710" spans="1:20" x14ac:dyDescent="0.2">
      <c r="A710" s="105" t="s">
        <v>798</v>
      </c>
      <c r="B710" s="106" t="s">
        <v>37</v>
      </c>
      <c r="C710" s="106" t="s">
        <v>322</v>
      </c>
      <c r="D710" s="106" t="s">
        <v>339</v>
      </c>
      <c r="E710" s="106" t="s">
        <v>37</v>
      </c>
      <c r="F710" s="107" t="s">
        <v>804</v>
      </c>
      <c r="G710" s="106" t="s">
        <v>369</v>
      </c>
      <c r="H710" s="106" t="s">
        <v>267</v>
      </c>
      <c r="I710" s="106" t="s">
        <v>12</v>
      </c>
      <c r="J710" s="106" t="s">
        <v>231</v>
      </c>
      <c r="K710" s="106"/>
      <c r="L710" s="108">
        <v>2.2999999999999998</v>
      </c>
      <c r="M710" s="108">
        <f>L710*VLOOKUP(I710,dagsoorttabel1,2,FALSE)</f>
        <v>0.91999999999999993</v>
      </c>
      <c r="N710" s="109">
        <f>prodnorm97</f>
        <v>0</v>
      </c>
      <c r="O710" s="106" t="s">
        <v>105</v>
      </c>
      <c r="P710" s="28">
        <f>uurtarief97</f>
        <v>0</v>
      </c>
      <c r="Q710" s="108" t="e">
        <f>IF(ISBLANK(N710),0,M710/ROUND(N710,4))</f>
        <v>#DIV/0!</v>
      </c>
      <c r="R710" s="28" t="e">
        <f>ROUND(P710,2)*Q710</f>
        <v>#DIV/0!</v>
      </c>
      <c r="S710" s="108" t="e">
        <f>Q710*dagenperjaar1</f>
        <v>#DIV/0!</v>
      </c>
      <c r="T710" s="29" t="e">
        <f>S710*ROUND(P710,2)</f>
        <v>#DIV/0!</v>
      </c>
    </row>
    <row r="711" spans="1:20" x14ac:dyDescent="0.2">
      <c r="A711" s="105" t="s">
        <v>798</v>
      </c>
      <c r="B711" s="106" t="s">
        <v>37</v>
      </c>
      <c r="C711" s="106" t="s">
        <v>322</v>
      </c>
      <c r="D711" s="106" t="s">
        <v>342</v>
      </c>
      <c r="E711" s="106" t="s">
        <v>37</v>
      </c>
      <c r="F711" s="107" t="s">
        <v>579</v>
      </c>
      <c r="G711" s="106" t="s">
        <v>379</v>
      </c>
      <c r="H711" s="106" t="s">
        <v>257</v>
      </c>
      <c r="I711" s="106" t="s">
        <v>12</v>
      </c>
      <c r="J711" s="106" t="s">
        <v>231</v>
      </c>
      <c r="K711" s="106"/>
      <c r="L711" s="108">
        <v>52.6</v>
      </c>
      <c r="M711" s="108">
        <f>L711*VLOOKUP(I711,dagsoorttabel1,2,FALSE)</f>
        <v>21.040000000000003</v>
      </c>
      <c r="N711" s="109">
        <f>prodnorm76</f>
        <v>0</v>
      </c>
      <c r="O711" s="106" t="s">
        <v>105</v>
      </c>
      <c r="P711" s="28">
        <f>uurtarief76</f>
        <v>0</v>
      </c>
      <c r="Q711" s="108" t="e">
        <f>IF(ISBLANK(N711),0,M711/ROUND(N711,4))</f>
        <v>#DIV/0!</v>
      </c>
      <c r="R711" s="28" t="e">
        <f>ROUND(P711,2)*Q711</f>
        <v>#DIV/0!</v>
      </c>
      <c r="S711" s="108" t="e">
        <f>Q711*dagenperjaar1</f>
        <v>#DIV/0!</v>
      </c>
      <c r="T711" s="29" t="e">
        <f>S711*ROUND(P711,2)</f>
        <v>#DIV/0!</v>
      </c>
    </row>
    <row r="712" spans="1:20" x14ac:dyDescent="0.2">
      <c r="A712" s="105" t="s">
        <v>798</v>
      </c>
      <c r="B712" s="106" t="s">
        <v>37</v>
      </c>
      <c r="C712" s="106" t="s">
        <v>415</v>
      </c>
      <c r="D712" s="106" t="s">
        <v>416</v>
      </c>
      <c r="E712" s="106" t="s">
        <v>37</v>
      </c>
      <c r="F712" s="107" t="s">
        <v>345</v>
      </c>
      <c r="G712" s="106" t="s">
        <v>379</v>
      </c>
      <c r="H712" s="106" t="s">
        <v>273</v>
      </c>
      <c r="I712" s="106" t="s">
        <v>12</v>
      </c>
      <c r="J712" s="106" t="s">
        <v>231</v>
      </c>
      <c r="K712" s="106"/>
      <c r="L712" s="108">
        <v>16.2</v>
      </c>
      <c r="M712" s="108">
        <f>L712*VLOOKUP(I712,dagsoorttabel1,2,FALSE)</f>
        <v>6.48</v>
      </c>
      <c r="N712" s="109">
        <f>prodnorm109</f>
        <v>0</v>
      </c>
      <c r="O712" s="106" t="s">
        <v>105</v>
      </c>
      <c r="P712" s="28">
        <f>uurtarief109</f>
        <v>0</v>
      </c>
      <c r="Q712" s="108" t="e">
        <f>IF(ISBLANK(N712),0,M712/ROUND(N712,4))</f>
        <v>#DIV/0!</v>
      </c>
      <c r="R712" s="28" t="e">
        <f>ROUND(P712,2)*Q712</f>
        <v>#DIV/0!</v>
      </c>
      <c r="S712" s="108" t="e">
        <f>Q712*dagenperjaar1</f>
        <v>#DIV/0!</v>
      </c>
      <c r="T712" s="29" t="e">
        <f>S712*ROUND(P712,2)</f>
        <v>#DIV/0!</v>
      </c>
    </row>
    <row r="713" spans="1:20" x14ac:dyDescent="0.2">
      <c r="A713" s="105" t="s">
        <v>798</v>
      </c>
      <c r="B713" s="106" t="s">
        <v>37</v>
      </c>
      <c r="C713" s="106" t="s">
        <v>415</v>
      </c>
      <c r="D713" s="106" t="s">
        <v>417</v>
      </c>
      <c r="E713" s="106" t="s">
        <v>37</v>
      </c>
      <c r="F713" s="107" t="s">
        <v>628</v>
      </c>
      <c r="G713" s="106" t="s">
        <v>801</v>
      </c>
      <c r="H713" s="106" t="s">
        <v>290</v>
      </c>
      <c r="I713" s="106" t="s">
        <v>12</v>
      </c>
      <c r="J713" s="106" t="s">
        <v>231</v>
      </c>
      <c r="K713" s="106"/>
      <c r="L713" s="108">
        <v>4.28</v>
      </c>
      <c r="M713" s="108">
        <f>L713*VLOOKUP(I713,dagsoorttabel1,2,FALSE)</f>
        <v>1.7120000000000002</v>
      </c>
      <c r="N713" s="109">
        <f>prodnorm143</f>
        <v>0</v>
      </c>
      <c r="O713" s="106" t="s">
        <v>105</v>
      </c>
      <c r="P713" s="28">
        <f>uurtarief143</f>
        <v>0</v>
      </c>
      <c r="Q713" s="108" t="e">
        <f>IF(ISBLANK(N713),0,M713/ROUND(N713,4))</f>
        <v>#DIV/0!</v>
      </c>
      <c r="R713" s="28" t="e">
        <f>ROUND(P713,2)*Q713</f>
        <v>#DIV/0!</v>
      </c>
      <c r="S713" s="108" t="e">
        <f>Q713*dagenperjaar1</f>
        <v>#DIV/0!</v>
      </c>
      <c r="T713" s="29" t="e">
        <f>S713*ROUND(P713,2)</f>
        <v>#DIV/0!</v>
      </c>
    </row>
    <row r="714" spans="1:20" x14ac:dyDescent="0.2">
      <c r="A714" s="105" t="s">
        <v>798</v>
      </c>
      <c r="B714" s="106" t="s">
        <v>37</v>
      </c>
      <c r="C714" s="106" t="s">
        <v>415</v>
      </c>
      <c r="D714" s="106" t="s">
        <v>419</v>
      </c>
      <c r="E714" s="106" t="s">
        <v>37</v>
      </c>
      <c r="F714" s="107" t="s">
        <v>805</v>
      </c>
      <c r="G714" s="106" t="s">
        <v>379</v>
      </c>
      <c r="H714" s="106" t="s">
        <v>285</v>
      </c>
      <c r="I714" s="106" t="s">
        <v>12</v>
      </c>
      <c r="J714" s="106" t="s">
        <v>231</v>
      </c>
      <c r="K714" s="106"/>
      <c r="L714" s="108">
        <v>2.1</v>
      </c>
      <c r="M714" s="108">
        <f>L714*VLOOKUP(I714,dagsoorttabel1,2,FALSE)</f>
        <v>0.84000000000000008</v>
      </c>
      <c r="N714" s="109">
        <f>prodnorm134</f>
        <v>0</v>
      </c>
      <c r="O714" s="106" t="s">
        <v>105</v>
      </c>
      <c r="P714" s="28">
        <f>uurtarief134</f>
        <v>0</v>
      </c>
      <c r="Q714" s="108" t="e">
        <f>IF(ISBLANK(N714),0,M714/ROUND(N714,4))</f>
        <v>#DIV/0!</v>
      </c>
      <c r="R714" s="28" t="e">
        <f>ROUND(P714,2)*Q714</f>
        <v>#DIV/0!</v>
      </c>
      <c r="S714" s="108" t="e">
        <f>Q714*dagenperjaar1</f>
        <v>#DIV/0!</v>
      </c>
      <c r="T714" s="29" t="e">
        <f>S714*ROUND(P714,2)</f>
        <v>#DIV/0!</v>
      </c>
    </row>
    <row r="715" spans="1:20" x14ac:dyDescent="0.2">
      <c r="A715" s="105" t="s">
        <v>798</v>
      </c>
      <c r="B715" s="106" t="s">
        <v>37</v>
      </c>
      <c r="C715" s="106" t="s">
        <v>415</v>
      </c>
      <c r="D715" s="106" t="s">
        <v>420</v>
      </c>
      <c r="E715" s="106" t="s">
        <v>37</v>
      </c>
      <c r="F715" s="107" t="s">
        <v>806</v>
      </c>
      <c r="G715" s="106" t="s">
        <v>379</v>
      </c>
      <c r="H715" s="106" t="s">
        <v>235</v>
      </c>
      <c r="I715" s="106" t="s">
        <v>12</v>
      </c>
      <c r="J715" s="106" t="s">
        <v>231</v>
      </c>
      <c r="K715" s="106"/>
      <c r="L715" s="108">
        <v>60</v>
      </c>
      <c r="M715" s="108">
        <f>L715*VLOOKUP(I715,dagsoorttabel1,2,FALSE)</f>
        <v>24</v>
      </c>
      <c r="N715" s="109">
        <f>prodnorm37</f>
        <v>0</v>
      </c>
      <c r="O715" s="106" t="s">
        <v>105</v>
      </c>
      <c r="P715" s="28">
        <f>uurtarief37</f>
        <v>0</v>
      </c>
      <c r="Q715" s="108" t="e">
        <f>IF(ISBLANK(N715),0,M715/ROUND(N715,4))</f>
        <v>#DIV/0!</v>
      </c>
      <c r="R715" s="28" t="e">
        <f>ROUND(P715,2)*Q715</f>
        <v>#DIV/0!</v>
      </c>
      <c r="S715" s="108" t="e">
        <f>Q715*dagenperjaar1</f>
        <v>#DIV/0!</v>
      </c>
      <c r="T715" s="29" t="e">
        <f>S715*ROUND(P715,2)</f>
        <v>#DIV/0!</v>
      </c>
    </row>
    <row r="716" spans="1:20" x14ac:dyDescent="0.2">
      <c r="A716" s="105" t="s">
        <v>798</v>
      </c>
      <c r="B716" s="106" t="s">
        <v>37</v>
      </c>
      <c r="C716" s="106" t="s">
        <v>415</v>
      </c>
      <c r="D716" s="106" t="s">
        <v>421</v>
      </c>
      <c r="E716" s="106" t="s">
        <v>37</v>
      </c>
      <c r="F716" s="107" t="s">
        <v>748</v>
      </c>
      <c r="G716" s="106" t="s">
        <v>379</v>
      </c>
      <c r="H716" s="106" t="s">
        <v>233</v>
      </c>
      <c r="I716" s="106" t="s">
        <v>12</v>
      </c>
      <c r="J716" s="106" t="s">
        <v>231</v>
      </c>
      <c r="K716" s="106"/>
      <c r="L716" s="108">
        <v>2.4</v>
      </c>
      <c r="M716" s="108">
        <f>L716*VLOOKUP(I716,dagsoorttabel1,2,FALSE)</f>
        <v>0.96</v>
      </c>
      <c r="N716" s="109">
        <f>prodnorm34</f>
        <v>0</v>
      </c>
      <c r="O716" s="106" t="s">
        <v>105</v>
      </c>
      <c r="P716" s="28">
        <f>uurtarief34</f>
        <v>0</v>
      </c>
      <c r="Q716" s="108" t="e">
        <f>IF(ISBLANK(N716),0,M716/ROUND(N716,4))</f>
        <v>#DIV/0!</v>
      </c>
      <c r="R716" s="28" t="e">
        <f>ROUND(P716,2)*Q716</f>
        <v>#DIV/0!</v>
      </c>
      <c r="S716" s="108" t="e">
        <f>Q716*dagenperjaar1</f>
        <v>#DIV/0!</v>
      </c>
      <c r="T716" s="29" t="e">
        <f>S716*ROUND(P716,2)</f>
        <v>#DIV/0!</v>
      </c>
    </row>
    <row r="717" spans="1:20" x14ac:dyDescent="0.2">
      <c r="A717" s="105" t="s">
        <v>798</v>
      </c>
      <c r="B717" s="106" t="s">
        <v>37</v>
      </c>
      <c r="C717" s="106" t="s">
        <v>415</v>
      </c>
      <c r="D717" s="106" t="s">
        <v>422</v>
      </c>
      <c r="E717" s="106" t="s">
        <v>37</v>
      </c>
      <c r="F717" s="107" t="s">
        <v>807</v>
      </c>
      <c r="G717" s="106" t="s">
        <v>379</v>
      </c>
      <c r="H717" s="106" t="s">
        <v>235</v>
      </c>
      <c r="I717" s="106" t="s">
        <v>12</v>
      </c>
      <c r="J717" s="106" t="s">
        <v>231</v>
      </c>
      <c r="K717" s="106"/>
      <c r="L717" s="108">
        <v>47.7</v>
      </c>
      <c r="M717" s="108">
        <f>L717*VLOOKUP(I717,dagsoorttabel1,2,FALSE)</f>
        <v>19.080000000000002</v>
      </c>
      <c r="N717" s="109">
        <f>prodnorm37</f>
        <v>0</v>
      </c>
      <c r="O717" s="106" t="s">
        <v>105</v>
      </c>
      <c r="P717" s="28">
        <f>uurtarief37</f>
        <v>0</v>
      </c>
      <c r="Q717" s="108" t="e">
        <f>IF(ISBLANK(N717),0,M717/ROUND(N717,4))</f>
        <v>#DIV/0!</v>
      </c>
      <c r="R717" s="28" t="e">
        <f>ROUND(P717,2)*Q717</f>
        <v>#DIV/0!</v>
      </c>
      <c r="S717" s="108" t="e">
        <f>Q717*dagenperjaar1</f>
        <v>#DIV/0!</v>
      </c>
      <c r="T717" s="29" t="e">
        <f>S717*ROUND(P717,2)</f>
        <v>#DIV/0!</v>
      </c>
    </row>
    <row r="718" spans="1:20" x14ac:dyDescent="0.2">
      <c r="A718" s="105" t="s">
        <v>798</v>
      </c>
      <c r="B718" s="106" t="s">
        <v>37</v>
      </c>
      <c r="C718" s="106" t="s">
        <v>415</v>
      </c>
      <c r="D718" s="106" t="s">
        <v>424</v>
      </c>
      <c r="E718" s="106" t="s">
        <v>37</v>
      </c>
      <c r="F718" s="107" t="s">
        <v>337</v>
      </c>
      <c r="G718" s="106" t="s">
        <v>379</v>
      </c>
      <c r="H718" s="106" t="s">
        <v>241</v>
      </c>
      <c r="I718" s="106" t="s">
        <v>12</v>
      </c>
      <c r="J718" s="106" t="s">
        <v>231</v>
      </c>
      <c r="K718" s="106"/>
      <c r="L718" s="108">
        <v>8.6</v>
      </c>
      <c r="M718" s="108">
        <f>L718*VLOOKUP(I718,dagsoorttabel1,2,FALSE)</f>
        <v>3.44</v>
      </c>
      <c r="N718" s="109">
        <f>prodnorm45</f>
        <v>0</v>
      </c>
      <c r="O718" s="106" t="s">
        <v>105</v>
      </c>
      <c r="P718" s="28">
        <f>uurtarief45</f>
        <v>0</v>
      </c>
      <c r="Q718" s="108" t="e">
        <f>IF(ISBLANK(N718),0,M718/ROUND(N718,4))</f>
        <v>#DIV/0!</v>
      </c>
      <c r="R718" s="28" t="e">
        <f>ROUND(P718,2)*Q718</f>
        <v>#DIV/0!</v>
      </c>
      <c r="S718" s="108" t="e">
        <f>Q718*dagenperjaar1</f>
        <v>#DIV/0!</v>
      </c>
      <c r="T718" s="29" t="e">
        <f>S718*ROUND(P718,2)</f>
        <v>#DIV/0!</v>
      </c>
    </row>
    <row r="719" spans="1:20" x14ac:dyDescent="0.2">
      <c r="A719" s="105" t="s">
        <v>798</v>
      </c>
      <c r="B719" s="106" t="s">
        <v>37</v>
      </c>
      <c r="C719" s="106" t="s">
        <v>462</v>
      </c>
      <c r="D719" s="106" t="s">
        <v>463</v>
      </c>
      <c r="E719" s="106" t="s">
        <v>37</v>
      </c>
      <c r="F719" s="107" t="s">
        <v>808</v>
      </c>
      <c r="G719" s="106" t="s">
        <v>331</v>
      </c>
      <c r="H719" s="106" t="s">
        <v>235</v>
      </c>
      <c r="I719" s="106" t="s">
        <v>12</v>
      </c>
      <c r="J719" s="106" t="s">
        <v>231</v>
      </c>
      <c r="K719" s="106"/>
      <c r="L719" s="108">
        <v>38.200000000000003</v>
      </c>
      <c r="M719" s="108">
        <f>L719*VLOOKUP(I719,dagsoorttabel1,2,FALSE)</f>
        <v>15.280000000000001</v>
      </c>
      <c r="N719" s="109">
        <f>prodnorm37</f>
        <v>0</v>
      </c>
      <c r="O719" s="106" t="s">
        <v>105</v>
      </c>
      <c r="P719" s="28">
        <f>uurtarief37</f>
        <v>0</v>
      </c>
      <c r="Q719" s="108" t="e">
        <f>IF(ISBLANK(N719),0,M719/ROUND(N719,4))</f>
        <v>#DIV/0!</v>
      </c>
      <c r="R719" s="28" t="e">
        <f>ROUND(P719,2)*Q719</f>
        <v>#DIV/0!</v>
      </c>
      <c r="S719" s="108" t="e">
        <f>Q719*dagenperjaar1</f>
        <v>#DIV/0!</v>
      </c>
      <c r="T719" s="29" t="e">
        <f>S719*ROUND(P719,2)</f>
        <v>#DIV/0!</v>
      </c>
    </row>
    <row r="720" spans="1:20" x14ac:dyDescent="0.2">
      <c r="A720" s="105" t="s">
        <v>798</v>
      </c>
      <c r="B720" s="106" t="s">
        <v>37</v>
      </c>
      <c r="C720" s="106" t="s">
        <v>544</v>
      </c>
      <c r="D720" s="106" t="s">
        <v>37</v>
      </c>
      <c r="E720" s="106" t="s">
        <v>37</v>
      </c>
      <c r="F720" s="107" t="s">
        <v>545</v>
      </c>
      <c r="G720" s="106" t="s">
        <v>37</v>
      </c>
      <c r="H720" s="106" t="s">
        <v>298</v>
      </c>
      <c r="I720" s="106" t="s">
        <v>12</v>
      </c>
      <c r="J720" s="106" t="s">
        <v>299</v>
      </c>
      <c r="K720" s="106"/>
      <c r="L720" s="108">
        <v>2</v>
      </c>
      <c r="M720" s="108">
        <f>L720*VLOOKUP(I720,dagsoorttabel1,2,FALSE)</f>
        <v>0.8</v>
      </c>
      <c r="N720" s="109">
        <f>prodnorm22</f>
        <v>0</v>
      </c>
      <c r="O720" s="106" t="s">
        <v>301</v>
      </c>
      <c r="P720" s="28">
        <f>uurtarief22</f>
        <v>0</v>
      </c>
      <c r="Q720" s="108">
        <f>M720*ROUND(N720,4)/60</f>
        <v>0</v>
      </c>
      <c r="R720" s="28">
        <f>ROUND(P720,2)*Q720</f>
        <v>0</v>
      </c>
      <c r="S720" s="108">
        <f>Q720*dagenperjaar1</f>
        <v>0</v>
      </c>
      <c r="T720" s="29">
        <f>S720*ROUND(P720,2)</f>
        <v>0</v>
      </c>
    </row>
    <row r="721" spans="1:20" x14ac:dyDescent="0.2">
      <c r="A721" s="110" t="s">
        <v>798</v>
      </c>
      <c r="B721" s="111" t="s">
        <v>37</v>
      </c>
      <c r="C721" s="111" t="s">
        <v>544</v>
      </c>
      <c r="D721" s="111" t="s">
        <v>37</v>
      </c>
      <c r="E721" s="111" t="s">
        <v>37</v>
      </c>
      <c r="F721" s="112" t="s">
        <v>545</v>
      </c>
      <c r="G721" s="111" t="s">
        <v>37</v>
      </c>
      <c r="H721" s="111" t="s">
        <v>302</v>
      </c>
      <c r="I721" s="111" t="s">
        <v>15</v>
      </c>
      <c r="J721" s="111" t="s">
        <v>299</v>
      </c>
      <c r="K721" s="111"/>
      <c r="L721" s="113">
        <v>1</v>
      </c>
      <c r="M721" s="113">
        <f>L721*VLOOKUP(I721,dagsoorttabel1,2,FALSE)</f>
        <v>4.7058823529411764E-2</v>
      </c>
      <c r="N721" s="114">
        <f>prodnorm24</f>
        <v>0</v>
      </c>
      <c r="O721" s="111" t="s">
        <v>301</v>
      </c>
      <c r="P721" s="38">
        <f>uurtarief24</f>
        <v>0</v>
      </c>
      <c r="Q721" s="113">
        <f>M721*ROUND(N721,4)/60</f>
        <v>0</v>
      </c>
      <c r="R721" s="38">
        <f>ROUND(P721,2)*Q721</f>
        <v>0</v>
      </c>
      <c r="S721" s="113">
        <f>Q721*dagenperjaar1</f>
        <v>0</v>
      </c>
      <c r="T721" s="39">
        <f>S721*ROUND(P721,2)</f>
        <v>0</v>
      </c>
    </row>
    <row r="722" spans="1:20" x14ac:dyDescent="0.2">
      <c r="A722" s="115" t="s">
        <v>546</v>
      </c>
      <c r="B722" s="83"/>
      <c r="C722" s="83"/>
      <c r="D722" s="83"/>
      <c r="E722" s="83"/>
      <c r="F722" s="83"/>
      <c r="G722" s="83"/>
      <c r="H722" s="83"/>
      <c r="I722" s="83"/>
      <c r="J722" s="83"/>
      <c r="K722" s="83"/>
      <c r="L722" s="83"/>
      <c r="M722" s="83"/>
      <c r="N722" s="83"/>
      <c r="O722" s="83"/>
      <c r="P722" s="85" t="e">
        <f>IF(_xlfn.SINGLE(object37_urenjaar1)&gt;0,_xlfn.SINGLE(object37_prijsjaar1)/_xlfn.SINGLE(object37_urenjaar1),0)</f>
        <v>#DIV/0!</v>
      </c>
      <c r="Q722" s="84" t="e">
        <f>SUM(Q703:Q721)</f>
        <v>#DIV/0!</v>
      </c>
      <c r="R722" s="85" t="e">
        <f>SUM(R703:R721)</f>
        <v>#DIV/0!</v>
      </c>
      <c r="S722" s="84" t="e">
        <f>SUM(S703:S721)</f>
        <v>#DIV/0!</v>
      </c>
      <c r="T722" s="86" t="e">
        <f>SUM(T703:T721)</f>
        <v>#DIV/0!</v>
      </c>
    </row>
    <row r="723" spans="1:20" x14ac:dyDescent="0.2">
      <c r="A723" s="91" t="s">
        <v>809</v>
      </c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81"/>
    </row>
    <row r="724" spans="1:20" x14ac:dyDescent="0.2">
      <c r="A724" s="98" t="s">
        <v>810</v>
      </c>
      <c r="B724" s="99" t="s">
        <v>37</v>
      </c>
      <c r="C724" s="99" t="s">
        <v>322</v>
      </c>
      <c r="D724" s="99" t="s">
        <v>323</v>
      </c>
      <c r="E724" s="99" t="s">
        <v>37</v>
      </c>
      <c r="F724" s="100" t="s">
        <v>579</v>
      </c>
      <c r="G724" s="99" t="s">
        <v>369</v>
      </c>
      <c r="H724" s="99" t="s">
        <v>257</v>
      </c>
      <c r="I724" s="99" t="s">
        <v>20</v>
      </c>
      <c r="J724" s="99" t="s">
        <v>231</v>
      </c>
      <c r="K724" s="99"/>
      <c r="L724" s="101">
        <v>10.8</v>
      </c>
      <c r="M724" s="101">
        <f>L724*VLOOKUP(I724,dagsoorttabel1,2,FALSE)</f>
        <v>0.16941176470588237</v>
      </c>
      <c r="N724" s="102">
        <f>prodnorm78</f>
        <v>0</v>
      </c>
      <c r="O724" s="99" t="s">
        <v>105</v>
      </c>
      <c r="P724" s="103">
        <f>uurtarief78</f>
        <v>0</v>
      </c>
      <c r="Q724" s="101" t="e">
        <f>IF(ISBLANK(N724),0,M724/ROUND(N724,4))</f>
        <v>#DIV/0!</v>
      </c>
      <c r="R724" s="103" t="e">
        <f>ROUND(P724,2)*Q724</f>
        <v>#DIV/0!</v>
      </c>
      <c r="S724" s="101" t="e">
        <f>Q724*dagenperjaar1</f>
        <v>#DIV/0!</v>
      </c>
      <c r="T724" s="104" t="e">
        <f>S724*ROUND(P724,2)</f>
        <v>#DIV/0!</v>
      </c>
    </row>
    <row r="725" spans="1:20" x14ac:dyDescent="0.2">
      <c r="A725" s="105" t="s">
        <v>810</v>
      </c>
      <c r="B725" s="106" t="s">
        <v>37</v>
      </c>
      <c r="C725" s="106" t="s">
        <v>322</v>
      </c>
      <c r="D725" s="106" t="s">
        <v>326</v>
      </c>
      <c r="E725" s="106" t="s">
        <v>37</v>
      </c>
      <c r="F725" s="107" t="s">
        <v>454</v>
      </c>
      <c r="G725" s="106" t="s">
        <v>369</v>
      </c>
      <c r="H725" s="106" t="s">
        <v>290</v>
      </c>
      <c r="I725" s="106" t="s">
        <v>20</v>
      </c>
      <c r="J725" s="106" t="s">
        <v>231</v>
      </c>
      <c r="K725" s="106"/>
      <c r="L725" s="108">
        <v>1.7</v>
      </c>
      <c r="M725" s="108">
        <f>L725*VLOOKUP(I725,dagsoorttabel1,2,FALSE)</f>
        <v>2.6666666666666665E-2</v>
      </c>
      <c r="N725" s="109">
        <f>prodnorm145</f>
        <v>0</v>
      </c>
      <c r="O725" s="106" t="s">
        <v>105</v>
      </c>
      <c r="P725" s="28">
        <f>uurtarief145</f>
        <v>0</v>
      </c>
      <c r="Q725" s="108" t="e">
        <f>IF(ISBLANK(N725),0,M725/ROUND(N725,4))</f>
        <v>#DIV/0!</v>
      </c>
      <c r="R725" s="28" t="e">
        <f>ROUND(P725,2)*Q725</f>
        <v>#DIV/0!</v>
      </c>
      <c r="S725" s="108" t="e">
        <f>Q725*dagenperjaar1</f>
        <v>#DIV/0!</v>
      </c>
      <c r="T725" s="29" t="e">
        <f>S725*ROUND(P725,2)</f>
        <v>#DIV/0!</v>
      </c>
    </row>
    <row r="726" spans="1:20" x14ac:dyDescent="0.2">
      <c r="A726" s="110" t="s">
        <v>810</v>
      </c>
      <c r="B726" s="111" t="s">
        <v>37</v>
      </c>
      <c r="C726" s="111" t="s">
        <v>322</v>
      </c>
      <c r="D726" s="111" t="s">
        <v>329</v>
      </c>
      <c r="E726" s="111" t="s">
        <v>37</v>
      </c>
      <c r="F726" s="112" t="s">
        <v>615</v>
      </c>
      <c r="G726" s="111" t="s">
        <v>369</v>
      </c>
      <c r="H726" s="111" t="s">
        <v>267</v>
      </c>
      <c r="I726" s="111" t="s">
        <v>20</v>
      </c>
      <c r="J726" s="111" t="s">
        <v>231</v>
      </c>
      <c r="K726" s="111"/>
      <c r="L726" s="113">
        <v>1.3</v>
      </c>
      <c r="M726" s="113">
        <f>L726*VLOOKUP(I726,dagsoorttabel1,2,FALSE)</f>
        <v>2.0392156862745099E-2</v>
      </c>
      <c r="N726" s="114">
        <f>prodnorm99</f>
        <v>0</v>
      </c>
      <c r="O726" s="111" t="s">
        <v>105</v>
      </c>
      <c r="P726" s="38">
        <f>uurtarief99</f>
        <v>0</v>
      </c>
      <c r="Q726" s="113" t="e">
        <f>IF(ISBLANK(N726),0,M726/ROUND(N726,4))</f>
        <v>#DIV/0!</v>
      </c>
      <c r="R726" s="38" t="e">
        <f>ROUND(P726,2)*Q726</f>
        <v>#DIV/0!</v>
      </c>
      <c r="S726" s="113" t="e">
        <f>Q726*dagenperjaar1</f>
        <v>#DIV/0!</v>
      </c>
      <c r="T726" s="39" t="e">
        <f>S726*ROUND(P726,2)</f>
        <v>#DIV/0!</v>
      </c>
    </row>
    <row r="727" spans="1:20" x14ac:dyDescent="0.2">
      <c r="A727" s="115" t="s">
        <v>546</v>
      </c>
      <c r="B727" s="83"/>
      <c r="C727" s="83"/>
      <c r="D727" s="83"/>
      <c r="E727" s="83"/>
      <c r="F727" s="83"/>
      <c r="G727" s="83"/>
      <c r="H727" s="83"/>
      <c r="I727" s="83"/>
      <c r="J727" s="83"/>
      <c r="K727" s="83"/>
      <c r="L727" s="83"/>
      <c r="M727" s="83"/>
      <c r="N727" s="83"/>
      <c r="O727" s="83"/>
      <c r="P727" s="85" t="e">
        <f>IF(_xlfn.SINGLE(object38_urenjaar1)&gt;0,_xlfn.SINGLE(object38_prijsjaar1)/_xlfn.SINGLE(object38_urenjaar1),0)</f>
        <v>#DIV/0!</v>
      </c>
      <c r="Q727" s="84" t="e">
        <f>SUM(Q724:Q726)</f>
        <v>#DIV/0!</v>
      </c>
      <c r="R727" s="85" t="e">
        <f>SUM(R724:R726)</f>
        <v>#DIV/0!</v>
      </c>
      <c r="S727" s="84" t="e">
        <f>SUM(S724:S726)</f>
        <v>#DIV/0!</v>
      </c>
      <c r="T727" s="86" t="e">
        <f>SUM(T724:T726)</f>
        <v>#DIV/0!</v>
      </c>
    </row>
    <row r="728" spans="1:20" x14ac:dyDescent="0.2">
      <c r="A728" s="91" t="s">
        <v>811</v>
      </c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81"/>
    </row>
    <row r="729" spans="1:20" x14ac:dyDescent="0.2">
      <c r="A729" s="98" t="s">
        <v>812</v>
      </c>
      <c r="B729" s="99" t="s">
        <v>37</v>
      </c>
      <c r="C729" s="99" t="s">
        <v>322</v>
      </c>
      <c r="D729" s="99" t="s">
        <v>323</v>
      </c>
      <c r="E729" s="99" t="s">
        <v>37</v>
      </c>
      <c r="F729" s="100" t="s">
        <v>340</v>
      </c>
      <c r="G729" s="99" t="s">
        <v>813</v>
      </c>
      <c r="H729" s="99" t="s">
        <v>279</v>
      </c>
      <c r="I729" s="99" t="s">
        <v>11</v>
      </c>
      <c r="J729" s="99" t="s">
        <v>231</v>
      </c>
      <c r="K729" s="99"/>
      <c r="L729" s="101">
        <v>6.4</v>
      </c>
      <c r="M729" s="101">
        <f>L729*VLOOKUP(I729,dagsoorttabel1,2,FALSE)</f>
        <v>3.84</v>
      </c>
      <c r="N729" s="102">
        <f>prodnorm123</f>
        <v>0</v>
      </c>
      <c r="O729" s="99" t="s">
        <v>105</v>
      </c>
      <c r="P729" s="103">
        <f>uurtarief123</f>
        <v>0</v>
      </c>
      <c r="Q729" s="101" t="e">
        <f>IF(ISBLANK(N729),0,M729/ROUND(N729,4))</f>
        <v>#DIV/0!</v>
      </c>
      <c r="R729" s="103" t="e">
        <f>ROUND(P729,2)*Q729</f>
        <v>#DIV/0!</v>
      </c>
      <c r="S729" s="101" t="e">
        <f>Q729*dagenperjaar1</f>
        <v>#DIV/0!</v>
      </c>
      <c r="T729" s="104" t="e">
        <f>S729*ROUND(P729,2)</f>
        <v>#DIV/0!</v>
      </c>
    </row>
    <row r="730" spans="1:20" x14ac:dyDescent="0.2">
      <c r="A730" s="105" t="s">
        <v>812</v>
      </c>
      <c r="B730" s="106" t="s">
        <v>37</v>
      </c>
      <c r="C730" s="106" t="s">
        <v>322</v>
      </c>
      <c r="D730" s="106" t="s">
        <v>326</v>
      </c>
      <c r="E730" s="106" t="s">
        <v>37</v>
      </c>
      <c r="F730" s="107" t="s">
        <v>327</v>
      </c>
      <c r="G730" s="106" t="s">
        <v>814</v>
      </c>
      <c r="H730" s="106" t="s">
        <v>290</v>
      </c>
      <c r="I730" s="106" t="s">
        <v>11</v>
      </c>
      <c r="J730" s="106" t="s">
        <v>231</v>
      </c>
      <c r="K730" s="106"/>
      <c r="L730" s="108">
        <v>29.2</v>
      </c>
      <c r="M730" s="108">
        <f>L730*VLOOKUP(I730,dagsoorttabel1,2,FALSE)</f>
        <v>17.52</v>
      </c>
      <c r="N730" s="109">
        <f>prodnorm144</f>
        <v>0</v>
      </c>
      <c r="O730" s="106" t="s">
        <v>105</v>
      </c>
      <c r="P730" s="28">
        <f>uurtarief144</f>
        <v>0</v>
      </c>
      <c r="Q730" s="108" t="e">
        <f>IF(ISBLANK(N730),0,M730/ROUND(N730,4))</f>
        <v>#DIV/0!</v>
      </c>
      <c r="R730" s="28" t="e">
        <f>ROUND(P730,2)*Q730</f>
        <v>#DIV/0!</v>
      </c>
      <c r="S730" s="108" t="e">
        <f>Q730*dagenperjaar1</f>
        <v>#DIV/0!</v>
      </c>
      <c r="T730" s="29" t="e">
        <f>S730*ROUND(P730,2)</f>
        <v>#DIV/0!</v>
      </c>
    </row>
    <row r="731" spans="1:20" x14ac:dyDescent="0.2">
      <c r="A731" s="105" t="s">
        <v>812</v>
      </c>
      <c r="B731" s="106" t="s">
        <v>37</v>
      </c>
      <c r="C731" s="106" t="s">
        <v>322</v>
      </c>
      <c r="D731" s="106" t="s">
        <v>329</v>
      </c>
      <c r="E731" s="106" t="s">
        <v>37</v>
      </c>
      <c r="F731" s="107" t="s">
        <v>628</v>
      </c>
      <c r="G731" s="106" t="s">
        <v>815</v>
      </c>
      <c r="H731" s="106" t="s">
        <v>290</v>
      </c>
      <c r="I731" s="106" t="s">
        <v>11</v>
      </c>
      <c r="J731" s="106" t="s">
        <v>231</v>
      </c>
      <c r="K731" s="106"/>
      <c r="L731" s="108">
        <v>3.7</v>
      </c>
      <c r="M731" s="108">
        <f>L731*VLOOKUP(I731,dagsoorttabel1,2,FALSE)</f>
        <v>2.2200000000000002</v>
      </c>
      <c r="N731" s="109">
        <f>prodnorm144</f>
        <v>0</v>
      </c>
      <c r="O731" s="106" t="s">
        <v>105</v>
      </c>
      <c r="P731" s="28">
        <f>uurtarief144</f>
        <v>0</v>
      </c>
      <c r="Q731" s="108" t="e">
        <f>IF(ISBLANK(N731),0,M731/ROUND(N731,4))</f>
        <v>#DIV/0!</v>
      </c>
      <c r="R731" s="28" t="e">
        <f>ROUND(P731,2)*Q731</f>
        <v>#DIV/0!</v>
      </c>
      <c r="S731" s="108" t="e">
        <f>Q731*dagenperjaar1</f>
        <v>#DIV/0!</v>
      </c>
      <c r="T731" s="29" t="e">
        <f>S731*ROUND(P731,2)</f>
        <v>#DIV/0!</v>
      </c>
    </row>
    <row r="732" spans="1:20" x14ac:dyDescent="0.2">
      <c r="A732" s="105" t="s">
        <v>812</v>
      </c>
      <c r="B732" s="106" t="s">
        <v>37</v>
      </c>
      <c r="C732" s="106" t="s">
        <v>322</v>
      </c>
      <c r="D732" s="106" t="s">
        <v>332</v>
      </c>
      <c r="E732" s="106" t="s">
        <v>37</v>
      </c>
      <c r="F732" s="107" t="s">
        <v>381</v>
      </c>
      <c r="G732" s="106" t="s">
        <v>814</v>
      </c>
      <c r="H732" s="106" t="s">
        <v>235</v>
      </c>
      <c r="I732" s="106" t="s">
        <v>11</v>
      </c>
      <c r="J732" s="106" t="s">
        <v>231</v>
      </c>
      <c r="K732" s="106"/>
      <c r="L732" s="108">
        <v>70.900000000000006</v>
      </c>
      <c r="M732" s="108">
        <f>L732*VLOOKUP(I732,dagsoorttabel1,2,FALSE)</f>
        <v>42.54</v>
      </c>
      <c r="N732" s="109">
        <f>prodnorm38</f>
        <v>0</v>
      </c>
      <c r="O732" s="106" t="s">
        <v>105</v>
      </c>
      <c r="P732" s="28">
        <f>uurtarief38</f>
        <v>0</v>
      </c>
      <c r="Q732" s="108" t="e">
        <f>IF(ISBLANK(N732),0,M732/ROUND(N732,4))</f>
        <v>#DIV/0!</v>
      </c>
      <c r="R732" s="28" t="e">
        <f>ROUND(P732,2)*Q732</f>
        <v>#DIV/0!</v>
      </c>
      <c r="S732" s="108" t="e">
        <f>Q732*dagenperjaar1</f>
        <v>#DIV/0!</v>
      </c>
      <c r="T732" s="29" t="e">
        <f>S732*ROUND(P732,2)</f>
        <v>#DIV/0!</v>
      </c>
    </row>
    <row r="733" spans="1:20" x14ac:dyDescent="0.2">
      <c r="A733" s="105" t="s">
        <v>812</v>
      </c>
      <c r="B733" s="106" t="s">
        <v>37</v>
      </c>
      <c r="C733" s="106" t="s">
        <v>322</v>
      </c>
      <c r="D733" s="106" t="s">
        <v>334</v>
      </c>
      <c r="E733" s="106" t="s">
        <v>37</v>
      </c>
      <c r="F733" s="107" t="s">
        <v>579</v>
      </c>
      <c r="G733" s="106" t="s">
        <v>814</v>
      </c>
      <c r="H733" s="106" t="s">
        <v>257</v>
      </c>
      <c r="I733" s="106" t="s">
        <v>11</v>
      </c>
      <c r="J733" s="106" t="s">
        <v>231</v>
      </c>
      <c r="K733" s="106"/>
      <c r="L733" s="108">
        <v>55.7</v>
      </c>
      <c r="M733" s="108">
        <f>L733*VLOOKUP(I733,dagsoorttabel1,2,FALSE)</f>
        <v>33.42</v>
      </c>
      <c r="N733" s="109">
        <f>prodnorm77</f>
        <v>0</v>
      </c>
      <c r="O733" s="106" t="s">
        <v>105</v>
      </c>
      <c r="P733" s="28">
        <f>uurtarief77</f>
        <v>0</v>
      </c>
      <c r="Q733" s="108" t="e">
        <f>IF(ISBLANK(N733),0,M733/ROUND(N733,4))</f>
        <v>#DIV/0!</v>
      </c>
      <c r="R733" s="28" t="e">
        <f>ROUND(P733,2)*Q733</f>
        <v>#DIV/0!</v>
      </c>
      <c r="S733" s="108" t="e">
        <f>Q733*dagenperjaar1</f>
        <v>#DIV/0!</v>
      </c>
      <c r="T733" s="29" t="e">
        <f>S733*ROUND(P733,2)</f>
        <v>#DIV/0!</v>
      </c>
    </row>
    <row r="734" spans="1:20" x14ac:dyDescent="0.2">
      <c r="A734" s="105" t="s">
        <v>812</v>
      </c>
      <c r="B734" s="106" t="s">
        <v>37</v>
      </c>
      <c r="C734" s="106" t="s">
        <v>322</v>
      </c>
      <c r="D734" s="106" t="s">
        <v>739</v>
      </c>
      <c r="E734" s="106" t="s">
        <v>37</v>
      </c>
      <c r="F734" s="107" t="s">
        <v>371</v>
      </c>
      <c r="G734" s="106" t="s">
        <v>814</v>
      </c>
      <c r="H734" s="106" t="s">
        <v>253</v>
      </c>
      <c r="I734" s="106" t="s">
        <v>11</v>
      </c>
      <c r="J734" s="106" t="s">
        <v>231</v>
      </c>
      <c r="K734" s="106"/>
      <c r="L734" s="108">
        <v>2</v>
      </c>
      <c r="M734" s="108">
        <f>L734*VLOOKUP(I734,dagsoorttabel1,2,FALSE)</f>
        <v>1.2</v>
      </c>
      <c r="N734" s="109">
        <f>prodnorm65</f>
        <v>0</v>
      </c>
      <c r="O734" s="106" t="s">
        <v>105</v>
      </c>
      <c r="P734" s="28">
        <f>uurtarief65</f>
        <v>0</v>
      </c>
      <c r="Q734" s="108" t="e">
        <f>IF(ISBLANK(N734),0,M734/ROUND(N734,4))</f>
        <v>#DIV/0!</v>
      </c>
      <c r="R734" s="28" t="e">
        <f>ROUND(P734,2)*Q734</f>
        <v>#DIV/0!</v>
      </c>
      <c r="S734" s="108" t="e">
        <f>Q734*dagenperjaar1</f>
        <v>#DIV/0!</v>
      </c>
      <c r="T734" s="29" t="e">
        <f>S734*ROUND(P734,2)</f>
        <v>#DIV/0!</v>
      </c>
    </row>
    <row r="735" spans="1:20" x14ac:dyDescent="0.2">
      <c r="A735" s="105" t="s">
        <v>812</v>
      </c>
      <c r="B735" s="106" t="s">
        <v>37</v>
      </c>
      <c r="C735" s="106" t="s">
        <v>322</v>
      </c>
      <c r="D735" s="106" t="s">
        <v>336</v>
      </c>
      <c r="E735" s="106" t="s">
        <v>37</v>
      </c>
      <c r="F735" s="107" t="s">
        <v>590</v>
      </c>
      <c r="G735" s="106" t="s">
        <v>369</v>
      </c>
      <c r="H735" s="106" t="s">
        <v>265</v>
      </c>
      <c r="I735" s="106" t="s">
        <v>11</v>
      </c>
      <c r="J735" s="106" t="s">
        <v>231</v>
      </c>
      <c r="K735" s="106"/>
      <c r="L735" s="108">
        <v>8.1</v>
      </c>
      <c r="M735" s="108">
        <f>L735*VLOOKUP(I735,dagsoorttabel1,2,FALSE)</f>
        <v>4.8599999999999994</v>
      </c>
      <c r="N735" s="109">
        <f>prodnorm91</f>
        <v>0</v>
      </c>
      <c r="O735" s="106" t="s">
        <v>105</v>
      </c>
      <c r="P735" s="28">
        <f>uurtarief91</f>
        <v>0</v>
      </c>
      <c r="Q735" s="108" t="e">
        <f>IF(ISBLANK(N735),0,M735/ROUND(N735,4))</f>
        <v>#DIV/0!</v>
      </c>
      <c r="R735" s="28" t="e">
        <f>ROUND(P735,2)*Q735</f>
        <v>#DIV/0!</v>
      </c>
      <c r="S735" s="108" t="e">
        <f>Q735*dagenperjaar1</f>
        <v>#DIV/0!</v>
      </c>
      <c r="T735" s="29" t="e">
        <f>S735*ROUND(P735,2)</f>
        <v>#DIV/0!</v>
      </c>
    </row>
    <row r="736" spans="1:20" x14ac:dyDescent="0.2">
      <c r="A736" s="105" t="s">
        <v>812</v>
      </c>
      <c r="B736" s="106" t="s">
        <v>37</v>
      </c>
      <c r="C736" s="106" t="s">
        <v>322</v>
      </c>
      <c r="D736" s="106" t="s">
        <v>816</v>
      </c>
      <c r="E736" s="106" t="s">
        <v>37</v>
      </c>
      <c r="F736" s="107" t="s">
        <v>817</v>
      </c>
      <c r="G736" s="106" t="s">
        <v>369</v>
      </c>
      <c r="H736" s="106" t="s">
        <v>267</v>
      </c>
      <c r="I736" s="106" t="s">
        <v>11</v>
      </c>
      <c r="J736" s="106" t="s">
        <v>231</v>
      </c>
      <c r="K736" s="106"/>
      <c r="L736" s="108">
        <v>1.5</v>
      </c>
      <c r="M736" s="108">
        <f>L736*VLOOKUP(I736,dagsoorttabel1,2,FALSE)</f>
        <v>0.89999999999999991</v>
      </c>
      <c r="N736" s="109">
        <f>prodnorm98</f>
        <v>0</v>
      </c>
      <c r="O736" s="106" t="s">
        <v>105</v>
      </c>
      <c r="P736" s="28">
        <f>uurtarief98</f>
        <v>0</v>
      </c>
      <c r="Q736" s="108" t="e">
        <f>IF(ISBLANK(N736),0,M736/ROUND(N736,4))</f>
        <v>#DIV/0!</v>
      </c>
      <c r="R736" s="28" t="e">
        <f>ROUND(P736,2)*Q736</f>
        <v>#DIV/0!</v>
      </c>
      <c r="S736" s="108" t="e">
        <f>Q736*dagenperjaar1</f>
        <v>#DIV/0!</v>
      </c>
      <c r="T736" s="29" t="e">
        <f>S736*ROUND(P736,2)</f>
        <v>#DIV/0!</v>
      </c>
    </row>
    <row r="737" spans="1:20" x14ac:dyDescent="0.2">
      <c r="A737" s="105" t="s">
        <v>812</v>
      </c>
      <c r="B737" s="106" t="s">
        <v>37</v>
      </c>
      <c r="C737" s="106" t="s">
        <v>322</v>
      </c>
      <c r="D737" s="106" t="s">
        <v>818</v>
      </c>
      <c r="E737" s="106" t="s">
        <v>37</v>
      </c>
      <c r="F737" s="107" t="s">
        <v>819</v>
      </c>
      <c r="G737" s="106" t="s">
        <v>369</v>
      </c>
      <c r="H737" s="106" t="s">
        <v>265</v>
      </c>
      <c r="I737" s="106" t="s">
        <v>11</v>
      </c>
      <c r="J737" s="106" t="s">
        <v>231</v>
      </c>
      <c r="K737" s="106"/>
      <c r="L737" s="108">
        <v>7.6</v>
      </c>
      <c r="M737" s="108">
        <f>L737*VLOOKUP(I737,dagsoorttabel1,2,FALSE)</f>
        <v>4.5599999999999996</v>
      </c>
      <c r="N737" s="109">
        <f>prodnorm91</f>
        <v>0</v>
      </c>
      <c r="O737" s="106" t="s">
        <v>105</v>
      </c>
      <c r="P737" s="28">
        <f>uurtarief91</f>
        <v>0</v>
      </c>
      <c r="Q737" s="108" t="e">
        <f>IF(ISBLANK(N737),0,M737/ROUND(N737,4))</f>
        <v>#DIV/0!</v>
      </c>
      <c r="R737" s="28" t="e">
        <f>ROUND(P737,2)*Q737</f>
        <v>#DIV/0!</v>
      </c>
      <c r="S737" s="108" t="e">
        <f>Q737*dagenperjaar1</f>
        <v>#DIV/0!</v>
      </c>
      <c r="T737" s="29" t="e">
        <f>S737*ROUND(P737,2)</f>
        <v>#DIV/0!</v>
      </c>
    </row>
    <row r="738" spans="1:20" x14ac:dyDescent="0.2">
      <c r="A738" s="105" t="s">
        <v>812</v>
      </c>
      <c r="B738" s="106" t="s">
        <v>37</v>
      </c>
      <c r="C738" s="106" t="s">
        <v>322</v>
      </c>
      <c r="D738" s="106" t="s">
        <v>820</v>
      </c>
      <c r="E738" s="106" t="s">
        <v>37</v>
      </c>
      <c r="F738" s="107" t="s">
        <v>615</v>
      </c>
      <c r="G738" s="106" t="s">
        <v>369</v>
      </c>
      <c r="H738" s="106" t="s">
        <v>267</v>
      </c>
      <c r="I738" s="106" t="s">
        <v>11</v>
      </c>
      <c r="J738" s="106" t="s">
        <v>231</v>
      </c>
      <c r="K738" s="106"/>
      <c r="L738" s="108">
        <v>1.2</v>
      </c>
      <c r="M738" s="108">
        <f>L738*VLOOKUP(I738,dagsoorttabel1,2,FALSE)</f>
        <v>0.72</v>
      </c>
      <c r="N738" s="109">
        <f>prodnorm98</f>
        <v>0</v>
      </c>
      <c r="O738" s="106" t="s">
        <v>105</v>
      </c>
      <c r="P738" s="28">
        <f>uurtarief98</f>
        <v>0</v>
      </c>
      <c r="Q738" s="108" t="e">
        <f>IF(ISBLANK(N738),0,M738/ROUND(N738,4))</f>
        <v>#DIV/0!</v>
      </c>
      <c r="R738" s="28" t="e">
        <f>ROUND(P738,2)*Q738</f>
        <v>#DIV/0!</v>
      </c>
      <c r="S738" s="108" t="e">
        <f>Q738*dagenperjaar1</f>
        <v>#DIV/0!</v>
      </c>
      <c r="T738" s="29" t="e">
        <f>S738*ROUND(P738,2)</f>
        <v>#DIV/0!</v>
      </c>
    </row>
    <row r="739" spans="1:20" x14ac:dyDescent="0.2">
      <c r="A739" s="105" t="s">
        <v>812</v>
      </c>
      <c r="B739" s="106" t="s">
        <v>37</v>
      </c>
      <c r="C739" s="106" t="s">
        <v>322</v>
      </c>
      <c r="D739" s="106" t="s">
        <v>821</v>
      </c>
      <c r="E739" s="106" t="s">
        <v>37</v>
      </c>
      <c r="F739" s="107" t="s">
        <v>405</v>
      </c>
      <c r="G739" s="106" t="s">
        <v>369</v>
      </c>
      <c r="H739" s="106" t="s">
        <v>261</v>
      </c>
      <c r="I739" s="106" t="s">
        <v>11</v>
      </c>
      <c r="J739" s="106" t="s">
        <v>231</v>
      </c>
      <c r="K739" s="106"/>
      <c r="L739" s="108">
        <v>3.3</v>
      </c>
      <c r="M739" s="108">
        <f>L739*VLOOKUP(I739,dagsoorttabel1,2,FALSE)</f>
        <v>1.9799999999999998</v>
      </c>
      <c r="N739" s="109">
        <f>prodnorm85</f>
        <v>0</v>
      </c>
      <c r="O739" s="106" t="s">
        <v>105</v>
      </c>
      <c r="P739" s="28">
        <f>uurtarief85</f>
        <v>0</v>
      </c>
      <c r="Q739" s="108" t="e">
        <f>IF(ISBLANK(N739),0,M739/ROUND(N739,4))</f>
        <v>#DIV/0!</v>
      </c>
      <c r="R739" s="28" t="e">
        <f>ROUND(P739,2)*Q739</f>
        <v>#DIV/0!</v>
      </c>
      <c r="S739" s="108" t="e">
        <f>Q739*dagenperjaar1</f>
        <v>#DIV/0!</v>
      </c>
      <c r="T739" s="29" t="e">
        <f>S739*ROUND(P739,2)</f>
        <v>#DIV/0!</v>
      </c>
    </row>
    <row r="740" spans="1:20" x14ac:dyDescent="0.2">
      <c r="A740" s="105" t="s">
        <v>812</v>
      </c>
      <c r="B740" s="106" t="s">
        <v>37</v>
      </c>
      <c r="C740" s="106" t="s">
        <v>322</v>
      </c>
      <c r="D740" s="106" t="s">
        <v>338</v>
      </c>
      <c r="E740" s="106" t="s">
        <v>37</v>
      </c>
      <c r="F740" s="107" t="s">
        <v>822</v>
      </c>
      <c r="G740" s="106" t="s">
        <v>814</v>
      </c>
      <c r="H740" s="106" t="s">
        <v>285</v>
      </c>
      <c r="I740" s="106" t="s">
        <v>11</v>
      </c>
      <c r="J740" s="106" t="s">
        <v>231</v>
      </c>
      <c r="K740" s="106"/>
      <c r="L740" s="108">
        <v>3.3</v>
      </c>
      <c r="M740" s="108">
        <f>L740*VLOOKUP(I740,dagsoorttabel1,2,FALSE)</f>
        <v>1.9799999999999998</v>
      </c>
      <c r="N740" s="109">
        <f>prodnorm135</f>
        <v>0</v>
      </c>
      <c r="O740" s="106" t="s">
        <v>105</v>
      </c>
      <c r="P740" s="28">
        <f>uurtarief135</f>
        <v>0</v>
      </c>
      <c r="Q740" s="108" t="e">
        <f>IF(ISBLANK(N740),0,M740/ROUND(N740,4))</f>
        <v>#DIV/0!</v>
      </c>
      <c r="R740" s="28" t="e">
        <f>ROUND(P740,2)*Q740</f>
        <v>#DIV/0!</v>
      </c>
      <c r="S740" s="108" t="e">
        <f>Q740*dagenperjaar1</f>
        <v>#DIV/0!</v>
      </c>
      <c r="T740" s="29" t="e">
        <f>S740*ROUND(P740,2)</f>
        <v>#DIV/0!</v>
      </c>
    </row>
    <row r="741" spans="1:20" x14ac:dyDescent="0.2">
      <c r="A741" s="105" t="s">
        <v>812</v>
      </c>
      <c r="B741" s="106" t="s">
        <v>37</v>
      </c>
      <c r="C741" s="106" t="s">
        <v>322</v>
      </c>
      <c r="D741" s="106" t="s">
        <v>339</v>
      </c>
      <c r="E741" s="106" t="s">
        <v>37</v>
      </c>
      <c r="F741" s="107" t="s">
        <v>823</v>
      </c>
      <c r="G741" s="106" t="s">
        <v>814</v>
      </c>
      <c r="H741" s="106" t="s">
        <v>273</v>
      </c>
      <c r="I741" s="106" t="s">
        <v>11</v>
      </c>
      <c r="J741" s="106" t="s">
        <v>231</v>
      </c>
      <c r="K741" s="106"/>
      <c r="L741" s="108">
        <v>4.5</v>
      </c>
      <c r="M741" s="108">
        <f>L741*VLOOKUP(I741,dagsoorttabel1,2,FALSE)</f>
        <v>2.6999999999999997</v>
      </c>
      <c r="N741" s="109">
        <f>prodnorm110</f>
        <v>0</v>
      </c>
      <c r="O741" s="106" t="s">
        <v>105</v>
      </c>
      <c r="P741" s="28">
        <f>uurtarief110</f>
        <v>0</v>
      </c>
      <c r="Q741" s="108" t="e">
        <f>IF(ISBLANK(N741),0,M741/ROUND(N741,4))</f>
        <v>#DIV/0!</v>
      </c>
      <c r="R741" s="28" t="e">
        <f>ROUND(P741,2)*Q741</f>
        <v>#DIV/0!</v>
      </c>
      <c r="S741" s="108" t="e">
        <f>Q741*dagenperjaar1</f>
        <v>#DIV/0!</v>
      </c>
      <c r="T741" s="29" t="e">
        <f>S741*ROUND(P741,2)</f>
        <v>#DIV/0!</v>
      </c>
    </row>
    <row r="742" spans="1:20" x14ac:dyDescent="0.2">
      <c r="A742" s="105" t="s">
        <v>812</v>
      </c>
      <c r="B742" s="106" t="s">
        <v>37</v>
      </c>
      <c r="C742" s="106" t="s">
        <v>322</v>
      </c>
      <c r="D742" s="106" t="s">
        <v>342</v>
      </c>
      <c r="E742" s="106" t="s">
        <v>37</v>
      </c>
      <c r="F742" s="107" t="s">
        <v>615</v>
      </c>
      <c r="G742" s="106" t="s">
        <v>369</v>
      </c>
      <c r="H742" s="106" t="s">
        <v>267</v>
      </c>
      <c r="I742" s="106" t="s">
        <v>11</v>
      </c>
      <c r="J742" s="106" t="s">
        <v>231</v>
      </c>
      <c r="K742" s="106"/>
      <c r="L742" s="108">
        <v>1.6</v>
      </c>
      <c r="M742" s="108">
        <f>L742*VLOOKUP(I742,dagsoorttabel1,2,FALSE)</f>
        <v>0.96</v>
      </c>
      <c r="N742" s="109">
        <f>prodnorm98</f>
        <v>0</v>
      </c>
      <c r="O742" s="106" t="s">
        <v>105</v>
      </c>
      <c r="P742" s="28">
        <f>uurtarief98</f>
        <v>0</v>
      </c>
      <c r="Q742" s="108" t="e">
        <f>IF(ISBLANK(N742),0,M742/ROUND(N742,4))</f>
        <v>#DIV/0!</v>
      </c>
      <c r="R742" s="28" t="e">
        <f>ROUND(P742,2)*Q742</f>
        <v>#DIV/0!</v>
      </c>
      <c r="S742" s="108" t="e">
        <f>Q742*dagenperjaar1</f>
        <v>#DIV/0!</v>
      </c>
      <c r="T742" s="29" t="e">
        <f>S742*ROUND(P742,2)</f>
        <v>#DIV/0!</v>
      </c>
    </row>
    <row r="743" spans="1:20" x14ac:dyDescent="0.2">
      <c r="A743" s="105" t="s">
        <v>812</v>
      </c>
      <c r="B743" s="106" t="s">
        <v>37</v>
      </c>
      <c r="C743" s="106" t="s">
        <v>322</v>
      </c>
      <c r="D743" s="106" t="s">
        <v>344</v>
      </c>
      <c r="E743" s="106" t="s">
        <v>37</v>
      </c>
      <c r="F743" s="107" t="s">
        <v>615</v>
      </c>
      <c r="G743" s="106" t="s">
        <v>369</v>
      </c>
      <c r="H743" s="106" t="s">
        <v>267</v>
      </c>
      <c r="I743" s="106" t="s">
        <v>11</v>
      </c>
      <c r="J743" s="106" t="s">
        <v>231</v>
      </c>
      <c r="K743" s="106"/>
      <c r="L743" s="108">
        <v>1.6</v>
      </c>
      <c r="M743" s="108">
        <f>L743*VLOOKUP(I743,dagsoorttabel1,2,FALSE)</f>
        <v>0.96</v>
      </c>
      <c r="N743" s="109">
        <f>prodnorm98</f>
        <v>0</v>
      </c>
      <c r="O743" s="106" t="s">
        <v>105</v>
      </c>
      <c r="P743" s="28">
        <f>uurtarief98</f>
        <v>0</v>
      </c>
      <c r="Q743" s="108" t="e">
        <f>IF(ISBLANK(N743),0,M743/ROUND(N743,4))</f>
        <v>#DIV/0!</v>
      </c>
      <c r="R743" s="28" t="e">
        <f>ROUND(P743,2)*Q743</f>
        <v>#DIV/0!</v>
      </c>
      <c r="S743" s="108" t="e">
        <f>Q743*dagenperjaar1</f>
        <v>#DIV/0!</v>
      </c>
      <c r="T743" s="29" t="e">
        <f>S743*ROUND(P743,2)</f>
        <v>#DIV/0!</v>
      </c>
    </row>
    <row r="744" spans="1:20" x14ac:dyDescent="0.2">
      <c r="A744" s="105" t="s">
        <v>812</v>
      </c>
      <c r="B744" s="106" t="s">
        <v>37</v>
      </c>
      <c r="C744" s="106" t="s">
        <v>322</v>
      </c>
      <c r="D744" s="106" t="s">
        <v>347</v>
      </c>
      <c r="E744" s="106" t="s">
        <v>37</v>
      </c>
      <c r="F744" s="107" t="s">
        <v>781</v>
      </c>
      <c r="G744" s="106" t="s">
        <v>814</v>
      </c>
      <c r="H744" s="106" t="s">
        <v>243</v>
      </c>
      <c r="I744" s="106" t="s">
        <v>11</v>
      </c>
      <c r="J744" s="106" t="s">
        <v>231</v>
      </c>
      <c r="K744" s="106"/>
      <c r="L744" s="108">
        <v>14.1</v>
      </c>
      <c r="M744" s="108">
        <f>L744*VLOOKUP(I744,dagsoorttabel1,2,FALSE)</f>
        <v>8.4599999999999991</v>
      </c>
      <c r="N744" s="109">
        <f>prodnorm49</f>
        <v>0</v>
      </c>
      <c r="O744" s="106" t="s">
        <v>105</v>
      </c>
      <c r="P744" s="28">
        <f>uurtarief49</f>
        <v>0</v>
      </c>
      <c r="Q744" s="108" t="e">
        <f>IF(ISBLANK(N744),0,M744/ROUND(N744,4))</f>
        <v>#DIV/0!</v>
      </c>
      <c r="R744" s="28" t="e">
        <f>ROUND(P744,2)*Q744</f>
        <v>#DIV/0!</v>
      </c>
      <c r="S744" s="108" t="e">
        <f>Q744*dagenperjaar1</f>
        <v>#DIV/0!</v>
      </c>
      <c r="T744" s="29" t="e">
        <f>S744*ROUND(P744,2)</f>
        <v>#DIV/0!</v>
      </c>
    </row>
    <row r="745" spans="1:20" x14ac:dyDescent="0.2">
      <c r="A745" s="105" t="s">
        <v>812</v>
      </c>
      <c r="B745" s="106" t="s">
        <v>37</v>
      </c>
      <c r="C745" s="106" t="s">
        <v>415</v>
      </c>
      <c r="D745" s="106" t="s">
        <v>416</v>
      </c>
      <c r="E745" s="106" t="s">
        <v>37</v>
      </c>
      <c r="F745" s="107" t="s">
        <v>824</v>
      </c>
      <c r="G745" s="106" t="s">
        <v>379</v>
      </c>
      <c r="H745" s="106" t="s">
        <v>255</v>
      </c>
      <c r="I745" s="106" t="s">
        <v>11</v>
      </c>
      <c r="J745" s="106" t="s">
        <v>231</v>
      </c>
      <c r="K745" s="106"/>
      <c r="L745" s="108">
        <v>18.5</v>
      </c>
      <c r="M745" s="108">
        <f>L745*VLOOKUP(I745,dagsoorttabel1,2,FALSE)</f>
        <v>11.1</v>
      </c>
      <c r="N745" s="109">
        <f>prodnorm72</f>
        <v>0</v>
      </c>
      <c r="O745" s="106" t="s">
        <v>105</v>
      </c>
      <c r="P745" s="28">
        <f>uurtarief72</f>
        <v>0</v>
      </c>
      <c r="Q745" s="108" t="e">
        <f>IF(ISBLANK(N745),0,M745/ROUND(N745,4))</f>
        <v>#DIV/0!</v>
      </c>
      <c r="R745" s="28" t="e">
        <f>ROUND(P745,2)*Q745</f>
        <v>#DIV/0!</v>
      </c>
      <c r="S745" s="108" t="e">
        <f>Q745*dagenperjaar1</f>
        <v>#DIV/0!</v>
      </c>
      <c r="T745" s="29" t="e">
        <f>S745*ROUND(P745,2)</f>
        <v>#DIV/0!</v>
      </c>
    </row>
    <row r="746" spans="1:20" x14ac:dyDescent="0.2">
      <c r="A746" s="105" t="s">
        <v>812</v>
      </c>
      <c r="B746" s="106" t="s">
        <v>37</v>
      </c>
      <c r="C746" s="106" t="s">
        <v>415</v>
      </c>
      <c r="D746" s="106" t="s">
        <v>419</v>
      </c>
      <c r="E746" s="106" t="s">
        <v>37</v>
      </c>
      <c r="F746" s="107" t="s">
        <v>337</v>
      </c>
      <c r="G746" s="106" t="s">
        <v>379</v>
      </c>
      <c r="H746" s="106" t="s">
        <v>241</v>
      </c>
      <c r="I746" s="106" t="s">
        <v>11</v>
      </c>
      <c r="J746" s="106" t="s">
        <v>231</v>
      </c>
      <c r="K746" s="106"/>
      <c r="L746" s="108">
        <v>70.3</v>
      </c>
      <c r="M746" s="108">
        <f>L746*VLOOKUP(I746,dagsoorttabel1,2,FALSE)</f>
        <v>42.18</v>
      </c>
      <c r="N746" s="109">
        <f>prodnorm46</f>
        <v>0</v>
      </c>
      <c r="O746" s="106" t="s">
        <v>105</v>
      </c>
      <c r="P746" s="28">
        <f>uurtarief46</f>
        <v>0</v>
      </c>
      <c r="Q746" s="108" t="e">
        <f>IF(ISBLANK(N746),0,M746/ROUND(N746,4))</f>
        <v>#DIV/0!</v>
      </c>
      <c r="R746" s="28" t="e">
        <f>ROUND(P746,2)*Q746</f>
        <v>#DIV/0!</v>
      </c>
      <c r="S746" s="108" t="e">
        <f>Q746*dagenperjaar1</f>
        <v>#DIV/0!</v>
      </c>
      <c r="T746" s="29" t="e">
        <f>S746*ROUND(P746,2)</f>
        <v>#DIV/0!</v>
      </c>
    </row>
    <row r="747" spans="1:20" x14ac:dyDescent="0.2">
      <c r="A747" s="105" t="s">
        <v>812</v>
      </c>
      <c r="B747" s="106" t="s">
        <v>37</v>
      </c>
      <c r="C747" s="106" t="s">
        <v>415</v>
      </c>
      <c r="D747" s="106" t="s">
        <v>750</v>
      </c>
      <c r="E747" s="106" t="s">
        <v>37</v>
      </c>
      <c r="F747" s="107" t="s">
        <v>337</v>
      </c>
      <c r="G747" s="106" t="s">
        <v>379</v>
      </c>
      <c r="H747" s="106" t="s">
        <v>241</v>
      </c>
      <c r="I747" s="106" t="s">
        <v>11</v>
      </c>
      <c r="J747" s="106" t="s">
        <v>231</v>
      </c>
      <c r="K747" s="106"/>
      <c r="L747" s="108">
        <v>18.100000000000001</v>
      </c>
      <c r="M747" s="108">
        <f>L747*VLOOKUP(I747,dagsoorttabel1,2,FALSE)</f>
        <v>10.860000000000001</v>
      </c>
      <c r="N747" s="109">
        <f>prodnorm46</f>
        <v>0</v>
      </c>
      <c r="O747" s="106" t="s">
        <v>105</v>
      </c>
      <c r="P747" s="28">
        <f>uurtarief46</f>
        <v>0</v>
      </c>
      <c r="Q747" s="108" t="e">
        <f>IF(ISBLANK(N747),0,M747/ROUND(N747,4))</f>
        <v>#DIV/0!</v>
      </c>
      <c r="R747" s="28" t="e">
        <f>ROUND(P747,2)*Q747</f>
        <v>#DIV/0!</v>
      </c>
      <c r="S747" s="108" t="e">
        <f>Q747*dagenperjaar1</f>
        <v>#DIV/0!</v>
      </c>
      <c r="T747" s="29" t="e">
        <f>S747*ROUND(P747,2)</f>
        <v>#DIV/0!</v>
      </c>
    </row>
    <row r="748" spans="1:20" x14ac:dyDescent="0.2">
      <c r="A748" s="105" t="s">
        <v>812</v>
      </c>
      <c r="B748" s="106" t="s">
        <v>37</v>
      </c>
      <c r="C748" s="106" t="s">
        <v>544</v>
      </c>
      <c r="D748" s="106" t="s">
        <v>37</v>
      </c>
      <c r="E748" s="106" t="s">
        <v>37</v>
      </c>
      <c r="F748" s="107" t="s">
        <v>545</v>
      </c>
      <c r="G748" s="106" t="s">
        <v>37</v>
      </c>
      <c r="H748" s="106" t="s">
        <v>298</v>
      </c>
      <c r="I748" s="106" t="s">
        <v>13</v>
      </c>
      <c r="J748" s="106" t="s">
        <v>299</v>
      </c>
      <c r="K748" s="106"/>
      <c r="L748" s="108">
        <v>2</v>
      </c>
      <c r="M748" s="108">
        <f>L748*VLOOKUP(I748,dagsoorttabel1,2,FALSE)</f>
        <v>0.4</v>
      </c>
      <c r="N748" s="109">
        <f>prodnorm21</f>
        <v>0</v>
      </c>
      <c r="O748" s="106" t="s">
        <v>301</v>
      </c>
      <c r="P748" s="28">
        <f>uurtarief21</f>
        <v>0</v>
      </c>
      <c r="Q748" s="108">
        <f>M748*ROUND(N748,4)/60</f>
        <v>0</v>
      </c>
      <c r="R748" s="28">
        <f>ROUND(P748,2)*Q748</f>
        <v>0</v>
      </c>
      <c r="S748" s="108">
        <f>Q748*dagenperjaar1</f>
        <v>0</v>
      </c>
      <c r="T748" s="29">
        <f>S748*ROUND(P748,2)</f>
        <v>0</v>
      </c>
    </row>
    <row r="749" spans="1:20" x14ac:dyDescent="0.2">
      <c r="A749" s="105" t="s">
        <v>812</v>
      </c>
      <c r="B749" s="106" t="s">
        <v>37</v>
      </c>
      <c r="C749" s="106" t="s">
        <v>544</v>
      </c>
      <c r="D749" s="106" t="s">
        <v>37</v>
      </c>
      <c r="E749" s="106" t="s">
        <v>37</v>
      </c>
      <c r="F749" s="107" t="s">
        <v>545</v>
      </c>
      <c r="G749" s="106" t="s">
        <v>37</v>
      </c>
      <c r="H749" s="106" t="s">
        <v>302</v>
      </c>
      <c r="I749" s="106" t="s">
        <v>15</v>
      </c>
      <c r="J749" s="106" t="s">
        <v>299</v>
      </c>
      <c r="K749" s="106"/>
      <c r="L749" s="108">
        <v>1</v>
      </c>
      <c r="M749" s="108">
        <f>L749*VLOOKUP(I749,dagsoorttabel1,2,FALSE)</f>
        <v>4.7058823529411764E-2</v>
      </c>
      <c r="N749" s="109">
        <f>prodnorm24</f>
        <v>0</v>
      </c>
      <c r="O749" s="106" t="s">
        <v>301</v>
      </c>
      <c r="P749" s="28">
        <f>uurtarief24</f>
        <v>0</v>
      </c>
      <c r="Q749" s="108">
        <f>M749*ROUND(N749,4)/60</f>
        <v>0</v>
      </c>
      <c r="R749" s="28">
        <f>ROUND(P749,2)*Q749</f>
        <v>0</v>
      </c>
      <c r="S749" s="108">
        <f>Q749*dagenperjaar1</f>
        <v>0</v>
      </c>
      <c r="T749" s="29">
        <f>S749*ROUND(P749,2)</f>
        <v>0</v>
      </c>
    </row>
    <row r="750" spans="1:20" x14ac:dyDescent="0.2">
      <c r="A750" s="110" t="s">
        <v>812</v>
      </c>
      <c r="B750" s="111" t="s">
        <v>37</v>
      </c>
      <c r="C750" s="111" t="s">
        <v>544</v>
      </c>
      <c r="D750" s="111" t="s">
        <v>37</v>
      </c>
      <c r="E750" s="111" t="s">
        <v>37</v>
      </c>
      <c r="F750" s="112" t="s">
        <v>545</v>
      </c>
      <c r="G750" s="111" t="s">
        <v>37</v>
      </c>
      <c r="H750" s="111" t="s">
        <v>304</v>
      </c>
      <c r="I750" s="111" t="s">
        <v>13</v>
      </c>
      <c r="J750" s="111" t="s">
        <v>299</v>
      </c>
      <c r="K750" s="111"/>
      <c r="L750" s="113">
        <v>1</v>
      </c>
      <c r="M750" s="113">
        <f>L750*VLOOKUP(I750,dagsoorttabel1,2,FALSE)</f>
        <v>0.2</v>
      </c>
      <c r="N750" s="114">
        <f>prodnorm25</f>
        <v>0</v>
      </c>
      <c r="O750" s="111" t="s">
        <v>301</v>
      </c>
      <c r="P750" s="38">
        <f>uurtarief25</f>
        <v>0</v>
      </c>
      <c r="Q750" s="113">
        <f>M750*ROUND(N750,4)/60</f>
        <v>0</v>
      </c>
      <c r="R750" s="38">
        <f>ROUND(P750,2)*Q750</f>
        <v>0</v>
      </c>
      <c r="S750" s="113">
        <f>Q750*dagenperjaar1</f>
        <v>0</v>
      </c>
      <c r="T750" s="39">
        <f>S750*ROUND(P750,2)</f>
        <v>0</v>
      </c>
    </row>
    <row r="751" spans="1:20" x14ac:dyDescent="0.2">
      <c r="A751" s="115" t="s">
        <v>546</v>
      </c>
      <c r="B751" s="83"/>
      <c r="C751" s="83"/>
      <c r="D751" s="83"/>
      <c r="E751" s="83"/>
      <c r="F751" s="83"/>
      <c r="G751" s="83"/>
      <c r="H751" s="83"/>
      <c r="I751" s="83"/>
      <c r="J751" s="83"/>
      <c r="K751" s="83"/>
      <c r="L751" s="83"/>
      <c r="M751" s="83"/>
      <c r="N751" s="83"/>
      <c r="O751" s="83"/>
      <c r="P751" s="85" t="e">
        <f>IF(_xlfn.SINGLE(object39_urenjaar1)&gt;0,_xlfn.SINGLE(object39_prijsjaar1)/_xlfn.SINGLE(object39_urenjaar1),0)</f>
        <v>#DIV/0!</v>
      </c>
      <c r="Q751" s="84" t="e">
        <f>SUM(Q729:Q750)</f>
        <v>#DIV/0!</v>
      </c>
      <c r="R751" s="85" t="e">
        <f>SUM(R729:R750)</f>
        <v>#DIV/0!</v>
      </c>
      <c r="S751" s="84" t="e">
        <f>SUM(S729:S750)</f>
        <v>#DIV/0!</v>
      </c>
      <c r="T751" s="86" t="e">
        <f>SUM(T729:T750)</f>
        <v>#DIV/0!</v>
      </c>
    </row>
    <row r="752" spans="1:20" x14ac:dyDescent="0.2">
      <c r="A752" s="91" t="s">
        <v>825</v>
      </c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81"/>
    </row>
    <row r="753" spans="1:20" x14ac:dyDescent="0.2">
      <c r="A753" s="53" t="s">
        <v>826</v>
      </c>
      <c r="B753" s="54" t="s">
        <v>37</v>
      </c>
      <c r="C753" s="54" t="s">
        <v>322</v>
      </c>
      <c r="D753" s="54" t="s">
        <v>323</v>
      </c>
      <c r="E753" s="54" t="s">
        <v>37</v>
      </c>
      <c r="F753" s="92" t="s">
        <v>307</v>
      </c>
      <c r="G753" s="54" t="s">
        <v>632</v>
      </c>
      <c r="H753" s="54" t="s">
        <v>306</v>
      </c>
      <c r="I753" s="54" t="s">
        <v>22</v>
      </c>
      <c r="J753" s="54" t="s">
        <v>299</v>
      </c>
      <c r="K753" s="54"/>
      <c r="L753" s="72">
        <v>4.5999999999999996</v>
      </c>
      <c r="M753" s="72">
        <f>L753*VLOOKUP(I753,dagsoorttabel1,2,FALSE)</f>
        <v>3.6078431372549014E-2</v>
      </c>
      <c r="N753" s="73">
        <f>prodnorm28</f>
        <v>0</v>
      </c>
      <c r="O753" s="54" t="s">
        <v>105</v>
      </c>
      <c r="P753" s="55">
        <f>uurtarief28</f>
        <v>0</v>
      </c>
      <c r="Q753" s="72" t="e">
        <f>IF(ISBLANK(N753),0,M753/ROUND(N753,4))</f>
        <v>#DIV/0!</v>
      </c>
      <c r="R753" s="55" t="e">
        <f>ROUND(P753,2)*Q753</f>
        <v>#DIV/0!</v>
      </c>
      <c r="S753" s="72" t="e">
        <f>Q753*dagenperjaar1</f>
        <v>#DIV/0!</v>
      </c>
      <c r="T753" s="56" t="e">
        <f>S753*ROUND(P753,2)</f>
        <v>#DIV/0!</v>
      </c>
    </row>
    <row r="754" spans="1:20" x14ac:dyDescent="0.2">
      <c r="A754" s="50" t="s">
        <v>827</v>
      </c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2"/>
    </row>
    <row r="755" spans="1:20" x14ac:dyDescent="0.2">
      <c r="A755" s="98" t="s">
        <v>828</v>
      </c>
      <c r="B755" s="99" t="s">
        <v>37</v>
      </c>
      <c r="C755" s="99" t="s">
        <v>733</v>
      </c>
      <c r="D755" s="99" t="s">
        <v>734</v>
      </c>
      <c r="E755" s="99" t="s">
        <v>37</v>
      </c>
      <c r="F755" s="100" t="s">
        <v>735</v>
      </c>
      <c r="G755" s="99" t="s">
        <v>369</v>
      </c>
      <c r="H755" s="99" t="s">
        <v>288</v>
      </c>
      <c r="I755" s="99" t="s">
        <v>22</v>
      </c>
      <c r="J755" s="99" t="s">
        <v>231</v>
      </c>
      <c r="K755" s="99"/>
      <c r="L755" s="101">
        <v>116</v>
      </c>
      <c r="M755" s="101">
        <f>L755*VLOOKUP(I755,dagsoorttabel1,2,FALSE)</f>
        <v>0.90980392156862744</v>
      </c>
      <c r="N755" s="102">
        <f>prodnorm137</f>
        <v>0</v>
      </c>
      <c r="O755" s="99" t="s">
        <v>105</v>
      </c>
      <c r="P755" s="103">
        <f>uurtarief137</f>
        <v>0</v>
      </c>
      <c r="Q755" s="101" t="e">
        <f>IF(ISBLANK(N755),0,M755/ROUND(N755,4))</f>
        <v>#DIV/0!</v>
      </c>
      <c r="R755" s="103" t="e">
        <f>ROUND(P755,2)*Q755</f>
        <v>#DIV/0!</v>
      </c>
      <c r="S755" s="101" t="e">
        <f>Q755*dagenperjaar1</f>
        <v>#DIV/0!</v>
      </c>
      <c r="T755" s="104" t="e">
        <f>S755*ROUND(P755,2)</f>
        <v>#DIV/0!</v>
      </c>
    </row>
    <row r="756" spans="1:20" x14ac:dyDescent="0.2">
      <c r="A756" s="105" t="s">
        <v>828</v>
      </c>
      <c r="B756" s="106" t="s">
        <v>37</v>
      </c>
      <c r="C756" s="106" t="s">
        <v>733</v>
      </c>
      <c r="D756" s="106" t="s">
        <v>736</v>
      </c>
      <c r="E756" s="106" t="s">
        <v>37</v>
      </c>
      <c r="F756" s="107" t="s">
        <v>654</v>
      </c>
      <c r="G756" s="106" t="s">
        <v>660</v>
      </c>
      <c r="H756" s="106" t="s">
        <v>290</v>
      </c>
      <c r="I756" s="106" t="s">
        <v>22</v>
      </c>
      <c r="J756" s="106" t="s">
        <v>231</v>
      </c>
      <c r="K756" s="106"/>
      <c r="L756" s="108">
        <v>15</v>
      </c>
      <c r="M756" s="108">
        <f>L756*VLOOKUP(I756,dagsoorttabel1,2,FALSE)</f>
        <v>0.11764705882352941</v>
      </c>
      <c r="N756" s="109">
        <f>prodnorm142</f>
        <v>0</v>
      </c>
      <c r="O756" s="106" t="s">
        <v>105</v>
      </c>
      <c r="P756" s="28">
        <f>uurtarief142</f>
        <v>0</v>
      </c>
      <c r="Q756" s="108" t="e">
        <f>IF(ISBLANK(N756),0,M756/ROUND(N756,4))</f>
        <v>#DIV/0!</v>
      </c>
      <c r="R756" s="28" t="e">
        <f>ROUND(P756,2)*Q756</f>
        <v>#DIV/0!</v>
      </c>
      <c r="S756" s="108" t="e">
        <f>Q756*dagenperjaar1</f>
        <v>#DIV/0!</v>
      </c>
      <c r="T756" s="29" t="e">
        <f>S756*ROUND(P756,2)</f>
        <v>#DIV/0!</v>
      </c>
    </row>
    <row r="757" spans="1:20" x14ac:dyDescent="0.2">
      <c r="A757" s="110" t="s">
        <v>828</v>
      </c>
      <c r="B757" s="111" t="s">
        <v>37</v>
      </c>
      <c r="C757" s="111" t="s">
        <v>322</v>
      </c>
      <c r="D757" s="111" t="s">
        <v>323</v>
      </c>
      <c r="E757" s="111" t="s">
        <v>37</v>
      </c>
      <c r="F757" s="112" t="s">
        <v>307</v>
      </c>
      <c r="G757" s="111" t="s">
        <v>661</v>
      </c>
      <c r="H757" s="111" t="s">
        <v>306</v>
      </c>
      <c r="I757" s="111" t="s">
        <v>22</v>
      </c>
      <c r="J757" s="111" t="s">
        <v>299</v>
      </c>
      <c r="K757" s="111"/>
      <c r="L757" s="113">
        <v>33.5</v>
      </c>
      <c r="M757" s="113">
        <f>L757*VLOOKUP(I757,dagsoorttabel1,2,FALSE)</f>
        <v>0.2627450980392157</v>
      </c>
      <c r="N757" s="114">
        <f>prodnorm28</f>
        <v>0</v>
      </c>
      <c r="O757" s="111" t="s">
        <v>105</v>
      </c>
      <c r="P757" s="38">
        <f>uurtarief28</f>
        <v>0</v>
      </c>
      <c r="Q757" s="113" t="e">
        <f>IF(ISBLANK(N757),0,M757/ROUND(N757,4))</f>
        <v>#DIV/0!</v>
      </c>
      <c r="R757" s="38" t="e">
        <f>ROUND(P757,2)*Q757</f>
        <v>#DIV/0!</v>
      </c>
      <c r="S757" s="113" t="e">
        <f>Q757*dagenperjaar1</f>
        <v>#DIV/0!</v>
      </c>
      <c r="T757" s="39" t="e">
        <f>S757*ROUND(P757,2)</f>
        <v>#DIV/0!</v>
      </c>
    </row>
    <row r="758" spans="1:20" x14ac:dyDescent="0.2">
      <c r="A758" s="115" t="s">
        <v>546</v>
      </c>
      <c r="B758" s="83"/>
      <c r="C758" s="83"/>
      <c r="D758" s="83"/>
      <c r="E758" s="83"/>
      <c r="F758" s="83"/>
      <c r="G758" s="83"/>
      <c r="H758" s="83"/>
      <c r="I758" s="83"/>
      <c r="J758" s="83"/>
      <c r="K758" s="83"/>
      <c r="L758" s="83"/>
      <c r="M758" s="83"/>
      <c r="N758" s="83"/>
      <c r="O758" s="83"/>
      <c r="P758" s="85" t="e">
        <f>IF(_xlfn.SINGLE(object41_urenjaar1)&gt;0,_xlfn.SINGLE(object41_prijsjaar1)/_xlfn.SINGLE(object41_urenjaar1),0)</f>
        <v>#DIV/0!</v>
      </c>
      <c r="Q758" s="84" t="e">
        <f>SUM(Q755:Q757)</f>
        <v>#DIV/0!</v>
      </c>
      <c r="R758" s="85" t="e">
        <f>SUM(R755:R757)</f>
        <v>#DIV/0!</v>
      </c>
      <c r="S758" s="84" t="e">
        <f>SUM(S755:S757)</f>
        <v>#DIV/0!</v>
      </c>
      <c r="T758" s="86" t="e">
        <f>SUM(T755:T757)</f>
        <v>#DIV/0!</v>
      </c>
    </row>
    <row r="759" spans="1:20" x14ac:dyDescent="0.2">
      <c r="A759" s="91" t="s">
        <v>829</v>
      </c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81"/>
    </row>
    <row r="760" spans="1:20" x14ac:dyDescent="0.2">
      <c r="A760" s="98" t="s">
        <v>830</v>
      </c>
      <c r="B760" s="99" t="s">
        <v>37</v>
      </c>
      <c r="C760" s="99" t="s">
        <v>322</v>
      </c>
      <c r="D760" s="99" t="s">
        <v>323</v>
      </c>
      <c r="E760" s="99" t="s">
        <v>37</v>
      </c>
      <c r="F760" s="100" t="s">
        <v>307</v>
      </c>
      <c r="G760" s="99" t="s">
        <v>632</v>
      </c>
      <c r="H760" s="99" t="s">
        <v>306</v>
      </c>
      <c r="I760" s="99" t="s">
        <v>22</v>
      </c>
      <c r="J760" s="99" t="s">
        <v>299</v>
      </c>
      <c r="K760" s="99"/>
      <c r="L760" s="101">
        <v>12.3</v>
      </c>
      <c r="M760" s="101">
        <f>L760*VLOOKUP(I760,dagsoorttabel1,2,FALSE)</f>
        <v>9.6470588235294127E-2</v>
      </c>
      <c r="N760" s="102">
        <f>prodnorm28</f>
        <v>0</v>
      </c>
      <c r="O760" s="99" t="s">
        <v>105</v>
      </c>
      <c r="P760" s="103">
        <f>uurtarief28</f>
        <v>0</v>
      </c>
      <c r="Q760" s="101" t="e">
        <f>IF(ISBLANK(N760),0,M760/ROUND(N760,4))</f>
        <v>#DIV/0!</v>
      </c>
      <c r="R760" s="103" t="e">
        <f>ROUND(P760,2)*Q760</f>
        <v>#DIV/0!</v>
      </c>
      <c r="S760" s="101" t="e">
        <f>Q760*dagenperjaar1</f>
        <v>#DIV/0!</v>
      </c>
      <c r="T760" s="104" t="e">
        <f>S760*ROUND(P760,2)</f>
        <v>#DIV/0!</v>
      </c>
    </row>
    <row r="761" spans="1:20" x14ac:dyDescent="0.2">
      <c r="A761" s="105" t="s">
        <v>830</v>
      </c>
      <c r="B761" s="106" t="s">
        <v>37</v>
      </c>
      <c r="C761" s="106" t="s">
        <v>322</v>
      </c>
      <c r="D761" s="106" t="s">
        <v>326</v>
      </c>
      <c r="E761" s="106" t="s">
        <v>37</v>
      </c>
      <c r="F761" s="107" t="s">
        <v>307</v>
      </c>
      <c r="G761" s="106" t="s">
        <v>331</v>
      </c>
      <c r="H761" s="106" t="s">
        <v>306</v>
      </c>
      <c r="I761" s="106" t="s">
        <v>22</v>
      </c>
      <c r="J761" s="106" t="s">
        <v>299</v>
      </c>
      <c r="K761" s="106"/>
      <c r="L761" s="108">
        <v>23.8</v>
      </c>
      <c r="M761" s="108">
        <f>L761*VLOOKUP(I761,dagsoorttabel1,2,FALSE)</f>
        <v>0.18666666666666668</v>
      </c>
      <c r="N761" s="109">
        <f>prodnorm28</f>
        <v>0</v>
      </c>
      <c r="O761" s="106" t="s">
        <v>105</v>
      </c>
      <c r="P761" s="28">
        <f>uurtarief28</f>
        <v>0</v>
      </c>
      <c r="Q761" s="108" t="e">
        <f>IF(ISBLANK(N761),0,M761/ROUND(N761,4))</f>
        <v>#DIV/0!</v>
      </c>
      <c r="R761" s="28" t="e">
        <f>ROUND(P761,2)*Q761</f>
        <v>#DIV/0!</v>
      </c>
      <c r="S761" s="108" t="e">
        <f>Q761*dagenperjaar1</f>
        <v>#DIV/0!</v>
      </c>
      <c r="T761" s="29" t="e">
        <f>S761*ROUND(P761,2)</f>
        <v>#DIV/0!</v>
      </c>
    </row>
    <row r="762" spans="1:20" x14ac:dyDescent="0.2">
      <c r="A762" s="105" t="s">
        <v>830</v>
      </c>
      <c r="B762" s="106" t="s">
        <v>37</v>
      </c>
      <c r="C762" s="106" t="s">
        <v>322</v>
      </c>
      <c r="D762" s="106" t="s">
        <v>329</v>
      </c>
      <c r="E762" s="106" t="s">
        <v>37</v>
      </c>
      <c r="F762" s="107" t="s">
        <v>654</v>
      </c>
      <c r="G762" s="106" t="s">
        <v>660</v>
      </c>
      <c r="H762" s="106" t="s">
        <v>290</v>
      </c>
      <c r="I762" s="106" t="s">
        <v>22</v>
      </c>
      <c r="J762" s="106" t="s">
        <v>231</v>
      </c>
      <c r="K762" s="106"/>
      <c r="L762" s="108">
        <v>13</v>
      </c>
      <c r="M762" s="108">
        <f>L762*VLOOKUP(I762,dagsoorttabel1,2,FALSE)</f>
        <v>0.10196078431372549</v>
      </c>
      <c r="N762" s="109">
        <f>prodnorm142</f>
        <v>0</v>
      </c>
      <c r="O762" s="106" t="s">
        <v>105</v>
      </c>
      <c r="P762" s="28">
        <f>uurtarief142</f>
        <v>0</v>
      </c>
      <c r="Q762" s="108" t="e">
        <f>IF(ISBLANK(N762),0,M762/ROUND(N762,4))</f>
        <v>#DIV/0!</v>
      </c>
      <c r="R762" s="28" t="e">
        <f>ROUND(P762,2)*Q762</f>
        <v>#DIV/0!</v>
      </c>
      <c r="S762" s="108" t="e">
        <f>Q762*dagenperjaar1</f>
        <v>#DIV/0!</v>
      </c>
      <c r="T762" s="29" t="e">
        <f>S762*ROUND(P762,2)</f>
        <v>#DIV/0!</v>
      </c>
    </row>
    <row r="763" spans="1:20" x14ac:dyDescent="0.2">
      <c r="A763" s="105" t="s">
        <v>830</v>
      </c>
      <c r="B763" s="106" t="s">
        <v>37</v>
      </c>
      <c r="C763" s="106" t="s">
        <v>322</v>
      </c>
      <c r="D763" s="106" t="s">
        <v>332</v>
      </c>
      <c r="E763" s="106" t="s">
        <v>37</v>
      </c>
      <c r="F763" s="107" t="s">
        <v>714</v>
      </c>
      <c r="G763" s="106" t="s">
        <v>632</v>
      </c>
      <c r="H763" s="106" t="s">
        <v>251</v>
      </c>
      <c r="I763" s="106" t="s">
        <v>22</v>
      </c>
      <c r="J763" s="106" t="s">
        <v>231</v>
      </c>
      <c r="K763" s="106"/>
      <c r="L763" s="108">
        <v>3.7</v>
      </c>
      <c r="M763" s="108">
        <f>L763*VLOOKUP(I763,dagsoorttabel1,2,FALSE)</f>
        <v>2.9019607843137257E-2</v>
      </c>
      <c r="N763" s="109">
        <f>prodnorm61</f>
        <v>0</v>
      </c>
      <c r="O763" s="106" t="s">
        <v>105</v>
      </c>
      <c r="P763" s="28">
        <f>uurtarief61</f>
        <v>0</v>
      </c>
      <c r="Q763" s="108" t="e">
        <f>IF(ISBLANK(N763),0,M763/ROUND(N763,4))</f>
        <v>#DIV/0!</v>
      </c>
      <c r="R763" s="28" t="e">
        <f>ROUND(P763,2)*Q763</f>
        <v>#DIV/0!</v>
      </c>
      <c r="S763" s="108" t="e">
        <f>Q763*dagenperjaar1</f>
        <v>#DIV/0!</v>
      </c>
      <c r="T763" s="29" t="e">
        <f>S763*ROUND(P763,2)</f>
        <v>#DIV/0!</v>
      </c>
    </row>
    <row r="764" spans="1:20" x14ac:dyDescent="0.2">
      <c r="A764" s="110" t="s">
        <v>830</v>
      </c>
      <c r="B764" s="111" t="s">
        <v>37</v>
      </c>
      <c r="C764" s="111" t="s">
        <v>322</v>
      </c>
      <c r="D764" s="111" t="s">
        <v>334</v>
      </c>
      <c r="E764" s="111" t="s">
        <v>37</v>
      </c>
      <c r="F764" s="112" t="s">
        <v>615</v>
      </c>
      <c r="G764" s="111" t="s">
        <v>369</v>
      </c>
      <c r="H764" s="111" t="s">
        <v>267</v>
      </c>
      <c r="I764" s="111" t="s">
        <v>22</v>
      </c>
      <c r="J764" s="111" t="s">
        <v>231</v>
      </c>
      <c r="K764" s="111"/>
      <c r="L764" s="113">
        <v>1.7</v>
      </c>
      <c r="M764" s="113">
        <f>L764*VLOOKUP(I764,dagsoorttabel1,2,FALSE)</f>
        <v>1.3333333333333332E-2</v>
      </c>
      <c r="N764" s="114">
        <f>prodnorm96</f>
        <v>0</v>
      </c>
      <c r="O764" s="111" t="s">
        <v>105</v>
      </c>
      <c r="P764" s="38">
        <f>uurtarief96</f>
        <v>0</v>
      </c>
      <c r="Q764" s="113" t="e">
        <f>IF(ISBLANK(N764),0,M764/ROUND(N764,4))</f>
        <v>#DIV/0!</v>
      </c>
      <c r="R764" s="38" t="e">
        <f>ROUND(P764,2)*Q764</f>
        <v>#DIV/0!</v>
      </c>
      <c r="S764" s="113" t="e">
        <f>Q764*dagenperjaar1</f>
        <v>#DIV/0!</v>
      </c>
      <c r="T764" s="39" t="e">
        <f>S764*ROUND(P764,2)</f>
        <v>#DIV/0!</v>
      </c>
    </row>
    <row r="765" spans="1:20" x14ac:dyDescent="0.2">
      <c r="A765" s="115" t="s">
        <v>546</v>
      </c>
      <c r="B765" s="83"/>
      <c r="C765" s="83"/>
      <c r="D765" s="83"/>
      <c r="E765" s="83"/>
      <c r="F765" s="83"/>
      <c r="G765" s="83"/>
      <c r="H765" s="83"/>
      <c r="I765" s="83"/>
      <c r="J765" s="83"/>
      <c r="K765" s="83"/>
      <c r="L765" s="83"/>
      <c r="M765" s="83"/>
      <c r="N765" s="83"/>
      <c r="O765" s="83"/>
      <c r="P765" s="85" t="e">
        <f>IF(_xlfn.SINGLE(object42_urenjaar1)&gt;0,_xlfn.SINGLE(object42_prijsjaar1)/_xlfn.SINGLE(object42_urenjaar1),0)</f>
        <v>#DIV/0!</v>
      </c>
      <c r="Q765" s="84" t="e">
        <f>SUM(Q760:Q764)</f>
        <v>#DIV/0!</v>
      </c>
      <c r="R765" s="85" t="e">
        <f>SUM(R760:R764)</f>
        <v>#DIV/0!</v>
      </c>
      <c r="S765" s="84" t="e">
        <f>SUM(S760:S764)</f>
        <v>#DIV/0!</v>
      </c>
      <c r="T765" s="86" t="e">
        <f>SUM(T760:T764)</f>
        <v>#DIV/0!</v>
      </c>
    </row>
    <row r="766" spans="1:20" x14ac:dyDescent="0.2">
      <c r="A766" s="91" t="s">
        <v>831</v>
      </c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81"/>
    </row>
    <row r="767" spans="1:20" x14ac:dyDescent="0.2">
      <c r="A767" s="98" t="s">
        <v>832</v>
      </c>
      <c r="B767" s="99" t="s">
        <v>37</v>
      </c>
      <c r="C767" s="99" t="s">
        <v>733</v>
      </c>
      <c r="D767" s="99" t="s">
        <v>734</v>
      </c>
      <c r="E767" s="99" t="s">
        <v>37</v>
      </c>
      <c r="F767" s="100" t="s">
        <v>735</v>
      </c>
      <c r="G767" s="99" t="s">
        <v>369</v>
      </c>
      <c r="H767" s="99" t="s">
        <v>288</v>
      </c>
      <c r="I767" s="99" t="s">
        <v>22</v>
      </c>
      <c r="J767" s="99" t="s">
        <v>231</v>
      </c>
      <c r="K767" s="99"/>
      <c r="L767" s="101">
        <v>27.6</v>
      </c>
      <c r="M767" s="101">
        <f>L767*VLOOKUP(I767,dagsoorttabel1,2,FALSE)</f>
        <v>0.21647058823529414</v>
      </c>
      <c r="N767" s="102">
        <f>prodnorm137</f>
        <v>0</v>
      </c>
      <c r="O767" s="99" t="s">
        <v>105</v>
      </c>
      <c r="P767" s="103">
        <f>uurtarief137</f>
        <v>0</v>
      </c>
      <c r="Q767" s="101" t="e">
        <f>IF(ISBLANK(N767),0,M767/ROUND(N767,4))</f>
        <v>#DIV/0!</v>
      </c>
      <c r="R767" s="103" t="e">
        <f>ROUND(P767,2)*Q767</f>
        <v>#DIV/0!</v>
      </c>
      <c r="S767" s="101" t="e">
        <f>Q767*dagenperjaar1</f>
        <v>#DIV/0!</v>
      </c>
      <c r="T767" s="104" t="e">
        <f>S767*ROUND(P767,2)</f>
        <v>#DIV/0!</v>
      </c>
    </row>
    <row r="768" spans="1:20" x14ac:dyDescent="0.2">
      <c r="A768" s="105" t="s">
        <v>832</v>
      </c>
      <c r="B768" s="106" t="s">
        <v>37</v>
      </c>
      <c r="C768" s="106" t="s">
        <v>322</v>
      </c>
      <c r="D768" s="106" t="s">
        <v>323</v>
      </c>
      <c r="E768" s="106" t="s">
        <v>37</v>
      </c>
      <c r="F768" s="107" t="s">
        <v>307</v>
      </c>
      <c r="G768" s="106" t="s">
        <v>369</v>
      </c>
      <c r="H768" s="106" t="s">
        <v>306</v>
      </c>
      <c r="I768" s="106" t="s">
        <v>22</v>
      </c>
      <c r="J768" s="106" t="s">
        <v>299</v>
      </c>
      <c r="K768" s="106"/>
      <c r="L768" s="108">
        <v>28.8</v>
      </c>
      <c r="M768" s="108">
        <f>L768*VLOOKUP(I768,dagsoorttabel1,2,FALSE)</f>
        <v>0.22588235294117648</v>
      </c>
      <c r="N768" s="109">
        <f>prodnorm28</f>
        <v>0</v>
      </c>
      <c r="O768" s="106" t="s">
        <v>105</v>
      </c>
      <c r="P768" s="28">
        <f>uurtarief28</f>
        <v>0</v>
      </c>
      <c r="Q768" s="108" t="e">
        <f>IF(ISBLANK(N768),0,M768/ROUND(N768,4))</f>
        <v>#DIV/0!</v>
      </c>
      <c r="R768" s="28" t="e">
        <f>ROUND(P768,2)*Q768</f>
        <v>#DIV/0!</v>
      </c>
      <c r="S768" s="108" t="e">
        <f>Q768*dagenperjaar1</f>
        <v>#DIV/0!</v>
      </c>
      <c r="T768" s="29" t="e">
        <f>S768*ROUND(P768,2)</f>
        <v>#DIV/0!</v>
      </c>
    </row>
    <row r="769" spans="1:20" x14ac:dyDescent="0.2">
      <c r="A769" s="105" t="s">
        <v>832</v>
      </c>
      <c r="B769" s="106" t="s">
        <v>37</v>
      </c>
      <c r="C769" s="106" t="s">
        <v>322</v>
      </c>
      <c r="D769" s="106" t="s">
        <v>326</v>
      </c>
      <c r="E769" s="106" t="s">
        <v>37</v>
      </c>
      <c r="F769" s="107" t="s">
        <v>307</v>
      </c>
      <c r="G769" s="106" t="s">
        <v>660</v>
      </c>
      <c r="H769" s="106" t="s">
        <v>306</v>
      </c>
      <c r="I769" s="106" t="s">
        <v>22</v>
      </c>
      <c r="J769" s="106" t="s">
        <v>299</v>
      </c>
      <c r="K769" s="106"/>
      <c r="L769" s="108">
        <v>8</v>
      </c>
      <c r="M769" s="108">
        <f>L769*VLOOKUP(I769,dagsoorttabel1,2,FALSE)</f>
        <v>6.2745098039215685E-2</v>
      </c>
      <c r="N769" s="109">
        <f>prodnorm28</f>
        <v>0</v>
      </c>
      <c r="O769" s="106" t="s">
        <v>105</v>
      </c>
      <c r="P769" s="28">
        <f>uurtarief28</f>
        <v>0</v>
      </c>
      <c r="Q769" s="108" t="e">
        <f>IF(ISBLANK(N769),0,M769/ROUND(N769,4))</f>
        <v>#DIV/0!</v>
      </c>
      <c r="R769" s="28" t="e">
        <f>ROUND(P769,2)*Q769</f>
        <v>#DIV/0!</v>
      </c>
      <c r="S769" s="108" t="e">
        <f>Q769*dagenperjaar1</f>
        <v>#DIV/0!</v>
      </c>
      <c r="T769" s="29" t="e">
        <f>S769*ROUND(P769,2)</f>
        <v>#DIV/0!</v>
      </c>
    </row>
    <row r="770" spans="1:20" x14ac:dyDescent="0.2">
      <c r="A770" s="105" t="s">
        <v>832</v>
      </c>
      <c r="B770" s="106" t="s">
        <v>37</v>
      </c>
      <c r="C770" s="106" t="s">
        <v>322</v>
      </c>
      <c r="D770" s="106" t="s">
        <v>329</v>
      </c>
      <c r="E770" s="106" t="s">
        <v>37</v>
      </c>
      <c r="F770" s="107" t="s">
        <v>654</v>
      </c>
      <c r="G770" s="106" t="s">
        <v>660</v>
      </c>
      <c r="H770" s="106" t="s">
        <v>290</v>
      </c>
      <c r="I770" s="106" t="s">
        <v>22</v>
      </c>
      <c r="J770" s="106" t="s">
        <v>231</v>
      </c>
      <c r="K770" s="106"/>
      <c r="L770" s="108">
        <v>12</v>
      </c>
      <c r="M770" s="108">
        <f>L770*VLOOKUP(I770,dagsoorttabel1,2,FALSE)</f>
        <v>9.4117647058823528E-2</v>
      </c>
      <c r="N770" s="109">
        <f>prodnorm142</f>
        <v>0</v>
      </c>
      <c r="O770" s="106" t="s">
        <v>105</v>
      </c>
      <c r="P770" s="28">
        <f>uurtarief142</f>
        <v>0</v>
      </c>
      <c r="Q770" s="108" t="e">
        <f>IF(ISBLANK(N770),0,M770/ROUND(N770,4))</f>
        <v>#DIV/0!</v>
      </c>
      <c r="R770" s="28" t="e">
        <f>ROUND(P770,2)*Q770</f>
        <v>#DIV/0!</v>
      </c>
      <c r="S770" s="108" t="e">
        <f>Q770*dagenperjaar1</f>
        <v>#DIV/0!</v>
      </c>
      <c r="T770" s="29" t="e">
        <f>S770*ROUND(P770,2)</f>
        <v>#DIV/0!</v>
      </c>
    </row>
    <row r="771" spans="1:20" x14ac:dyDescent="0.2">
      <c r="A771" s="110" t="s">
        <v>832</v>
      </c>
      <c r="B771" s="111" t="s">
        <v>37</v>
      </c>
      <c r="C771" s="111" t="s">
        <v>322</v>
      </c>
      <c r="D771" s="111" t="s">
        <v>332</v>
      </c>
      <c r="E771" s="111" t="s">
        <v>37</v>
      </c>
      <c r="F771" s="112" t="s">
        <v>615</v>
      </c>
      <c r="G771" s="111" t="s">
        <v>369</v>
      </c>
      <c r="H771" s="111" t="s">
        <v>267</v>
      </c>
      <c r="I771" s="111" t="s">
        <v>22</v>
      </c>
      <c r="J771" s="111" t="s">
        <v>231</v>
      </c>
      <c r="K771" s="111"/>
      <c r="L771" s="113">
        <v>1.3</v>
      </c>
      <c r="M771" s="113">
        <f>L771*VLOOKUP(I771,dagsoorttabel1,2,FALSE)</f>
        <v>1.019607843137255E-2</v>
      </c>
      <c r="N771" s="114">
        <f>prodnorm96</f>
        <v>0</v>
      </c>
      <c r="O771" s="111" t="s">
        <v>105</v>
      </c>
      <c r="P771" s="38">
        <f>uurtarief96</f>
        <v>0</v>
      </c>
      <c r="Q771" s="113" t="e">
        <f>IF(ISBLANK(N771),0,M771/ROUND(N771,4))</f>
        <v>#DIV/0!</v>
      </c>
      <c r="R771" s="38" t="e">
        <f>ROUND(P771,2)*Q771</f>
        <v>#DIV/0!</v>
      </c>
      <c r="S771" s="113" t="e">
        <f>Q771*dagenperjaar1</f>
        <v>#DIV/0!</v>
      </c>
      <c r="T771" s="39" t="e">
        <f>S771*ROUND(P771,2)</f>
        <v>#DIV/0!</v>
      </c>
    </row>
    <row r="772" spans="1:20" x14ac:dyDescent="0.2">
      <c r="A772" s="115" t="s">
        <v>546</v>
      </c>
      <c r="B772" s="83"/>
      <c r="C772" s="83"/>
      <c r="D772" s="83"/>
      <c r="E772" s="83"/>
      <c r="F772" s="83"/>
      <c r="G772" s="83"/>
      <c r="H772" s="83"/>
      <c r="I772" s="83"/>
      <c r="J772" s="83"/>
      <c r="K772" s="83"/>
      <c r="L772" s="83"/>
      <c r="M772" s="83"/>
      <c r="N772" s="83"/>
      <c r="O772" s="83"/>
      <c r="P772" s="85" t="e">
        <f>IF(_xlfn.SINGLE(object43_urenjaar1)&gt;0,_xlfn.SINGLE(object43_prijsjaar1)/_xlfn.SINGLE(object43_urenjaar1),0)</f>
        <v>#DIV/0!</v>
      </c>
      <c r="Q772" s="84" t="e">
        <f>SUM(Q767:Q771)</f>
        <v>#DIV/0!</v>
      </c>
      <c r="R772" s="85" t="e">
        <f>SUM(R767:R771)</f>
        <v>#DIV/0!</v>
      </c>
      <c r="S772" s="84" t="e">
        <f>SUM(S767:S771)</f>
        <v>#DIV/0!</v>
      </c>
      <c r="T772" s="86" t="e">
        <f>SUM(T767:T771)</f>
        <v>#DIV/0!</v>
      </c>
    </row>
    <row r="773" spans="1:20" x14ac:dyDescent="0.2">
      <c r="A773" s="91" t="s">
        <v>833</v>
      </c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81"/>
    </row>
    <row r="774" spans="1:20" x14ac:dyDescent="0.2">
      <c r="A774" s="53" t="s">
        <v>834</v>
      </c>
      <c r="B774" s="54" t="s">
        <v>37</v>
      </c>
      <c r="C774" s="54" t="s">
        <v>322</v>
      </c>
      <c r="D774" s="54" t="s">
        <v>323</v>
      </c>
      <c r="E774" s="54" t="s">
        <v>37</v>
      </c>
      <c r="F774" s="92" t="s">
        <v>307</v>
      </c>
      <c r="G774" s="54" t="s">
        <v>331</v>
      </c>
      <c r="H774" s="54" t="s">
        <v>306</v>
      </c>
      <c r="I774" s="54" t="s">
        <v>22</v>
      </c>
      <c r="J774" s="54" t="s">
        <v>299</v>
      </c>
      <c r="K774" s="54"/>
      <c r="L774" s="72">
        <v>10.7</v>
      </c>
      <c r="M774" s="72">
        <f>L774*VLOOKUP(I774,dagsoorttabel1,2,FALSE)</f>
        <v>8.3921568627450968E-2</v>
      </c>
      <c r="N774" s="73">
        <f>prodnorm28</f>
        <v>0</v>
      </c>
      <c r="O774" s="54" t="s">
        <v>105</v>
      </c>
      <c r="P774" s="55">
        <f>uurtarief28</f>
        <v>0</v>
      </c>
      <c r="Q774" s="72" t="e">
        <f>IF(ISBLANK(N774),0,M774/ROUND(N774,4))</f>
        <v>#DIV/0!</v>
      </c>
      <c r="R774" s="55" t="e">
        <f>ROUND(P774,2)*Q774</f>
        <v>#DIV/0!</v>
      </c>
      <c r="S774" s="72" t="e">
        <f>Q774*dagenperjaar1</f>
        <v>#DIV/0!</v>
      </c>
      <c r="T774" s="56" t="e">
        <f>S774*ROUND(P774,2)</f>
        <v>#DIV/0!</v>
      </c>
    </row>
    <row r="775" spans="1:20" x14ac:dyDescent="0.2">
      <c r="A775" s="50" t="s">
        <v>835</v>
      </c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2"/>
    </row>
    <row r="776" spans="1:20" x14ac:dyDescent="0.2">
      <c r="A776" s="53" t="s">
        <v>836</v>
      </c>
      <c r="B776" s="54" t="s">
        <v>37</v>
      </c>
      <c r="C776" s="54" t="s">
        <v>322</v>
      </c>
      <c r="D776" s="54" t="s">
        <v>323</v>
      </c>
      <c r="E776" s="54" t="s">
        <v>37</v>
      </c>
      <c r="F776" s="92" t="s">
        <v>307</v>
      </c>
      <c r="G776" s="54" t="s">
        <v>632</v>
      </c>
      <c r="H776" s="54" t="s">
        <v>306</v>
      </c>
      <c r="I776" s="54" t="s">
        <v>22</v>
      </c>
      <c r="J776" s="54" t="s">
        <v>299</v>
      </c>
      <c r="K776" s="54"/>
      <c r="L776" s="72">
        <v>8.8000000000000007</v>
      </c>
      <c r="M776" s="72">
        <f>L776*VLOOKUP(I776,dagsoorttabel1,2,FALSE)</f>
        <v>6.9019607843137265E-2</v>
      </c>
      <c r="N776" s="73">
        <f>prodnorm28</f>
        <v>0</v>
      </c>
      <c r="O776" s="54" t="s">
        <v>105</v>
      </c>
      <c r="P776" s="55">
        <f>uurtarief28</f>
        <v>0</v>
      </c>
      <c r="Q776" s="72" t="e">
        <f>IF(ISBLANK(N776),0,M776/ROUND(N776,4))</f>
        <v>#DIV/0!</v>
      </c>
      <c r="R776" s="55" t="e">
        <f>ROUND(P776,2)*Q776</f>
        <v>#DIV/0!</v>
      </c>
      <c r="S776" s="72" t="e">
        <f>Q776*dagenperjaar1</f>
        <v>#DIV/0!</v>
      </c>
      <c r="T776" s="56" t="e">
        <f>S776*ROUND(P776,2)</f>
        <v>#DIV/0!</v>
      </c>
    </row>
    <row r="777" spans="1:20" x14ac:dyDescent="0.2">
      <c r="A777" s="50" t="s">
        <v>837</v>
      </c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2"/>
    </row>
    <row r="778" spans="1:20" x14ac:dyDescent="0.2">
      <c r="A778" s="98" t="s">
        <v>838</v>
      </c>
      <c r="B778" s="99" t="s">
        <v>37</v>
      </c>
      <c r="C778" s="99" t="s">
        <v>322</v>
      </c>
      <c r="D778" s="99" t="s">
        <v>323</v>
      </c>
      <c r="E778" s="99" t="s">
        <v>37</v>
      </c>
      <c r="F778" s="100" t="s">
        <v>307</v>
      </c>
      <c r="G778" s="99" t="s">
        <v>620</v>
      </c>
      <c r="H778" s="99" t="s">
        <v>306</v>
      </c>
      <c r="I778" s="99" t="s">
        <v>22</v>
      </c>
      <c r="J778" s="99" t="s">
        <v>299</v>
      </c>
      <c r="K778" s="99"/>
      <c r="L778" s="101">
        <v>1</v>
      </c>
      <c r="M778" s="101">
        <f>L778*VLOOKUP(I778,dagsoorttabel1,2,FALSE)</f>
        <v>7.8431372549019607E-3</v>
      </c>
      <c r="N778" s="102">
        <f>prodnorm28</f>
        <v>0</v>
      </c>
      <c r="O778" s="99" t="s">
        <v>105</v>
      </c>
      <c r="P778" s="103">
        <f>uurtarief28</f>
        <v>0</v>
      </c>
      <c r="Q778" s="101" t="e">
        <f>IF(ISBLANK(N778),0,M778/ROUND(N778,4))</f>
        <v>#DIV/0!</v>
      </c>
      <c r="R778" s="103" t="e">
        <f>ROUND(P778,2)*Q778</f>
        <v>#DIV/0!</v>
      </c>
      <c r="S778" s="101" t="e">
        <f>Q778*dagenperjaar1</f>
        <v>#DIV/0!</v>
      </c>
      <c r="T778" s="104" t="e">
        <f>S778*ROUND(P778,2)</f>
        <v>#DIV/0!</v>
      </c>
    </row>
    <row r="779" spans="1:20" x14ac:dyDescent="0.2">
      <c r="A779" s="105" t="s">
        <v>838</v>
      </c>
      <c r="B779" s="106" t="s">
        <v>37</v>
      </c>
      <c r="C779" s="106" t="s">
        <v>322</v>
      </c>
      <c r="D779" s="106" t="s">
        <v>326</v>
      </c>
      <c r="E779" s="106" t="s">
        <v>37</v>
      </c>
      <c r="F779" s="107" t="s">
        <v>307</v>
      </c>
      <c r="G779" s="106" t="s">
        <v>331</v>
      </c>
      <c r="H779" s="106" t="s">
        <v>306</v>
      </c>
      <c r="I779" s="106" t="s">
        <v>22</v>
      </c>
      <c r="J779" s="106" t="s">
        <v>299</v>
      </c>
      <c r="K779" s="106"/>
      <c r="L779" s="108">
        <v>10.7</v>
      </c>
      <c r="M779" s="108">
        <f>L779*VLOOKUP(I779,dagsoorttabel1,2,FALSE)</f>
        <v>8.3921568627450968E-2</v>
      </c>
      <c r="N779" s="109">
        <f>prodnorm28</f>
        <v>0</v>
      </c>
      <c r="O779" s="106" t="s">
        <v>105</v>
      </c>
      <c r="P779" s="28">
        <f>uurtarief28</f>
        <v>0</v>
      </c>
      <c r="Q779" s="108" t="e">
        <f>IF(ISBLANK(N779),0,M779/ROUND(N779,4))</f>
        <v>#DIV/0!</v>
      </c>
      <c r="R779" s="28" t="e">
        <f>ROUND(P779,2)*Q779</f>
        <v>#DIV/0!</v>
      </c>
      <c r="S779" s="108" t="e">
        <f>Q779*dagenperjaar1</f>
        <v>#DIV/0!</v>
      </c>
      <c r="T779" s="29" t="e">
        <f>S779*ROUND(P779,2)</f>
        <v>#DIV/0!</v>
      </c>
    </row>
    <row r="780" spans="1:20" x14ac:dyDescent="0.2">
      <c r="A780" s="110" t="s">
        <v>838</v>
      </c>
      <c r="B780" s="111" t="s">
        <v>37</v>
      </c>
      <c r="C780" s="111" t="s">
        <v>322</v>
      </c>
      <c r="D780" s="111" t="s">
        <v>329</v>
      </c>
      <c r="E780" s="111" t="s">
        <v>37</v>
      </c>
      <c r="F780" s="112" t="s">
        <v>582</v>
      </c>
      <c r="G780" s="111" t="s">
        <v>331</v>
      </c>
      <c r="H780" s="111" t="s">
        <v>267</v>
      </c>
      <c r="I780" s="111" t="s">
        <v>22</v>
      </c>
      <c r="J780" s="111" t="s">
        <v>231</v>
      </c>
      <c r="K780" s="111"/>
      <c r="L780" s="113">
        <v>1.1000000000000001</v>
      </c>
      <c r="M780" s="113">
        <f>L780*VLOOKUP(I780,dagsoorttabel1,2,FALSE)</f>
        <v>8.6274509803921581E-3</v>
      </c>
      <c r="N780" s="114">
        <f>prodnorm96</f>
        <v>0</v>
      </c>
      <c r="O780" s="111" t="s">
        <v>105</v>
      </c>
      <c r="P780" s="38">
        <f>uurtarief96</f>
        <v>0</v>
      </c>
      <c r="Q780" s="113" t="e">
        <f>IF(ISBLANK(N780),0,M780/ROUND(N780,4))</f>
        <v>#DIV/0!</v>
      </c>
      <c r="R780" s="38" t="e">
        <f>ROUND(P780,2)*Q780</f>
        <v>#DIV/0!</v>
      </c>
      <c r="S780" s="113" t="e">
        <f>Q780*dagenperjaar1</f>
        <v>#DIV/0!</v>
      </c>
      <c r="T780" s="39" t="e">
        <f>S780*ROUND(P780,2)</f>
        <v>#DIV/0!</v>
      </c>
    </row>
    <row r="781" spans="1:20" x14ac:dyDescent="0.2">
      <c r="A781" s="115" t="s">
        <v>546</v>
      </c>
      <c r="B781" s="83"/>
      <c r="C781" s="83"/>
      <c r="D781" s="83"/>
      <c r="E781" s="83"/>
      <c r="F781" s="83"/>
      <c r="G781" s="83"/>
      <c r="H781" s="83"/>
      <c r="I781" s="83"/>
      <c r="J781" s="83"/>
      <c r="K781" s="83"/>
      <c r="L781" s="83"/>
      <c r="M781" s="83"/>
      <c r="N781" s="83"/>
      <c r="O781" s="83"/>
      <c r="P781" s="85" t="e">
        <f>IF(_xlfn.SINGLE(object46_urenjaar1)&gt;0,_xlfn.SINGLE(object46_prijsjaar1)/_xlfn.SINGLE(object46_urenjaar1),0)</f>
        <v>#DIV/0!</v>
      </c>
      <c r="Q781" s="84" t="e">
        <f>SUM(Q778:Q780)</f>
        <v>#DIV/0!</v>
      </c>
      <c r="R781" s="85" t="e">
        <f>SUM(R778:R780)</f>
        <v>#DIV/0!</v>
      </c>
      <c r="S781" s="84" t="e">
        <f>SUM(S778:S780)</f>
        <v>#DIV/0!</v>
      </c>
      <c r="T781" s="86" t="e">
        <f>SUM(T778:T780)</f>
        <v>#DIV/0!</v>
      </c>
    </row>
    <row r="782" spans="1:20" x14ac:dyDescent="0.2">
      <c r="A782" s="91" t="s">
        <v>839</v>
      </c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81"/>
    </row>
    <row r="783" spans="1:20" x14ac:dyDescent="0.2">
      <c r="A783" s="53" t="s">
        <v>840</v>
      </c>
      <c r="B783" s="54" t="s">
        <v>37</v>
      </c>
      <c r="C783" s="54" t="s">
        <v>322</v>
      </c>
      <c r="D783" s="54" t="s">
        <v>323</v>
      </c>
      <c r="E783" s="54" t="s">
        <v>37</v>
      </c>
      <c r="F783" s="92" t="s">
        <v>307</v>
      </c>
      <c r="G783" s="54" t="s">
        <v>632</v>
      </c>
      <c r="H783" s="54" t="s">
        <v>306</v>
      </c>
      <c r="I783" s="54" t="s">
        <v>22</v>
      </c>
      <c r="J783" s="54" t="s">
        <v>299</v>
      </c>
      <c r="K783" s="54"/>
      <c r="L783" s="72">
        <v>5.4</v>
      </c>
      <c r="M783" s="72">
        <f>L783*VLOOKUP(I783,dagsoorttabel1,2,FALSE)</f>
        <v>4.2352941176470593E-2</v>
      </c>
      <c r="N783" s="73">
        <f>prodnorm28</f>
        <v>0</v>
      </c>
      <c r="O783" s="54" t="s">
        <v>105</v>
      </c>
      <c r="P783" s="55">
        <f>uurtarief28</f>
        <v>0</v>
      </c>
      <c r="Q783" s="72" t="e">
        <f>IF(ISBLANK(N783),0,M783/ROUND(N783,4))</f>
        <v>#DIV/0!</v>
      </c>
      <c r="R783" s="55" t="e">
        <f>ROUND(P783,2)*Q783</f>
        <v>#DIV/0!</v>
      </c>
      <c r="S783" s="72" t="e">
        <f>Q783*dagenperjaar1</f>
        <v>#DIV/0!</v>
      </c>
      <c r="T783" s="56" t="e">
        <f>S783*ROUND(P783,2)</f>
        <v>#DIV/0!</v>
      </c>
    </row>
    <row r="784" spans="1:20" x14ac:dyDescent="0.2">
      <c r="A784" s="50" t="s">
        <v>841</v>
      </c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2"/>
    </row>
    <row r="785" spans="1:20" x14ac:dyDescent="0.2">
      <c r="A785" s="98" t="s">
        <v>842</v>
      </c>
      <c r="B785" s="99" t="s">
        <v>37</v>
      </c>
      <c r="C785" s="99" t="s">
        <v>733</v>
      </c>
      <c r="D785" s="99" t="s">
        <v>734</v>
      </c>
      <c r="E785" s="99" t="s">
        <v>37</v>
      </c>
      <c r="F785" s="100" t="s">
        <v>735</v>
      </c>
      <c r="G785" s="99" t="s">
        <v>369</v>
      </c>
      <c r="H785" s="99" t="s">
        <v>288</v>
      </c>
      <c r="I785" s="99" t="s">
        <v>22</v>
      </c>
      <c r="J785" s="99" t="s">
        <v>231</v>
      </c>
      <c r="K785" s="99"/>
      <c r="L785" s="101">
        <v>32.9</v>
      </c>
      <c r="M785" s="101">
        <f>L785*VLOOKUP(I785,dagsoorttabel1,2,FALSE)</f>
        <v>0.25803921568627447</v>
      </c>
      <c r="N785" s="102">
        <f>prodnorm137</f>
        <v>0</v>
      </c>
      <c r="O785" s="99" t="s">
        <v>105</v>
      </c>
      <c r="P785" s="103">
        <f>uurtarief137</f>
        <v>0</v>
      </c>
      <c r="Q785" s="101" t="e">
        <f>IF(ISBLANK(N785),0,M785/ROUND(N785,4))</f>
        <v>#DIV/0!</v>
      </c>
      <c r="R785" s="103" t="e">
        <f>ROUND(P785,2)*Q785</f>
        <v>#DIV/0!</v>
      </c>
      <c r="S785" s="101" t="e">
        <f>Q785*dagenperjaar1</f>
        <v>#DIV/0!</v>
      </c>
      <c r="T785" s="104" t="e">
        <f>S785*ROUND(P785,2)</f>
        <v>#DIV/0!</v>
      </c>
    </row>
    <row r="786" spans="1:20" x14ac:dyDescent="0.2">
      <c r="A786" s="105" t="s">
        <v>842</v>
      </c>
      <c r="B786" s="106" t="s">
        <v>37</v>
      </c>
      <c r="C786" s="106" t="s">
        <v>322</v>
      </c>
      <c r="D786" s="106" t="s">
        <v>323</v>
      </c>
      <c r="E786" s="106" t="s">
        <v>37</v>
      </c>
      <c r="F786" s="107" t="s">
        <v>454</v>
      </c>
      <c r="G786" s="106" t="s">
        <v>369</v>
      </c>
      <c r="H786" s="106" t="s">
        <v>273</v>
      </c>
      <c r="I786" s="106" t="s">
        <v>20</v>
      </c>
      <c r="J786" s="106" t="s">
        <v>231</v>
      </c>
      <c r="K786" s="106"/>
      <c r="L786" s="108">
        <v>1.7</v>
      </c>
      <c r="M786" s="108">
        <f>L786*VLOOKUP(I786,dagsoorttabel1,2,FALSE)</f>
        <v>2.6666666666666665E-2</v>
      </c>
      <c r="N786" s="109">
        <f>prodnorm111</f>
        <v>0</v>
      </c>
      <c r="O786" s="106" t="s">
        <v>105</v>
      </c>
      <c r="P786" s="28">
        <f>uurtarief111</f>
        <v>0</v>
      </c>
      <c r="Q786" s="108" t="e">
        <f>IF(ISBLANK(N786),0,M786/ROUND(N786,4))</f>
        <v>#DIV/0!</v>
      </c>
      <c r="R786" s="28" t="e">
        <f>ROUND(P786,2)*Q786</f>
        <v>#DIV/0!</v>
      </c>
      <c r="S786" s="108" t="e">
        <f>Q786*dagenperjaar1</f>
        <v>#DIV/0!</v>
      </c>
      <c r="T786" s="29" t="e">
        <f>S786*ROUND(P786,2)</f>
        <v>#DIV/0!</v>
      </c>
    </row>
    <row r="787" spans="1:20" x14ac:dyDescent="0.2">
      <c r="A787" s="105" t="s">
        <v>842</v>
      </c>
      <c r="B787" s="106" t="s">
        <v>37</v>
      </c>
      <c r="C787" s="106" t="s">
        <v>322</v>
      </c>
      <c r="D787" s="106" t="s">
        <v>326</v>
      </c>
      <c r="E787" s="106" t="s">
        <v>37</v>
      </c>
      <c r="F787" s="107" t="s">
        <v>615</v>
      </c>
      <c r="G787" s="106" t="s">
        <v>369</v>
      </c>
      <c r="H787" s="106" t="s">
        <v>267</v>
      </c>
      <c r="I787" s="106" t="s">
        <v>20</v>
      </c>
      <c r="J787" s="106" t="s">
        <v>231</v>
      </c>
      <c r="K787" s="106"/>
      <c r="L787" s="108">
        <v>1</v>
      </c>
      <c r="M787" s="108">
        <f>L787*VLOOKUP(I787,dagsoorttabel1,2,FALSE)</f>
        <v>1.5686274509803921E-2</v>
      </c>
      <c r="N787" s="109">
        <f>prodnorm99</f>
        <v>0</v>
      </c>
      <c r="O787" s="106" t="s">
        <v>105</v>
      </c>
      <c r="P787" s="28">
        <f>uurtarief99</f>
        <v>0</v>
      </c>
      <c r="Q787" s="108" t="e">
        <f>IF(ISBLANK(N787),0,M787/ROUND(N787,4))</f>
        <v>#DIV/0!</v>
      </c>
      <c r="R787" s="28" t="e">
        <f>ROUND(P787,2)*Q787</f>
        <v>#DIV/0!</v>
      </c>
      <c r="S787" s="108" t="e">
        <f>Q787*dagenperjaar1</f>
        <v>#DIV/0!</v>
      </c>
      <c r="T787" s="29" t="e">
        <f>S787*ROUND(P787,2)</f>
        <v>#DIV/0!</v>
      </c>
    </row>
    <row r="788" spans="1:20" x14ac:dyDescent="0.2">
      <c r="A788" s="105" t="s">
        <v>842</v>
      </c>
      <c r="B788" s="106" t="s">
        <v>37</v>
      </c>
      <c r="C788" s="106" t="s">
        <v>322</v>
      </c>
      <c r="D788" s="106" t="s">
        <v>329</v>
      </c>
      <c r="E788" s="106" t="s">
        <v>37</v>
      </c>
      <c r="F788" s="107" t="s">
        <v>714</v>
      </c>
      <c r="G788" s="106" t="s">
        <v>632</v>
      </c>
      <c r="H788" s="106" t="s">
        <v>251</v>
      </c>
      <c r="I788" s="106" t="s">
        <v>20</v>
      </c>
      <c r="J788" s="106" t="s">
        <v>231</v>
      </c>
      <c r="K788" s="106"/>
      <c r="L788" s="108">
        <v>5.2</v>
      </c>
      <c r="M788" s="108">
        <f>L788*VLOOKUP(I788,dagsoorttabel1,2,FALSE)</f>
        <v>8.1568627450980397E-2</v>
      </c>
      <c r="N788" s="109">
        <f>prodnorm63</f>
        <v>0</v>
      </c>
      <c r="O788" s="106" t="s">
        <v>105</v>
      </c>
      <c r="P788" s="28">
        <f>uurtarief63</f>
        <v>0</v>
      </c>
      <c r="Q788" s="108" t="e">
        <f>IF(ISBLANK(N788),0,M788/ROUND(N788,4))</f>
        <v>#DIV/0!</v>
      </c>
      <c r="R788" s="28" t="e">
        <f>ROUND(P788,2)*Q788</f>
        <v>#DIV/0!</v>
      </c>
      <c r="S788" s="108" t="e">
        <f>Q788*dagenperjaar1</f>
        <v>#DIV/0!</v>
      </c>
      <c r="T788" s="29" t="e">
        <f>S788*ROUND(P788,2)</f>
        <v>#DIV/0!</v>
      </c>
    </row>
    <row r="789" spans="1:20" x14ac:dyDescent="0.2">
      <c r="A789" s="105" t="s">
        <v>842</v>
      </c>
      <c r="B789" s="106" t="s">
        <v>37</v>
      </c>
      <c r="C789" s="106" t="s">
        <v>322</v>
      </c>
      <c r="D789" s="106" t="s">
        <v>332</v>
      </c>
      <c r="E789" s="106" t="s">
        <v>37</v>
      </c>
      <c r="F789" s="107" t="s">
        <v>371</v>
      </c>
      <c r="G789" s="106" t="s">
        <v>369</v>
      </c>
      <c r="H789" s="106" t="s">
        <v>253</v>
      </c>
      <c r="I789" s="106" t="s">
        <v>20</v>
      </c>
      <c r="J789" s="106" t="s">
        <v>231</v>
      </c>
      <c r="K789" s="106"/>
      <c r="L789" s="108">
        <v>9.8000000000000007</v>
      </c>
      <c r="M789" s="108">
        <f>L789*VLOOKUP(I789,dagsoorttabel1,2,FALSE)</f>
        <v>0.15372549019607845</v>
      </c>
      <c r="N789" s="109">
        <f>prodnorm66</f>
        <v>0</v>
      </c>
      <c r="O789" s="106" t="s">
        <v>105</v>
      </c>
      <c r="P789" s="28">
        <f>uurtarief66</f>
        <v>0</v>
      </c>
      <c r="Q789" s="108" t="e">
        <f>IF(ISBLANK(N789),0,M789/ROUND(N789,4))</f>
        <v>#DIV/0!</v>
      </c>
      <c r="R789" s="28" t="e">
        <f>ROUND(P789,2)*Q789</f>
        <v>#DIV/0!</v>
      </c>
      <c r="S789" s="108" t="e">
        <f>Q789*dagenperjaar1</f>
        <v>#DIV/0!</v>
      </c>
      <c r="T789" s="29" t="e">
        <f>S789*ROUND(P789,2)</f>
        <v>#DIV/0!</v>
      </c>
    </row>
    <row r="790" spans="1:20" x14ac:dyDescent="0.2">
      <c r="A790" s="105" t="s">
        <v>842</v>
      </c>
      <c r="B790" s="106" t="s">
        <v>37</v>
      </c>
      <c r="C790" s="106" t="s">
        <v>322</v>
      </c>
      <c r="D790" s="106" t="s">
        <v>334</v>
      </c>
      <c r="E790" s="106" t="s">
        <v>37</v>
      </c>
      <c r="F790" s="107" t="s">
        <v>454</v>
      </c>
      <c r="G790" s="106" t="s">
        <v>632</v>
      </c>
      <c r="H790" s="106" t="s">
        <v>273</v>
      </c>
      <c r="I790" s="106" t="s">
        <v>20</v>
      </c>
      <c r="J790" s="106" t="s">
        <v>231</v>
      </c>
      <c r="K790" s="106"/>
      <c r="L790" s="108">
        <v>1.5</v>
      </c>
      <c r="M790" s="108">
        <f>L790*VLOOKUP(I790,dagsoorttabel1,2,FALSE)</f>
        <v>2.3529411764705882E-2</v>
      </c>
      <c r="N790" s="109">
        <f>prodnorm111</f>
        <v>0</v>
      </c>
      <c r="O790" s="106" t="s">
        <v>105</v>
      </c>
      <c r="P790" s="28">
        <f>uurtarief111</f>
        <v>0</v>
      </c>
      <c r="Q790" s="108" t="e">
        <f>IF(ISBLANK(N790),0,M790/ROUND(N790,4))</f>
        <v>#DIV/0!</v>
      </c>
      <c r="R790" s="28" t="e">
        <f>ROUND(P790,2)*Q790</f>
        <v>#DIV/0!</v>
      </c>
      <c r="S790" s="108" t="e">
        <f>Q790*dagenperjaar1</f>
        <v>#DIV/0!</v>
      </c>
      <c r="T790" s="29" t="e">
        <f>S790*ROUND(P790,2)</f>
        <v>#DIV/0!</v>
      </c>
    </row>
    <row r="791" spans="1:20" x14ac:dyDescent="0.2">
      <c r="A791" s="105" t="s">
        <v>842</v>
      </c>
      <c r="B791" s="106" t="s">
        <v>37</v>
      </c>
      <c r="C791" s="106" t="s">
        <v>322</v>
      </c>
      <c r="D791" s="106" t="s">
        <v>336</v>
      </c>
      <c r="E791" s="106" t="s">
        <v>37</v>
      </c>
      <c r="F791" s="107" t="s">
        <v>654</v>
      </c>
      <c r="G791" s="106" t="s">
        <v>660</v>
      </c>
      <c r="H791" s="106" t="s">
        <v>290</v>
      </c>
      <c r="I791" s="106" t="s">
        <v>20</v>
      </c>
      <c r="J791" s="106" t="s">
        <v>231</v>
      </c>
      <c r="K791" s="106"/>
      <c r="L791" s="108">
        <v>3</v>
      </c>
      <c r="M791" s="108">
        <f>L791*VLOOKUP(I791,dagsoorttabel1,2,FALSE)</f>
        <v>4.7058823529411764E-2</v>
      </c>
      <c r="N791" s="109">
        <f>prodnorm145</f>
        <v>0</v>
      </c>
      <c r="O791" s="106" t="s">
        <v>105</v>
      </c>
      <c r="P791" s="28">
        <f>uurtarief145</f>
        <v>0</v>
      </c>
      <c r="Q791" s="108" t="e">
        <f>IF(ISBLANK(N791),0,M791/ROUND(N791,4))</f>
        <v>#DIV/0!</v>
      </c>
      <c r="R791" s="28" t="e">
        <f>ROUND(P791,2)*Q791</f>
        <v>#DIV/0!</v>
      </c>
      <c r="S791" s="108" t="e">
        <f>Q791*dagenperjaar1</f>
        <v>#DIV/0!</v>
      </c>
      <c r="T791" s="29" t="e">
        <f>S791*ROUND(P791,2)</f>
        <v>#DIV/0!</v>
      </c>
    </row>
    <row r="792" spans="1:20" x14ac:dyDescent="0.2">
      <c r="A792" s="105" t="s">
        <v>842</v>
      </c>
      <c r="B792" s="106" t="s">
        <v>37</v>
      </c>
      <c r="C792" s="106" t="s">
        <v>322</v>
      </c>
      <c r="D792" s="106" t="s">
        <v>338</v>
      </c>
      <c r="E792" s="106" t="s">
        <v>37</v>
      </c>
      <c r="F792" s="107" t="s">
        <v>843</v>
      </c>
      <c r="G792" s="106" t="s">
        <v>660</v>
      </c>
      <c r="H792" s="106" t="s">
        <v>273</v>
      </c>
      <c r="I792" s="106" t="s">
        <v>20</v>
      </c>
      <c r="J792" s="106" t="s">
        <v>231</v>
      </c>
      <c r="K792" s="106"/>
      <c r="L792" s="108">
        <v>10.5</v>
      </c>
      <c r="M792" s="108">
        <f>L792*VLOOKUP(I792,dagsoorttabel1,2,FALSE)</f>
        <v>0.16470588235294117</v>
      </c>
      <c r="N792" s="109">
        <f>prodnorm111</f>
        <v>0</v>
      </c>
      <c r="O792" s="106" t="s">
        <v>105</v>
      </c>
      <c r="P792" s="28">
        <f>uurtarief111</f>
        <v>0</v>
      </c>
      <c r="Q792" s="108" t="e">
        <f>IF(ISBLANK(N792),0,M792/ROUND(N792,4))</f>
        <v>#DIV/0!</v>
      </c>
      <c r="R792" s="28" t="e">
        <f>ROUND(P792,2)*Q792</f>
        <v>#DIV/0!</v>
      </c>
      <c r="S792" s="108" t="e">
        <f>Q792*dagenperjaar1</f>
        <v>#DIV/0!</v>
      </c>
      <c r="T792" s="29" t="e">
        <f>S792*ROUND(P792,2)</f>
        <v>#DIV/0!</v>
      </c>
    </row>
    <row r="793" spans="1:20" x14ac:dyDescent="0.2">
      <c r="A793" s="110" t="s">
        <v>842</v>
      </c>
      <c r="B793" s="111" t="s">
        <v>37</v>
      </c>
      <c r="C793" s="111" t="s">
        <v>322</v>
      </c>
      <c r="D793" s="111" t="s">
        <v>339</v>
      </c>
      <c r="E793" s="111" t="s">
        <v>37</v>
      </c>
      <c r="F793" s="112" t="s">
        <v>654</v>
      </c>
      <c r="G793" s="111" t="s">
        <v>660</v>
      </c>
      <c r="H793" s="111" t="s">
        <v>290</v>
      </c>
      <c r="I793" s="111" t="s">
        <v>20</v>
      </c>
      <c r="J793" s="111" t="s">
        <v>231</v>
      </c>
      <c r="K793" s="111"/>
      <c r="L793" s="113">
        <v>3</v>
      </c>
      <c r="M793" s="113">
        <f>L793*VLOOKUP(I793,dagsoorttabel1,2,FALSE)</f>
        <v>4.7058823529411764E-2</v>
      </c>
      <c r="N793" s="114">
        <f>prodnorm145</f>
        <v>0</v>
      </c>
      <c r="O793" s="111" t="s">
        <v>105</v>
      </c>
      <c r="P793" s="38">
        <f>uurtarief145</f>
        <v>0</v>
      </c>
      <c r="Q793" s="113" t="e">
        <f>IF(ISBLANK(N793),0,M793/ROUND(N793,4))</f>
        <v>#DIV/0!</v>
      </c>
      <c r="R793" s="38" t="e">
        <f>ROUND(P793,2)*Q793</f>
        <v>#DIV/0!</v>
      </c>
      <c r="S793" s="113" t="e">
        <f>Q793*dagenperjaar1</f>
        <v>#DIV/0!</v>
      </c>
      <c r="T793" s="39" t="e">
        <f>S793*ROUND(P793,2)</f>
        <v>#DIV/0!</v>
      </c>
    </row>
    <row r="794" spans="1:20" x14ac:dyDescent="0.2">
      <c r="A794" s="115" t="s">
        <v>546</v>
      </c>
      <c r="B794" s="83"/>
      <c r="C794" s="83"/>
      <c r="D794" s="83"/>
      <c r="E794" s="83"/>
      <c r="F794" s="83"/>
      <c r="G794" s="83"/>
      <c r="H794" s="83"/>
      <c r="I794" s="83"/>
      <c r="J794" s="83"/>
      <c r="K794" s="83"/>
      <c r="L794" s="83"/>
      <c r="M794" s="83"/>
      <c r="N794" s="83"/>
      <c r="O794" s="83"/>
      <c r="P794" s="85" t="e">
        <f>IF(_xlfn.SINGLE(object48_urenjaar1)&gt;0,_xlfn.SINGLE(object48_prijsjaar1)/_xlfn.SINGLE(object48_urenjaar1),0)</f>
        <v>#DIV/0!</v>
      </c>
      <c r="Q794" s="84" t="e">
        <f>SUM(Q785:Q793)</f>
        <v>#DIV/0!</v>
      </c>
      <c r="R794" s="85" t="e">
        <f>SUM(R785:R793)</f>
        <v>#DIV/0!</v>
      </c>
      <c r="S794" s="84" t="e">
        <f>SUM(S785:S793)</f>
        <v>#DIV/0!</v>
      </c>
      <c r="T794" s="86" t="e">
        <f>SUM(T785:T793)</f>
        <v>#DIV/0!</v>
      </c>
    </row>
    <row r="795" spans="1:20" x14ac:dyDescent="0.2">
      <c r="A795" s="91" t="s">
        <v>844</v>
      </c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81"/>
    </row>
    <row r="796" spans="1:20" x14ac:dyDescent="0.2">
      <c r="A796" s="53" t="s">
        <v>845</v>
      </c>
      <c r="B796" s="54" t="s">
        <v>37</v>
      </c>
      <c r="C796" s="54" t="s">
        <v>322</v>
      </c>
      <c r="D796" s="54" t="s">
        <v>323</v>
      </c>
      <c r="E796" s="54" t="s">
        <v>37</v>
      </c>
      <c r="F796" s="92" t="s">
        <v>307</v>
      </c>
      <c r="G796" s="54" t="s">
        <v>331</v>
      </c>
      <c r="H796" s="54" t="s">
        <v>306</v>
      </c>
      <c r="I796" s="54" t="s">
        <v>22</v>
      </c>
      <c r="J796" s="54" t="s">
        <v>299</v>
      </c>
      <c r="K796" s="54"/>
      <c r="L796" s="72">
        <v>10</v>
      </c>
      <c r="M796" s="72">
        <f>L796*VLOOKUP(I796,dagsoorttabel1,2,FALSE)</f>
        <v>7.8431372549019607E-2</v>
      </c>
      <c r="N796" s="73">
        <f>prodnorm28</f>
        <v>0</v>
      </c>
      <c r="O796" s="54" t="s">
        <v>105</v>
      </c>
      <c r="P796" s="55">
        <f>uurtarief28</f>
        <v>0</v>
      </c>
      <c r="Q796" s="72" t="e">
        <f>IF(ISBLANK(N796),0,M796/ROUND(N796,4))</f>
        <v>#DIV/0!</v>
      </c>
      <c r="R796" s="55" t="e">
        <f>ROUND(P796,2)*Q796</f>
        <v>#DIV/0!</v>
      </c>
      <c r="S796" s="72" t="e">
        <f>Q796*dagenperjaar1</f>
        <v>#DIV/0!</v>
      </c>
      <c r="T796" s="56" t="e">
        <f>S796*ROUND(P796,2)</f>
        <v>#DIV/0!</v>
      </c>
    </row>
    <row r="797" spans="1:20" x14ac:dyDescent="0.2">
      <c r="A797" s="50" t="s">
        <v>846</v>
      </c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2"/>
    </row>
    <row r="798" spans="1:20" x14ac:dyDescent="0.2">
      <c r="A798" s="53" t="s">
        <v>847</v>
      </c>
      <c r="B798" s="54" t="s">
        <v>37</v>
      </c>
      <c r="C798" s="54" t="s">
        <v>322</v>
      </c>
      <c r="D798" s="54" t="s">
        <v>323</v>
      </c>
      <c r="E798" s="54" t="s">
        <v>37</v>
      </c>
      <c r="F798" s="92" t="s">
        <v>307</v>
      </c>
      <c r="G798" s="54" t="s">
        <v>632</v>
      </c>
      <c r="H798" s="54" t="s">
        <v>306</v>
      </c>
      <c r="I798" s="54" t="s">
        <v>22</v>
      </c>
      <c r="J798" s="54" t="s">
        <v>299</v>
      </c>
      <c r="K798" s="54"/>
      <c r="L798" s="72">
        <v>4.0999999999999996</v>
      </c>
      <c r="M798" s="72">
        <f>L798*VLOOKUP(I798,dagsoorttabel1,2,FALSE)</f>
        <v>3.2156862745098033E-2</v>
      </c>
      <c r="N798" s="73">
        <f>prodnorm28</f>
        <v>0</v>
      </c>
      <c r="O798" s="54" t="s">
        <v>105</v>
      </c>
      <c r="P798" s="55">
        <f>uurtarief28</f>
        <v>0</v>
      </c>
      <c r="Q798" s="72" t="e">
        <f>IF(ISBLANK(N798),0,M798/ROUND(N798,4))</f>
        <v>#DIV/0!</v>
      </c>
      <c r="R798" s="55" t="e">
        <f>ROUND(P798,2)*Q798</f>
        <v>#DIV/0!</v>
      </c>
      <c r="S798" s="72" t="e">
        <f>Q798*dagenperjaar1</f>
        <v>#DIV/0!</v>
      </c>
      <c r="T798" s="56" t="e">
        <f>S798*ROUND(P798,2)</f>
        <v>#DIV/0!</v>
      </c>
    </row>
    <row r="799" spans="1:20" x14ac:dyDescent="0.2">
      <c r="A799" s="50" t="s">
        <v>848</v>
      </c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2"/>
    </row>
    <row r="800" spans="1:20" x14ac:dyDescent="0.2">
      <c r="A800" s="98" t="s">
        <v>849</v>
      </c>
      <c r="B800" s="99" t="s">
        <v>37</v>
      </c>
      <c r="C800" s="99" t="s">
        <v>733</v>
      </c>
      <c r="D800" s="99" t="s">
        <v>734</v>
      </c>
      <c r="E800" s="99" t="s">
        <v>37</v>
      </c>
      <c r="F800" s="100" t="s">
        <v>850</v>
      </c>
      <c r="G800" s="99" t="s">
        <v>369</v>
      </c>
      <c r="H800" s="99" t="s">
        <v>288</v>
      </c>
      <c r="I800" s="99" t="s">
        <v>22</v>
      </c>
      <c r="J800" s="99" t="s">
        <v>231</v>
      </c>
      <c r="K800" s="99"/>
      <c r="L800" s="101">
        <v>65.5</v>
      </c>
      <c r="M800" s="101">
        <f>L800*VLOOKUP(I800,dagsoorttabel1,2,FALSE)</f>
        <v>0.51372549019607838</v>
      </c>
      <c r="N800" s="102">
        <f>prodnorm137</f>
        <v>0</v>
      </c>
      <c r="O800" s="99" t="s">
        <v>105</v>
      </c>
      <c r="P800" s="103">
        <f>uurtarief137</f>
        <v>0</v>
      </c>
      <c r="Q800" s="101" t="e">
        <f>IF(ISBLANK(N800),0,M800/ROUND(N800,4))</f>
        <v>#DIV/0!</v>
      </c>
      <c r="R800" s="103" t="e">
        <f>ROUND(P800,2)*Q800</f>
        <v>#DIV/0!</v>
      </c>
      <c r="S800" s="101" t="e">
        <f>Q800*dagenperjaar1</f>
        <v>#DIV/0!</v>
      </c>
      <c r="T800" s="104" t="e">
        <f>S800*ROUND(P800,2)</f>
        <v>#DIV/0!</v>
      </c>
    </row>
    <row r="801" spans="1:20" x14ac:dyDescent="0.2">
      <c r="A801" s="105" t="s">
        <v>849</v>
      </c>
      <c r="B801" s="106" t="s">
        <v>37</v>
      </c>
      <c r="C801" s="106" t="s">
        <v>322</v>
      </c>
      <c r="D801" s="106" t="s">
        <v>323</v>
      </c>
      <c r="E801" s="106" t="s">
        <v>37</v>
      </c>
      <c r="F801" s="107" t="s">
        <v>307</v>
      </c>
      <c r="G801" s="106" t="s">
        <v>632</v>
      </c>
      <c r="H801" s="106" t="s">
        <v>306</v>
      </c>
      <c r="I801" s="106" t="s">
        <v>22</v>
      </c>
      <c r="J801" s="106" t="s">
        <v>299</v>
      </c>
      <c r="K801" s="106"/>
      <c r="L801" s="108">
        <v>20.399999999999999</v>
      </c>
      <c r="M801" s="108">
        <f>L801*VLOOKUP(I801,dagsoorttabel1,2,FALSE)</f>
        <v>0.15999999999999998</v>
      </c>
      <c r="N801" s="109">
        <f>prodnorm28</f>
        <v>0</v>
      </c>
      <c r="O801" s="106" t="s">
        <v>105</v>
      </c>
      <c r="P801" s="28">
        <f>uurtarief28</f>
        <v>0</v>
      </c>
      <c r="Q801" s="108" t="e">
        <f>IF(ISBLANK(N801),0,M801/ROUND(N801,4))</f>
        <v>#DIV/0!</v>
      </c>
      <c r="R801" s="28" t="e">
        <f>ROUND(P801,2)*Q801</f>
        <v>#DIV/0!</v>
      </c>
      <c r="S801" s="108" t="e">
        <f>Q801*dagenperjaar1</f>
        <v>#DIV/0!</v>
      </c>
      <c r="T801" s="29" t="e">
        <f>S801*ROUND(P801,2)</f>
        <v>#DIV/0!</v>
      </c>
    </row>
    <row r="802" spans="1:20" x14ac:dyDescent="0.2">
      <c r="A802" s="105" t="s">
        <v>849</v>
      </c>
      <c r="B802" s="106" t="s">
        <v>37</v>
      </c>
      <c r="C802" s="106" t="s">
        <v>322</v>
      </c>
      <c r="D802" s="106" t="s">
        <v>326</v>
      </c>
      <c r="E802" s="106" t="s">
        <v>37</v>
      </c>
      <c r="F802" s="107" t="s">
        <v>654</v>
      </c>
      <c r="G802" s="106" t="s">
        <v>851</v>
      </c>
      <c r="H802" s="106" t="s">
        <v>290</v>
      </c>
      <c r="I802" s="106" t="s">
        <v>22</v>
      </c>
      <c r="J802" s="106" t="s">
        <v>231</v>
      </c>
      <c r="K802" s="106"/>
      <c r="L802" s="108">
        <v>4</v>
      </c>
      <c r="M802" s="108">
        <f>L802*VLOOKUP(I802,dagsoorttabel1,2,FALSE)</f>
        <v>3.1372549019607843E-2</v>
      </c>
      <c r="N802" s="109">
        <f>prodnorm142</f>
        <v>0</v>
      </c>
      <c r="O802" s="106" t="s">
        <v>105</v>
      </c>
      <c r="P802" s="28">
        <f>uurtarief142</f>
        <v>0</v>
      </c>
      <c r="Q802" s="108" t="e">
        <f>IF(ISBLANK(N802),0,M802/ROUND(N802,4))</f>
        <v>#DIV/0!</v>
      </c>
      <c r="R802" s="28" t="e">
        <f>ROUND(P802,2)*Q802</f>
        <v>#DIV/0!</v>
      </c>
      <c r="S802" s="108" t="e">
        <f>Q802*dagenperjaar1</f>
        <v>#DIV/0!</v>
      </c>
      <c r="T802" s="29" t="e">
        <f>S802*ROUND(P802,2)</f>
        <v>#DIV/0!</v>
      </c>
    </row>
    <row r="803" spans="1:20" x14ac:dyDescent="0.2">
      <c r="A803" s="105" t="s">
        <v>849</v>
      </c>
      <c r="B803" s="106" t="s">
        <v>37</v>
      </c>
      <c r="C803" s="106" t="s">
        <v>322</v>
      </c>
      <c r="D803" s="106" t="s">
        <v>329</v>
      </c>
      <c r="E803" s="106" t="s">
        <v>37</v>
      </c>
      <c r="F803" s="107" t="s">
        <v>843</v>
      </c>
      <c r="G803" s="106" t="s">
        <v>660</v>
      </c>
      <c r="H803" s="106" t="s">
        <v>273</v>
      </c>
      <c r="I803" s="106" t="s">
        <v>22</v>
      </c>
      <c r="J803" s="106" t="s">
        <v>231</v>
      </c>
      <c r="K803" s="106"/>
      <c r="L803" s="108">
        <v>3</v>
      </c>
      <c r="M803" s="108">
        <f>L803*VLOOKUP(I803,dagsoorttabel1,2,FALSE)</f>
        <v>2.3529411764705882E-2</v>
      </c>
      <c r="N803" s="109">
        <f>prodnorm108</f>
        <v>0</v>
      </c>
      <c r="O803" s="106" t="s">
        <v>105</v>
      </c>
      <c r="P803" s="28">
        <f>uurtarief108</f>
        <v>0</v>
      </c>
      <c r="Q803" s="108" t="e">
        <f>IF(ISBLANK(N803),0,M803/ROUND(N803,4))</f>
        <v>#DIV/0!</v>
      </c>
      <c r="R803" s="28" t="e">
        <f>ROUND(P803,2)*Q803</f>
        <v>#DIV/0!</v>
      </c>
      <c r="S803" s="108" t="e">
        <f>Q803*dagenperjaar1</f>
        <v>#DIV/0!</v>
      </c>
      <c r="T803" s="29" t="e">
        <f>S803*ROUND(P803,2)</f>
        <v>#DIV/0!</v>
      </c>
    </row>
    <row r="804" spans="1:20" x14ac:dyDescent="0.2">
      <c r="A804" s="105" t="s">
        <v>849</v>
      </c>
      <c r="B804" s="106" t="s">
        <v>37</v>
      </c>
      <c r="C804" s="106" t="s">
        <v>322</v>
      </c>
      <c r="D804" s="106" t="s">
        <v>332</v>
      </c>
      <c r="E804" s="106" t="s">
        <v>37</v>
      </c>
      <c r="F804" s="107" t="s">
        <v>654</v>
      </c>
      <c r="G804" s="106" t="s">
        <v>851</v>
      </c>
      <c r="H804" s="106" t="s">
        <v>290</v>
      </c>
      <c r="I804" s="106" t="s">
        <v>22</v>
      </c>
      <c r="J804" s="106" t="s">
        <v>231</v>
      </c>
      <c r="K804" s="106"/>
      <c r="L804" s="108">
        <v>4</v>
      </c>
      <c r="M804" s="108">
        <f>L804*VLOOKUP(I804,dagsoorttabel1,2,FALSE)</f>
        <v>3.1372549019607843E-2</v>
      </c>
      <c r="N804" s="109">
        <f>prodnorm142</f>
        <v>0</v>
      </c>
      <c r="O804" s="106" t="s">
        <v>105</v>
      </c>
      <c r="P804" s="28">
        <f>uurtarief142</f>
        <v>0</v>
      </c>
      <c r="Q804" s="108" t="e">
        <f>IF(ISBLANK(N804),0,M804/ROUND(N804,4))</f>
        <v>#DIV/0!</v>
      </c>
      <c r="R804" s="28" t="e">
        <f>ROUND(P804,2)*Q804</f>
        <v>#DIV/0!</v>
      </c>
      <c r="S804" s="108" t="e">
        <f>Q804*dagenperjaar1</f>
        <v>#DIV/0!</v>
      </c>
      <c r="T804" s="29" t="e">
        <f>S804*ROUND(P804,2)</f>
        <v>#DIV/0!</v>
      </c>
    </row>
    <row r="805" spans="1:20" x14ac:dyDescent="0.2">
      <c r="A805" s="110" t="s">
        <v>849</v>
      </c>
      <c r="B805" s="111" t="s">
        <v>37</v>
      </c>
      <c r="C805" s="111" t="s">
        <v>322</v>
      </c>
      <c r="D805" s="111" t="s">
        <v>334</v>
      </c>
      <c r="E805" s="111" t="s">
        <v>37</v>
      </c>
      <c r="F805" s="112" t="s">
        <v>582</v>
      </c>
      <c r="G805" s="111" t="s">
        <v>369</v>
      </c>
      <c r="H805" s="111" t="s">
        <v>267</v>
      </c>
      <c r="I805" s="111" t="s">
        <v>22</v>
      </c>
      <c r="J805" s="111" t="s">
        <v>231</v>
      </c>
      <c r="K805" s="111"/>
      <c r="L805" s="113">
        <v>1</v>
      </c>
      <c r="M805" s="113">
        <f>L805*VLOOKUP(I805,dagsoorttabel1,2,FALSE)</f>
        <v>7.8431372549019607E-3</v>
      </c>
      <c r="N805" s="114">
        <f>prodnorm96</f>
        <v>0</v>
      </c>
      <c r="O805" s="111" t="s">
        <v>105</v>
      </c>
      <c r="P805" s="38">
        <f>uurtarief96</f>
        <v>0</v>
      </c>
      <c r="Q805" s="113" t="e">
        <f>IF(ISBLANK(N805),0,M805/ROUND(N805,4))</f>
        <v>#DIV/0!</v>
      </c>
      <c r="R805" s="38" t="e">
        <f>ROUND(P805,2)*Q805</f>
        <v>#DIV/0!</v>
      </c>
      <c r="S805" s="113" t="e">
        <f>Q805*dagenperjaar1</f>
        <v>#DIV/0!</v>
      </c>
      <c r="T805" s="39" t="e">
        <f>S805*ROUND(P805,2)</f>
        <v>#DIV/0!</v>
      </c>
    </row>
    <row r="806" spans="1:20" x14ac:dyDescent="0.2">
      <c r="A806" s="115" t="s">
        <v>546</v>
      </c>
      <c r="B806" s="83"/>
      <c r="C806" s="83"/>
      <c r="D806" s="83"/>
      <c r="E806" s="83"/>
      <c r="F806" s="83"/>
      <c r="G806" s="83"/>
      <c r="H806" s="83"/>
      <c r="I806" s="83"/>
      <c r="J806" s="83"/>
      <c r="K806" s="83"/>
      <c r="L806" s="83"/>
      <c r="M806" s="83"/>
      <c r="N806" s="83"/>
      <c r="O806" s="83"/>
      <c r="P806" s="85" t="e">
        <f>IF(_xlfn.SINGLE(object51_urenjaar1)&gt;0,_xlfn.SINGLE(object51_prijsjaar1)/_xlfn.SINGLE(object51_urenjaar1),0)</f>
        <v>#DIV/0!</v>
      </c>
      <c r="Q806" s="84" t="e">
        <f>SUM(Q800:Q805)</f>
        <v>#DIV/0!</v>
      </c>
      <c r="R806" s="85" t="e">
        <f>SUM(R800:R805)</f>
        <v>#DIV/0!</v>
      </c>
      <c r="S806" s="84" t="e">
        <f>SUM(S800:S805)</f>
        <v>#DIV/0!</v>
      </c>
      <c r="T806" s="86" t="e">
        <f>SUM(T800:T805)</f>
        <v>#DIV/0!</v>
      </c>
    </row>
    <row r="807" spans="1:20" x14ac:dyDescent="0.2">
      <c r="A807" s="91" t="s">
        <v>852</v>
      </c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81"/>
    </row>
    <row r="808" spans="1:20" x14ac:dyDescent="0.2">
      <c r="A808" s="98" t="s">
        <v>853</v>
      </c>
      <c r="B808" s="99" t="s">
        <v>37</v>
      </c>
      <c r="C808" s="99" t="s">
        <v>322</v>
      </c>
      <c r="D808" s="99" t="s">
        <v>323</v>
      </c>
      <c r="E808" s="99" t="s">
        <v>37</v>
      </c>
      <c r="F808" s="100" t="s">
        <v>307</v>
      </c>
      <c r="G808" s="99" t="s">
        <v>632</v>
      </c>
      <c r="H808" s="99" t="s">
        <v>306</v>
      </c>
      <c r="I808" s="99" t="s">
        <v>22</v>
      </c>
      <c r="J808" s="99" t="s">
        <v>299</v>
      </c>
      <c r="K808" s="99"/>
      <c r="L808" s="101">
        <v>5.3</v>
      </c>
      <c r="M808" s="101">
        <f>L808*VLOOKUP(I808,dagsoorttabel1,2,FALSE)</f>
        <v>4.1568627450980389E-2</v>
      </c>
      <c r="N808" s="102">
        <f>prodnorm28</f>
        <v>0</v>
      </c>
      <c r="O808" s="99" t="s">
        <v>105</v>
      </c>
      <c r="P808" s="103">
        <f>uurtarief28</f>
        <v>0</v>
      </c>
      <c r="Q808" s="101" t="e">
        <f>IF(ISBLANK(N808),0,M808/ROUND(N808,4))</f>
        <v>#DIV/0!</v>
      </c>
      <c r="R808" s="103" t="e">
        <f>ROUND(P808,2)*Q808</f>
        <v>#DIV/0!</v>
      </c>
      <c r="S808" s="101" t="e">
        <f>Q808*dagenperjaar1</f>
        <v>#DIV/0!</v>
      </c>
      <c r="T808" s="104" t="e">
        <f>S808*ROUND(P808,2)</f>
        <v>#DIV/0!</v>
      </c>
    </row>
    <row r="809" spans="1:20" x14ac:dyDescent="0.2">
      <c r="A809" s="105" t="s">
        <v>853</v>
      </c>
      <c r="B809" s="106" t="s">
        <v>37</v>
      </c>
      <c r="C809" s="106" t="s">
        <v>322</v>
      </c>
      <c r="D809" s="106" t="s">
        <v>326</v>
      </c>
      <c r="E809" s="106" t="s">
        <v>37</v>
      </c>
      <c r="F809" s="107" t="s">
        <v>307</v>
      </c>
      <c r="G809" s="106" t="s">
        <v>660</v>
      </c>
      <c r="H809" s="106" t="s">
        <v>306</v>
      </c>
      <c r="I809" s="106" t="s">
        <v>22</v>
      </c>
      <c r="J809" s="106" t="s">
        <v>299</v>
      </c>
      <c r="K809" s="106"/>
      <c r="L809" s="108">
        <v>2</v>
      </c>
      <c r="M809" s="108">
        <f>L809*VLOOKUP(I809,dagsoorttabel1,2,FALSE)</f>
        <v>1.5686274509803921E-2</v>
      </c>
      <c r="N809" s="109">
        <f>prodnorm28</f>
        <v>0</v>
      </c>
      <c r="O809" s="106" t="s">
        <v>105</v>
      </c>
      <c r="P809" s="28">
        <f>uurtarief28</f>
        <v>0</v>
      </c>
      <c r="Q809" s="108" t="e">
        <f>IF(ISBLANK(N809),0,M809/ROUND(N809,4))</f>
        <v>#DIV/0!</v>
      </c>
      <c r="R809" s="28" t="e">
        <f>ROUND(P809,2)*Q809</f>
        <v>#DIV/0!</v>
      </c>
      <c r="S809" s="108" t="e">
        <f>Q809*dagenperjaar1</f>
        <v>#DIV/0!</v>
      </c>
      <c r="T809" s="29" t="e">
        <f>S809*ROUND(P809,2)</f>
        <v>#DIV/0!</v>
      </c>
    </row>
    <row r="810" spans="1:20" x14ac:dyDescent="0.2">
      <c r="A810" s="105" t="s">
        <v>853</v>
      </c>
      <c r="B810" s="106" t="s">
        <v>37</v>
      </c>
      <c r="C810" s="106" t="s">
        <v>322</v>
      </c>
      <c r="D810" s="106" t="s">
        <v>329</v>
      </c>
      <c r="E810" s="106" t="s">
        <v>37</v>
      </c>
      <c r="F810" s="107" t="s">
        <v>307</v>
      </c>
      <c r="G810" s="106" t="s">
        <v>331</v>
      </c>
      <c r="H810" s="106" t="s">
        <v>306</v>
      </c>
      <c r="I810" s="106" t="s">
        <v>22</v>
      </c>
      <c r="J810" s="106" t="s">
        <v>299</v>
      </c>
      <c r="K810" s="106"/>
      <c r="L810" s="108">
        <v>9.5</v>
      </c>
      <c r="M810" s="108">
        <f>L810*VLOOKUP(I810,dagsoorttabel1,2,FALSE)</f>
        <v>7.4509803921568626E-2</v>
      </c>
      <c r="N810" s="109">
        <f>prodnorm28</f>
        <v>0</v>
      </c>
      <c r="O810" s="106" t="s">
        <v>105</v>
      </c>
      <c r="P810" s="28">
        <f>uurtarief28</f>
        <v>0</v>
      </c>
      <c r="Q810" s="108" t="e">
        <f>IF(ISBLANK(N810),0,M810/ROUND(N810,4))</f>
        <v>#DIV/0!</v>
      </c>
      <c r="R810" s="28" t="e">
        <f>ROUND(P810,2)*Q810</f>
        <v>#DIV/0!</v>
      </c>
      <c r="S810" s="108" t="e">
        <f>Q810*dagenperjaar1</f>
        <v>#DIV/0!</v>
      </c>
      <c r="T810" s="29" t="e">
        <f>S810*ROUND(P810,2)</f>
        <v>#DIV/0!</v>
      </c>
    </row>
    <row r="811" spans="1:20" x14ac:dyDescent="0.2">
      <c r="A811" s="110" t="s">
        <v>853</v>
      </c>
      <c r="B811" s="111" t="s">
        <v>37</v>
      </c>
      <c r="C811" s="111" t="s">
        <v>322</v>
      </c>
      <c r="D811" s="111" t="s">
        <v>332</v>
      </c>
      <c r="E811" s="111" t="s">
        <v>37</v>
      </c>
      <c r="F811" s="112" t="s">
        <v>582</v>
      </c>
      <c r="G811" s="111" t="s">
        <v>632</v>
      </c>
      <c r="H811" s="111" t="s">
        <v>267</v>
      </c>
      <c r="I811" s="111" t="s">
        <v>22</v>
      </c>
      <c r="J811" s="111" t="s">
        <v>231</v>
      </c>
      <c r="K811" s="111"/>
      <c r="L811" s="113">
        <v>1.6</v>
      </c>
      <c r="M811" s="113">
        <f>L811*VLOOKUP(I811,dagsoorttabel1,2,FALSE)</f>
        <v>1.2549019607843138E-2</v>
      </c>
      <c r="N811" s="114">
        <f>prodnorm96</f>
        <v>0</v>
      </c>
      <c r="O811" s="111" t="s">
        <v>105</v>
      </c>
      <c r="P811" s="38">
        <f>uurtarief96</f>
        <v>0</v>
      </c>
      <c r="Q811" s="113" t="e">
        <f>IF(ISBLANK(N811),0,M811/ROUND(N811,4))</f>
        <v>#DIV/0!</v>
      </c>
      <c r="R811" s="38" t="e">
        <f>ROUND(P811,2)*Q811</f>
        <v>#DIV/0!</v>
      </c>
      <c r="S811" s="113" t="e">
        <f>Q811*dagenperjaar1</f>
        <v>#DIV/0!</v>
      </c>
      <c r="T811" s="39" t="e">
        <f>S811*ROUND(P811,2)</f>
        <v>#DIV/0!</v>
      </c>
    </row>
    <row r="812" spans="1:20" x14ac:dyDescent="0.2">
      <c r="A812" s="115" t="s">
        <v>546</v>
      </c>
      <c r="B812" s="83"/>
      <c r="C812" s="83"/>
      <c r="D812" s="83"/>
      <c r="E812" s="83"/>
      <c r="F812" s="83"/>
      <c r="G812" s="83"/>
      <c r="H812" s="83"/>
      <c r="I812" s="83"/>
      <c r="J812" s="83"/>
      <c r="K812" s="83"/>
      <c r="L812" s="83"/>
      <c r="M812" s="83"/>
      <c r="N812" s="83"/>
      <c r="O812" s="83"/>
      <c r="P812" s="85" t="e">
        <f>IF(_xlfn.SINGLE(object52_urenjaar1)&gt;0,_xlfn.SINGLE(object52_prijsjaar1)/_xlfn.SINGLE(object52_urenjaar1),0)</f>
        <v>#DIV/0!</v>
      </c>
      <c r="Q812" s="84" t="e">
        <f>SUM(Q808:Q811)</f>
        <v>#DIV/0!</v>
      </c>
      <c r="R812" s="85" t="e">
        <f>SUM(R808:R811)</f>
        <v>#DIV/0!</v>
      </c>
      <c r="S812" s="84" t="e">
        <f>SUM(S808:S811)</f>
        <v>#DIV/0!</v>
      </c>
      <c r="T812" s="86" t="e">
        <f>SUM(T808:T811)</f>
        <v>#DIV/0!</v>
      </c>
    </row>
    <row r="813" spans="1:20" x14ac:dyDescent="0.2">
      <c r="A813" s="91" t="s">
        <v>854</v>
      </c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81"/>
    </row>
    <row r="814" spans="1:20" x14ac:dyDescent="0.2">
      <c r="A814" s="53" t="s">
        <v>855</v>
      </c>
      <c r="B814" s="54" t="s">
        <v>37</v>
      </c>
      <c r="C814" s="54" t="s">
        <v>322</v>
      </c>
      <c r="D814" s="54" t="s">
        <v>323</v>
      </c>
      <c r="E814" s="54" t="s">
        <v>37</v>
      </c>
      <c r="F814" s="92" t="s">
        <v>307</v>
      </c>
      <c r="G814" s="54" t="s">
        <v>632</v>
      </c>
      <c r="H814" s="54" t="s">
        <v>306</v>
      </c>
      <c r="I814" s="54" t="s">
        <v>22</v>
      </c>
      <c r="J814" s="54" t="s">
        <v>299</v>
      </c>
      <c r="K814" s="54"/>
      <c r="L814" s="72">
        <v>4.5999999999999996</v>
      </c>
      <c r="M814" s="72">
        <f>L814*VLOOKUP(I814,dagsoorttabel1,2,FALSE)</f>
        <v>3.6078431372549014E-2</v>
      </c>
      <c r="N814" s="73">
        <f>prodnorm28</f>
        <v>0</v>
      </c>
      <c r="O814" s="54" t="s">
        <v>105</v>
      </c>
      <c r="P814" s="55">
        <f>uurtarief28</f>
        <v>0</v>
      </c>
      <c r="Q814" s="72" t="e">
        <f>IF(ISBLANK(N814),0,M814/ROUND(N814,4))</f>
        <v>#DIV/0!</v>
      </c>
      <c r="R814" s="55" t="e">
        <f>ROUND(P814,2)*Q814</f>
        <v>#DIV/0!</v>
      </c>
      <c r="S814" s="72" t="e">
        <f>Q814*dagenperjaar1</f>
        <v>#DIV/0!</v>
      </c>
      <c r="T814" s="56" t="e">
        <f>S814*ROUND(P814,2)</f>
        <v>#DIV/0!</v>
      </c>
    </row>
    <row r="815" spans="1:20" x14ac:dyDescent="0.2">
      <c r="A815" s="50" t="s">
        <v>856</v>
      </c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2"/>
    </row>
    <row r="816" spans="1:20" x14ac:dyDescent="0.2">
      <c r="A816" s="98" t="s">
        <v>857</v>
      </c>
      <c r="B816" s="99" t="s">
        <v>37</v>
      </c>
      <c r="C816" s="99" t="s">
        <v>322</v>
      </c>
      <c r="D816" s="99" t="s">
        <v>323</v>
      </c>
      <c r="E816" s="99" t="s">
        <v>37</v>
      </c>
      <c r="F816" s="100" t="s">
        <v>615</v>
      </c>
      <c r="G816" s="99" t="s">
        <v>369</v>
      </c>
      <c r="H816" s="99" t="s">
        <v>267</v>
      </c>
      <c r="I816" s="99" t="s">
        <v>22</v>
      </c>
      <c r="J816" s="99" t="s">
        <v>231</v>
      </c>
      <c r="K816" s="99"/>
      <c r="L816" s="101">
        <v>1.5</v>
      </c>
      <c r="M816" s="101">
        <f>L816*VLOOKUP(I816,dagsoorttabel1,2,FALSE)</f>
        <v>1.1764705882352941E-2</v>
      </c>
      <c r="N816" s="102">
        <f>prodnorm96</f>
        <v>0</v>
      </c>
      <c r="O816" s="99" t="s">
        <v>105</v>
      </c>
      <c r="P816" s="103">
        <f>uurtarief96</f>
        <v>0</v>
      </c>
      <c r="Q816" s="101" t="e">
        <f>IF(ISBLANK(N816),0,M816/ROUND(N816,4))</f>
        <v>#DIV/0!</v>
      </c>
      <c r="R816" s="103" t="e">
        <f>ROUND(P816,2)*Q816</f>
        <v>#DIV/0!</v>
      </c>
      <c r="S816" s="101" t="e">
        <f>Q816*dagenperjaar1</f>
        <v>#DIV/0!</v>
      </c>
      <c r="T816" s="104" t="e">
        <f>S816*ROUND(P816,2)</f>
        <v>#DIV/0!</v>
      </c>
    </row>
    <row r="817" spans="1:20" x14ac:dyDescent="0.2">
      <c r="A817" s="110" t="s">
        <v>857</v>
      </c>
      <c r="B817" s="111" t="s">
        <v>37</v>
      </c>
      <c r="C817" s="111" t="s">
        <v>322</v>
      </c>
      <c r="D817" s="111" t="s">
        <v>326</v>
      </c>
      <c r="E817" s="111" t="s">
        <v>37</v>
      </c>
      <c r="F817" s="112" t="s">
        <v>307</v>
      </c>
      <c r="G817" s="111" t="s">
        <v>369</v>
      </c>
      <c r="H817" s="111" t="s">
        <v>306</v>
      </c>
      <c r="I817" s="111" t="s">
        <v>22</v>
      </c>
      <c r="J817" s="111" t="s">
        <v>299</v>
      </c>
      <c r="K817" s="111"/>
      <c r="L817" s="113">
        <v>11.2</v>
      </c>
      <c r="M817" s="113">
        <f>L817*VLOOKUP(I817,dagsoorttabel1,2,FALSE)</f>
        <v>8.7843137254901948E-2</v>
      </c>
      <c r="N817" s="114">
        <f>prodnorm28</f>
        <v>0</v>
      </c>
      <c r="O817" s="111" t="s">
        <v>105</v>
      </c>
      <c r="P817" s="38">
        <f>uurtarief28</f>
        <v>0</v>
      </c>
      <c r="Q817" s="113" t="e">
        <f>IF(ISBLANK(N817),0,M817/ROUND(N817,4))</f>
        <v>#DIV/0!</v>
      </c>
      <c r="R817" s="38" t="e">
        <f>ROUND(P817,2)*Q817</f>
        <v>#DIV/0!</v>
      </c>
      <c r="S817" s="113" t="e">
        <f>Q817*dagenperjaar1</f>
        <v>#DIV/0!</v>
      </c>
      <c r="T817" s="39" t="e">
        <f>S817*ROUND(P817,2)</f>
        <v>#DIV/0!</v>
      </c>
    </row>
    <row r="818" spans="1:20" x14ac:dyDescent="0.2">
      <c r="A818" s="115" t="s">
        <v>546</v>
      </c>
      <c r="B818" s="83"/>
      <c r="C818" s="83"/>
      <c r="D818" s="83"/>
      <c r="E818" s="83"/>
      <c r="F818" s="83"/>
      <c r="G818" s="83"/>
      <c r="H818" s="83"/>
      <c r="I818" s="83"/>
      <c r="J818" s="83"/>
      <c r="K818" s="83"/>
      <c r="L818" s="83"/>
      <c r="M818" s="83"/>
      <c r="N818" s="83"/>
      <c r="O818" s="83"/>
      <c r="P818" s="85" t="e">
        <f>IF(_xlfn.SINGLE(object54_urenjaar1)&gt;0,_xlfn.SINGLE(object54_prijsjaar1)/_xlfn.SINGLE(object54_urenjaar1),0)</f>
        <v>#DIV/0!</v>
      </c>
      <c r="Q818" s="84" t="e">
        <f>SUM(Q816:Q817)</f>
        <v>#DIV/0!</v>
      </c>
      <c r="R818" s="85" t="e">
        <f>SUM(R816:R817)</f>
        <v>#DIV/0!</v>
      </c>
      <c r="S818" s="84" t="e">
        <f>SUM(S816:S817)</f>
        <v>#DIV/0!</v>
      </c>
      <c r="T818" s="86" t="e">
        <f>SUM(T816:T817)</f>
        <v>#DIV/0!</v>
      </c>
    </row>
    <row r="819" spans="1:20" x14ac:dyDescent="0.2">
      <c r="A819" s="91" t="s">
        <v>858</v>
      </c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81"/>
    </row>
    <row r="820" spans="1:20" x14ac:dyDescent="0.2">
      <c r="A820" s="98" t="s">
        <v>859</v>
      </c>
      <c r="B820" s="99" t="s">
        <v>37</v>
      </c>
      <c r="C820" s="99" t="s">
        <v>322</v>
      </c>
      <c r="D820" s="99" t="s">
        <v>323</v>
      </c>
      <c r="E820" s="99" t="s">
        <v>37</v>
      </c>
      <c r="F820" s="100" t="s">
        <v>307</v>
      </c>
      <c r="G820" s="99" t="s">
        <v>369</v>
      </c>
      <c r="H820" s="99" t="s">
        <v>306</v>
      </c>
      <c r="I820" s="99" t="s">
        <v>22</v>
      </c>
      <c r="J820" s="99" t="s">
        <v>299</v>
      </c>
      <c r="K820" s="99"/>
      <c r="L820" s="101">
        <v>20.100000000000001</v>
      </c>
      <c r="M820" s="101">
        <f>L820*VLOOKUP(I820,dagsoorttabel1,2,FALSE)</f>
        <v>0.15764705882352942</v>
      </c>
      <c r="N820" s="102">
        <f>prodnorm28</f>
        <v>0</v>
      </c>
      <c r="O820" s="99" t="s">
        <v>105</v>
      </c>
      <c r="P820" s="103">
        <f>uurtarief28</f>
        <v>0</v>
      </c>
      <c r="Q820" s="101" t="e">
        <f>IF(ISBLANK(N820),0,M820/ROUND(N820,4))</f>
        <v>#DIV/0!</v>
      </c>
      <c r="R820" s="103" t="e">
        <f>ROUND(P820,2)*Q820</f>
        <v>#DIV/0!</v>
      </c>
      <c r="S820" s="101" t="e">
        <f>Q820*dagenperjaar1</f>
        <v>#DIV/0!</v>
      </c>
      <c r="T820" s="104" t="e">
        <f>S820*ROUND(P820,2)</f>
        <v>#DIV/0!</v>
      </c>
    </row>
    <row r="821" spans="1:20" x14ac:dyDescent="0.2">
      <c r="A821" s="105" t="s">
        <v>859</v>
      </c>
      <c r="B821" s="106" t="s">
        <v>37</v>
      </c>
      <c r="C821" s="106" t="s">
        <v>322</v>
      </c>
      <c r="D821" s="106" t="s">
        <v>326</v>
      </c>
      <c r="E821" s="106" t="s">
        <v>37</v>
      </c>
      <c r="F821" s="107" t="s">
        <v>654</v>
      </c>
      <c r="G821" s="106" t="s">
        <v>660</v>
      </c>
      <c r="H821" s="106" t="s">
        <v>290</v>
      </c>
      <c r="I821" s="106" t="s">
        <v>22</v>
      </c>
      <c r="J821" s="106" t="s">
        <v>231</v>
      </c>
      <c r="K821" s="106"/>
      <c r="L821" s="108">
        <v>18</v>
      </c>
      <c r="M821" s="108">
        <f>L821*VLOOKUP(I821,dagsoorttabel1,2,FALSE)</f>
        <v>0.14117647058823529</v>
      </c>
      <c r="N821" s="109">
        <f>prodnorm142</f>
        <v>0</v>
      </c>
      <c r="O821" s="106" t="s">
        <v>105</v>
      </c>
      <c r="P821" s="28">
        <f>uurtarief142</f>
        <v>0</v>
      </c>
      <c r="Q821" s="108" t="e">
        <f>IF(ISBLANK(N821),0,M821/ROUND(N821,4))</f>
        <v>#DIV/0!</v>
      </c>
      <c r="R821" s="28" t="e">
        <f>ROUND(P821,2)*Q821</f>
        <v>#DIV/0!</v>
      </c>
      <c r="S821" s="108" t="e">
        <f>Q821*dagenperjaar1</f>
        <v>#DIV/0!</v>
      </c>
      <c r="T821" s="29" t="e">
        <f>S821*ROUND(P821,2)</f>
        <v>#DIV/0!</v>
      </c>
    </row>
    <row r="822" spans="1:20" x14ac:dyDescent="0.2">
      <c r="A822" s="110" t="s">
        <v>859</v>
      </c>
      <c r="B822" s="111" t="s">
        <v>37</v>
      </c>
      <c r="C822" s="111" t="s">
        <v>322</v>
      </c>
      <c r="D822" s="111" t="s">
        <v>329</v>
      </c>
      <c r="E822" s="111" t="s">
        <v>37</v>
      </c>
      <c r="F822" s="112" t="s">
        <v>615</v>
      </c>
      <c r="G822" s="111" t="s">
        <v>369</v>
      </c>
      <c r="H822" s="111" t="s">
        <v>267</v>
      </c>
      <c r="I822" s="111" t="s">
        <v>22</v>
      </c>
      <c r="J822" s="111" t="s">
        <v>231</v>
      </c>
      <c r="K822" s="111"/>
      <c r="L822" s="113">
        <v>2.1</v>
      </c>
      <c r="M822" s="113">
        <f>L822*VLOOKUP(I822,dagsoorttabel1,2,FALSE)</f>
        <v>1.6470588235294119E-2</v>
      </c>
      <c r="N822" s="114">
        <f>prodnorm96</f>
        <v>0</v>
      </c>
      <c r="O822" s="111" t="s">
        <v>105</v>
      </c>
      <c r="P822" s="38">
        <f>uurtarief96</f>
        <v>0</v>
      </c>
      <c r="Q822" s="113" t="e">
        <f>IF(ISBLANK(N822),0,M822/ROUND(N822,4))</f>
        <v>#DIV/0!</v>
      </c>
      <c r="R822" s="38" t="e">
        <f>ROUND(P822,2)*Q822</f>
        <v>#DIV/0!</v>
      </c>
      <c r="S822" s="113" t="e">
        <f>Q822*dagenperjaar1</f>
        <v>#DIV/0!</v>
      </c>
      <c r="T822" s="39" t="e">
        <f>S822*ROUND(P822,2)</f>
        <v>#DIV/0!</v>
      </c>
    </row>
    <row r="823" spans="1:20" x14ac:dyDescent="0.2">
      <c r="A823" s="115" t="s">
        <v>546</v>
      </c>
      <c r="B823" s="83"/>
      <c r="C823" s="83"/>
      <c r="D823" s="83"/>
      <c r="E823" s="83"/>
      <c r="F823" s="83"/>
      <c r="G823" s="83"/>
      <c r="H823" s="83"/>
      <c r="I823" s="83"/>
      <c r="J823" s="83"/>
      <c r="K823" s="83"/>
      <c r="L823" s="83"/>
      <c r="M823" s="83"/>
      <c r="N823" s="83"/>
      <c r="O823" s="83"/>
      <c r="P823" s="85" t="e">
        <f>IF(_xlfn.SINGLE(object55_urenjaar1)&gt;0,_xlfn.SINGLE(object55_prijsjaar1)/_xlfn.SINGLE(object55_urenjaar1),0)</f>
        <v>#DIV/0!</v>
      </c>
      <c r="Q823" s="84" t="e">
        <f>SUM(Q820:Q822)</f>
        <v>#DIV/0!</v>
      </c>
      <c r="R823" s="85" t="e">
        <f>SUM(R820:R822)</f>
        <v>#DIV/0!</v>
      </c>
      <c r="S823" s="84" t="e">
        <f>SUM(S820:S822)</f>
        <v>#DIV/0!</v>
      </c>
      <c r="T823" s="86" t="e">
        <f>SUM(T820:T822)</f>
        <v>#DIV/0!</v>
      </c>
    </row>
    <row r="824" spans="1:20" x14ac:dyDescent="0.2">
      <c r="A824" s="91" t="s">
        <v>860</v>
      </c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81"/>
    </row>
    <row r="825" spans="1:20" x14ac:dyDescent="0.2">
      <c r="A825" s="98" t="s">
        <v>861</v>
      </c>
      <c r="B825" s="99" t="s">
        <v>37</v>
      </c>
      <c r="C825" s="99" t="s">
        <v>733</v>
      </c>
      <c r="D825" s="99" t="s">
        <v>734</v>
      </c>
      <c r="E825" s="99" t="s">
        <v>37</v>
      </c>
      <c r="F825" s="100" t="s">
        <v>582</v>
      </c>
      <c r="G825" s="99" t="s">
        <v>369</v>
      </c>
      <c r="H825" s="99" t="s">
        <v>267</v>
      </c>
      <c r="I825" s="99" t="s">
        <v>22</v>
      </c>
      <c r="J825" s="99" t="s">
        <v>231</v>
      </c>
      <c r="K825" s="99"/>
      <c r="L825" s="101">
        <v>27.5</v>
      </c>
      <c r="M825" s="101">
        <f>L825*VLOOKUP(I825,dagsoorttabel1,2,FALSE)</f>
        <v>0.21568627450980393</v>
      </c>
      <c r="N825" s="102">
        <f>prodnorm96</f>
        <v>0</v>
      </c>
      <c r="O825" s="99" t="s">
        <v>105</v>
      </c>
      <c r="P825" s="103">
        <f>uurtarief96</f>
        <v>0</v>
      </c>
      <c r="Q825" s="101" t="e">
        <f>IF(ISBLANK(N825),0,M825/ROUND(N825,4))</f>
        <v>#DIV/0!</v>
      </c>
      <c r="R825" s="103" t="e">
        <f>ROUND(P825,2)*Q825</f>
        <v>#DIV/0!</v>
      </c>
      <c r="S825" s="101" t="e">
        <f>Q825*dagenperjaar1</f>
        <v>#DIV/0!</v>
      </c>
      <c r="T825" s="104" t="e">
        <f>S825*ROUND(P825,2)</f>
        <v>#DIV/0!</v>
      </c>
    </row>
    <row r="826" spans="1:20" x14ac:dyDescent="0.2">
      <c r="A826" s="105" t="s">
        <v>861</v>
      </c>
      <c r="B826" s="106" t="s">
        <v>37</v>
      </c>
      <c r="C826" s="106" t="s">
        <v>322</v>
      </c>
      <c r="D826" s="106" t="s">
        <v>323</v>
      </c>
      <c r="E826" s="106" t="s">
        <v>37</v>
      </c>
      <c r="F826" s="107" t="s">
        <v>307</v>
      </c>
      <c r="G826" s="106" t="s">
        <v>369</v>
      </c>
      <c r="H826" s="106" t="s">
        <v>306</v>
      </c>
      <c r="I826" s="106" t="s">
        <v>22</v>
      </c>
      <c r="J826" s="106" t="s">
        <v>299</v>
      </c>
      <c r="K826" s="106"/>
      <c r="L826" s="108">
        <v>19</v>
      </c>
      <c r="M826" s="108">
        <f>L826*VLOOKUP(I826,dagsoorttabel1,2,FALSE)</f>
        <v>0.14901960784313725</v>
      </c>
      <c r="N826" s="109">
        <f>prodnorm28</f>
        <v>0</v>
      </c>
      <c r="O826" s="106" t="s">
        <v>105</v>
      </c>
      <c r="P826" s="28">
        <f>uurtarief28</f>
        <v>0</v>
      </c>
      <c r="Q826" s="108" t="e">
        <f>IF(ISBLANK(N826),0,M826/ROUND(N826,4))</f>
        <v>#DIV/0!</v>
      </c>
      <c r="R826" s="28" t="e">
        <f>ROUND(P826,2)*Q826</f>
        <v>#DIV/0!</v>
      </c>
      <c r="S826" s="108" t="e">
        <f>Q826*dagenperjaar1</f>
        <v>#DIV/0!</v>
      </c>
      <c r="T826" s="29" t="e">
        <f>S826*ROUND(P826,2)</f>
        <v>#DIV/0!</v>
      </c>
    </row>
    <row r="827" spans="1:20" x14ac:dyDescent="0.2">
      <c r="A827" s="105" t="s">
        <v>861</v>
      </c>
      <c r="B827" s="106" t="s">
        <v>37</v>
      </c>
      <c r="C827" s="106" t="s">
        <v>322</v>
      </c>
      <c r="D827" s="106" t="s">
        <v>326</v>
      </c>
      <c r="E827" s="106" t="s">
        <v>37</v>
      </c>
      <c r="F827" s="107" t="s">
        <v>654</v>
      </c>
      <c r="G827" s="106" t="s">
        <v>660</v>
      </c>
      <c r="H827" s="106" t="s">
        <v>290</v>
      </c>
      <c r="I827" s="106" t="s">
        <v>22</v>
      </c>
      <c r="J827" s="106" t="s">
        <v>231</v>
      </c>
      <c r="K827" s="106"/>
      <c r="L827" s="108">
        <v>5</v>
      </c>
      <c r="M827" s="108">
        <f>L827*VLOOKUP(I827,dagsoorttabel1,2,FALSE)</f>
        <v>3.9215686274509803E-2</v>
      </c>
      <c r="N827" s="109">
        <f>prodnorm142</f>
        <v>0</v>
      </c>
      <c r="O827" s="106" t="s">
        <v>105</v>
      </c>
      <c r="P827" s="28">
        <f>uurtarief142</f>
        <v>0</v>
      </c>
      <c r="Q827" s="108" t="e">
        <f>IF(ISBLANK(N827),0,M827/ROUND(N827,4))</f>
        <v>#DIV/0!</v>
      </c>
      <c r="R827" s="28" t="e">
        <f>ROUND(P827,2)*Q827</f>
        <v>#DIV/0!</v>
      </c>
      <c r="S827" s="108" t="e">
        <f>Q827*dagenperjaar1</f>
        <v>#DIV/0!</v>
      </c>
      <c r="T827" s="29" t="e">
        <f>S827*ROUND(P827,2)</f>
        <v>#DIV/0!</v>
      </c>
    </row>
    <row r="828" spans="1:20" x14ac:dyDescent="0.2">
      <c r="A828" s="110" t="s">
        <v>861</v>
      </c>
      <c r="B828" s="111" t="s">
        <v>37</v>
      </c>
      <c r="C828" s="111" t="s">
        <v>322</v>
      </c>
      <c r="D828" s="111" t="s">
        <v>329</v>
      </c>
      <c r="E828" s="111" t="s">
        <v>37</v>
      </c>
      <c r="F828" s="112" t="s">
        <v>582</v>
      </c>
      <c r="G828" s="111" t="s">
        <v>369</v>
      </c>
      <c r="H828" s="111" t="s">
        <v>267</v>
      </c>
      <c r="I828" s="111" t="s">
        <v>22</v>
      </c>
      <c r="J828" s="111" t="s">
        <v>231</v>
      </c>
      <c r="K828" s="111"/>
      <c r="L828" s="113">
        <v>1</v>
      </c>
      <c r="M828" s="113">
        <f>L828*VLOOKUP(I828,dagsoorttabel1,2,FALSE)</f>
        <v>7.8431372549019607E-3</v>
      </c>
      <c r="N828" s="114">
        <f>prodnorm96</f>
        <v>0</v>
      </c>
      <c r="O828" s="111" t="s">
        <v>105</v>
      </c>
      <c r="P828" s="38">
        <f>uurtarief96</f>
        <v>0</v>
      </c>
      <c r="Q828" s="113" t="e">
        <f>IF(ISBLANK(N828),0,M828/ROUND(N828,4))</f>
        <v>#DIV/0!</v>
      </c>
      <c r="R828" s="38" t="e">
        <f>ROUND(P828,2)*Q828</f>
        <v>#DIV/0!</v>
      </c>
      <c r="S828" s="113" t="e">
        <f>Q828*dagenperjaar1</f>
        <v>#DIV/0!</v>
      </c>
      <c r="T828" s="39" t="e">
        <f>S828*ROUND(P828,2)</f>
        <v>#DIV/0!</v>
      </c>
    </row>
    <row r="829" spans="1:20" x14ac:dyDescent="0.2">
      <c r="A829" s="115" t="s">
        <v>546</v>
      </c>
      <c r="B829" s="83"/>
      <c r="C829" s="83"/>
      <c r="D829" s="83"/>
      <c r="E829" s="83"/>
      <c r="F829" s="83"/>
      <c r="G829" s="83"/>
      <c r="H829" s="83"/>
      <c r="I829" s="83"/>
      <c r="J829" s="83"/>
      <c r="K829" s="83"/>
      <c r="L829" s="83"/>
      <c r="M829" s="83"/>
      <c r="N829" s="83"/>
      <c r="O829" s="83"/>
      <c r="P829" s="85" t="e">
        <f>IF(_xlfn.SINGLE(object56_urenjaar1)&gt;0,_xlfn.SINGLE(object56_prijsjaar1)/_xlfn.SINGLE(object56_urenjaar1),0)</f>
        <v>#DIV/0!</v>
      </c>
      <c r="Q829" s="84" t="e">
        <f>SUM(Q825:Q828)</f>
        <v>#DIV/0!</v>
      </c>
      <c r="R829" s="85" t="e">
        <f>SUM(R825:R828)</f>
        <v>#DIV/0!</v>
      </c>
      <c r="S829" s="84" t="e">
        <f>SUM(S825:S828)</f>
        <v>#DIV/0!</v>
      </c>
      <c r="T829" s="86" t="e">
        <f>SUM(T825:T828)</f>
        <v>#DIV/0!</v>
      </c>
    </row>
    <row r="830" spans="1:20" x14ac:dyDescent="0.2">
      <c r="A830" s="91" t="s">
        <v>862</v>
      </c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81"/>
    </row>
    <row r="831" spans="1:20" x14ac:dyDescent="0.2">
      <c r="A831" s="53" t="s">
        <v>863</v>
      </c>
      <c r="B831" s="54" t="s">
        <v>37</v>
      </c>
      <c r="C831" s="54" t="s">
        <v>322</v>
      </c>
      <c r="D831" s="54" t="s">
        <v>323</v>
      </c>
      <c r="E831" s="54" t="s">
        <v>37</v>
      </c>
      <c r="F831" s="92" t="s">
        <v>307</v>
      </c>
      <c r="G831" s="54" t="s">
        <v>661</v>
      </c>
      <c r="H831" s="54" t="s">
        <v>306</v>
      </c>
      <c r="I831" s="54" t="s">
        <v>22</v>
      </c>
      <c r="J831" s="54" t="s">
        <v>299</v>
      </c>
      <c r="K831" s="54"/>
      <c r="L831" s="72">
        <v>7.4</v>
      </c>
      <c r="M831" s="72">
        <f>L831*VLOOKUP(I831,dagsoorttabel1,2,FALSE)</f>
        <v>5.8039215686274515E-2</v>
      </c>
      <c r="N831" s="73">
        <f>prodnorm28</f>
        <v>0</v>
      </c>
      <c r="O831" s="54" t="s">
        <v>105</v>
      </c>
      <c r="P831" s="55">
        <f>uurtarief28</f>
        <v>0</v>
      </c>
      <c r="Q831" s="72" t="e">
        <f>IF(ISBLANK(N831),0,M831/ROUND(N831,4))</f>
        <v>#DIV/0!</v>
      </c>
      <c r="R831" s="55" t="e">
        <f>ROUND(P831,2)*Q831</f>
        <v>#DIV/0!</v>
      </c>
      <c r="S831" s="72" t="e">
        <f>Q831*dagenperjaar1</f>
        <v>#DIV/0!</v>
      </c>
      <c r="T831" s="56" t="e">
        <f>S831*ROUND(P831,2)</f>
        <v>#DIV/0!</v>
      </c>
    </row>
    <row r="832" spans="1:20" x14ac:dyDescent="0.2">
      <c r="A832" s="50" t="s">
        <v>864</v>
      </c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2"/>
    </row>
    <row r="833" spans="1:20" x14ac:dyDescent="0.2">
      <c r="A833" s="53" t="s">
        <v>865</v>
      </c>
      <c r="B833" s="54" t="s">
        <v>37</v>
      </c>
      <c r="C833" s="54" t="s">
        <v>322</v>
      </c>
      <c r="D833" s="54" t="s">
        <v>323</v>
      </c>
      <c r="E833" s="54" t="s">
        <v>37</v>
      </c>
      <c r="F833" s="92" t="s">
        <v>307</v>
      </c>
      <c r="G833" s="54" t="s">
        <v>331</v>
      </c>
      <c r="H833" s="54" t="s">
        <v>306</v>
      </c>
      <c r="I833" s="54" t="s">
        <v>22</v>
      </c>
      <c r="J833" s="54" t="s">
        <v>299</v>
      </c>
      <c r="K833" s="54"/>
      <c r="L833" s="72">
        <v>10.7</v>
      </c>
      <c r="M833" s="72">
        <f>L833*VLOOKUP(I833,dagsoorttabel1,2,FALSE)</f>
        <v>8.3921568627450968E-2</v>
      </c>
      <c r="N833" s="73">
        <f>prodnorm28</f>
        <v>0</v>
      </c>
      <c r="O833" s="54" t="s">
        <v>105</v>
      </c>
      <c r="P833" s="55">
        <f>uurtarief28</f>
        <v>0</v>
      </c>
      <c r="Q833" s="72" t="e">
        <f>IF(ISBLANK(N833),0,M833/ROUND(N833,4))</f>
        <v>#DIV/0!</v>
      </c>
      <c r="R833" s="55" t="e">
        <f>ROUND(P833,2)*Q833</f>
        <v>#DIV/0!</v>
      </c>
      <c r="S833" s="72" t="e">
        <f>Q833*dagenperjaar1</f>
        <v>#DIV/0!</v>
      </c>
      <c r="T833" s="56" t="e">
        <f>S833*ROUND(P833,2)</f>
        <v>#DIV/0!</v>
      </c>
    </row>
    <row r="834" spans="1:20" x14ac:dyDescent="0.2">
      <c r="A834" s="50" t="s">
        <v>866</v>
      </c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2"/>
    </row>
    <row r="835" spans="1:20" x14ac:dyDescent="0.2">
      <c r="A835" s="98" t="s">
        <v>867</v>
      </c>
      <c r="B835" s="99" t="s">
        <v>37</v>
      </c>
      <c r="C835" s="99" t="s">
        <v>322</v>
      </c>
      <c r="D835" s="99" t="s">
        <v>323</v>
      </c>
      <c r="E835" s="99" t="s">
        <v>37</v>
      </c>
      <c r="F835" s="100" t="s">
        <v>307</v>
      </c>
      <c r="G835" s="99" t="s">
        <v>331</v>
      </c>
      <c r="H835" s="99" t="s">
        <v>306</v>
      </c>
      <c r="I835" s="99" t="s">
        <v>22</v>
      </c>
      <c r="J835" s="99" t="s">
        <v>299</v>
      </c>
      <c r="K835" s="99"/>
      <c r="L835" s="101">
        <v>17.7</v>
      </c>
      <c r="M835" s="101">
        <f>L835*VLOOKUP(I835,dagsoorttabel1,2,FALSE)</f>
        <v>0.13882352941176471</v>
      </c>
      <c r="N835" s="102">
        <f>prodnorm28</f>
        <v>0</v>
      </c>
      <c r="O835" s="99" t="s">
        <v>105</v>
      </c>
      <c r="P835" s="103">
        <f>uurtarief28</f>
        <v>0</v>
      </c>
      <c r="Q835" s="101" t="e">
        <f>IF(ISBLANK(N835),0,M835/ROUND(N835,4))</f>
        <v>#DIV/0!</v>
      </c>
      <c r="R835" s="103" t="e">
        <f>ROUND(P835,2)*Q835</f>
        <v>#DIV/0!</v>
      </c>
      <c r="S835" s="101" t="e">
        <f>Q835*dagenperjaar1</f>
        <v>#DIV/0!</v>
      </c>
      <c r="T835" s="104" t="e">
        <f>S835*ROUND(P835,2)</f>
        <v>#DIV/0!</v>
      </c>
    </row>
    <row r="836" spans="1:20" x14ac:dyDescent="0.2">
      <c r="A836" s="105" t="s">
        <v>867</v>
      </c>
      <c r="B836" s="106" t="s">
        <v>37</v>
      </c>
      <c r="C836" s="106" t="s">
        <v>322</v>
      </c>
      <c r="D836" s="106" t="s">
        <v>326</v>
      </c>
      <c r="E836" s="106" t="s">
        <v>37</v>
      </c>
      <c r="F836" s="107" t="s">
        <v>615</v>
      </c>
      <c r="G836" s="106" t="s">
        <v>369</v>
      </c>
      <c r="H836" s="106" t="s">
        <v>267</v>
      </c>
      <c r="I836" s="106" t="s">
        <v>22</v>
      </c>
      <c r="J836" s="106" t="s">
        <v>231</v>
      </c>
      <c r="K836" s="106"/>
      <c r="L836" s="108">
        <v>1.8</v>
      </c>
      <c r="M836" s="108">
        <f>L836*VLOOKUP(I836,dagsoorttabel1,2,FALSE)</f>
        <v>1.411764705882353E-2</v>
      </c>
      <c r="N836" s="109">
        <f>prodnorm96</f>
        <v>0</v>
      </c>
      <c r="O836" s="106" t="s">
        <v>105</v>
      </c>
      <c r="P836" s="28">
        <f>uurtarief96</f>
        <v>0</v>
      </c>
      <c r="Q836" s="108" t="e">
        <f>IF(ISBLANK(N836),0,M836/ROUND(N836,4))</f>
        <v>#DIV/0!</v>
      </c>
      <c r="R836" s="28" t="e">
        <f>ROUND(P836,2)*Q836</f>
        <v>#DIV/0!</v>
      </c>
      <c r="S836" s="108" t="e">
        <f>Q836*dagenperjaar1</f>
        <v>#DIV/0!</v>
      </c>
      <c r="T836" s="29" t="e">
        <f>S836*ROUND(P836,2)</f>
        <v>#DIV/0!</v>
      </c>
    </row>
    <row r="837" spans="1:20" x14ac:dyDescent="0.2">
      <c r="A837" s="110" t="s">
        <v>867</v>
      </c>
      <c r="B837" s="111" t="s">
        <v>37</v>
      </c>
      <c r="C837" s="111" t="s">
        <v>322</v>
      </c>
      <c r="D837" s="111" t="s">
        <v>329</v>
      </c>
      <c r="E837" s="111" t="s">
        <v>37</v>
      </c>
      <c r="F837" s="112" t="s">
        <v>307</v>
      </c>
      <c r="G837" s="111" t="s">
        <v>660</v>
      </c>
      <c r="H837" s="111" t="s">
        <v>306</v>
      </c>
      <c r="I837" s="111" t="s">
        <v>22</v>
      </c>
      <c r="J837" s="111" t="s">
        <v>299</v>
      </c>
      <c r="K837" s="111"/>
      <c r="L837" s="113">
        <v>2</v>
      </c>
      <c r="M837" s="113">
        <f>L837*VLOOKUP(I837,dagsoorttabel1,2,FALSE)</f>
        <v>1.5686274509803921E-2</v>
      </c>
      <c r="N837" s="114">
        <f>prodnorm28</f>
        <v>0</v>
      </c>
      <c r="O837" s="111" t="s">
        <v>105</v>
      </c>
      <c r="P837" s="38">
        <f>uurtarief28</f>
        <v>0</v>
      </c>
      <c r="Q837" s="113" t="e">
        <f>IF(ISBLANK(N837),0,M837/ROUND(N837,4))</f>
        <v>#DIV/0!</v>
      </c>
      <c r="R837" s="38" t="e">
        <f>ROUND(P837,2)*Q837</f>
        <v>#DIV/0!</v>
      </c>
      <c r="S837" s="113" t="e">
        <f>Q837*dagenperjaar1</f>
        <v>#DIV/0!</v>
      </c>
      <c r="T837" s="39" t="e">
        <f>S837*ROUND(P837,2)</f>
        <v>#DIV/0!</v>
      </c>
    </row>
    <row r="838" spans="1:20" x14ac:dyDescent="0.2">
      <c r="A838" s="115" t="s">
        <v>546</v>
      </c>
      <c r="B838" s="83"/>
      <c r="C838" s="83"/>
      <c r="D838" s="83"/>
      <c r="E838" s="83"/>
      <c r="F838" s="83"/>
      <c r="G838" s="83"/>
      <c r="H838" s="83"/>
      <c r="I838" s="83"/>
      <c r="J838" s="83"/>
      <c r="K838" s="83"/>
      <c r="L838" s="83"/>
      <c r="M838" s="83"/>
      <c r="N838" s="83"/>
      <c r="O838" s="83"/>
      <c r="P838" s="85" t="e">
        <f>IF(_xlfn.SINGLE(object59_urenjaar1)&gt;0,_xlfn.SINGLE(object59_prijsjaar1)/_xlfn.SINGLE(object59_urenjaar1),0)</f>
        <v>#DIV/0!</v>
      </c>
      <c r="Q838" s="84" t="e">
        <f>SUM(Q835:Q837)</f>
        <v>#DIV/0!</v>
      </c>
      <c r="R838" s="85" t="e">
        <f>SUM(R835:R837)</f>
        <v>#DIV/0!</v>
      </c>
      <c r="S838" s="84" t="e">
        <f>SUM(S835:S837)</f>
        <v>#DIV/0!</v>
      </c>
      <c r="T838" s="86" t="e">
        <f>SUM(T835:T837)</f>
        <v>#DIV/0!</v>
      </c>
    </row>
    <row r="839" spans="1:20" x14ac:dyDescent="0.2">
      <c r="A839" s="91" t="s">
        <v>868</v>
      </c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81"/>
    </row>
    <row r="840" spans="1:20" x14ac:dyDescent="0.2">
      <c r="A840" s="98" t="s">
        <v>869</v>
      </c>
      <c r="B840" s="99" t="s">
        <v>37</v>
      </c>
      <c r="C840" s="99" t="s">
        <v>733</v>
      </c>
      <c r="D840" s="99" t="s">
        <v>734</v>
      </c>
      <c r="E840" s="99" t="s">
        <v>37</v>
      </c>
      <c r="F840" s="100" t="s">
        <v>735</v>
      </c>
      <c r="G840" s="99" t="s">
        <v>369</v>
      </c>
      <c r="H840" s="99" t="s">
        <v>288</v>
      </c>
      <c r="I840" s="99" t="s">
        <v>22</v>
      </c>
      <c r="J840" s="99" t="s">
        <v>231</v>
      </c>
      <c r="K840" s="99"/>
      <c r="L840" s="101">
        <v>41.8</v>
      </c>
      <c r="M840" s="101">
        <f>L840*VLOOKUP(I840,dagsoorttabel1,2,FALSE)</f>
        <v>0.32784313725490194</v>
      </c>
      <c r="N840" s="102">
        <f>prodnorm137</f>
        <v>0</v>
      </c>
      <c r="O840" s="99" t="s">
        <v>105</v>
      </c>
      <c r="P840" s="103">
        <f>uurtarief137</f>
        <v>0</v>
      </c>
      <c r="Q840" s="101" t="e">
        <f>IF(ISBLANK(N840),0,M840/ROUND(N840,4))</f>
        <v>#DIV/0!</v>
      </c>
      <c r="R840" s="103" t="e">
        <f>ROUND(P840,2)*Q840</f>
        <v>#DIV/0!</v>
      </c>
      <c r="S840" s="101" t="e">
        <f>Q840*dagenperjaar1</f>
        <v>#DIV/0!</v>
      </c>
      <c r="T840" s="104" t="e">
        <f>S840*ROUND(P840,2)</f>
        <v>#DIV/0!</v>
      </c>
    </row>
    <row r="841" spans="1:20" x14ac:dyDescent="0.2">
      <c r="A841" s="105" t="s">
        <v>869</v>
      </c>
      <c r="B841" s="106" t="s">
        <v>37</v>
      </c>
      <c r="C841" s="106" t="s">
        <v>322</v>
      </c>
      <c r="D841" s="106" t="s">
        <v>323</v>
      </c>
      <c r="E841" s="106" t="s">
        <v>37</v>
      </c>
      <c r="F841" s="107" t="s">
        <v>307</v>
      </c>
      <c r="G841" s="106" t="s">
        <v>369</v>
      </c>
      <c r="H841" s="106" t="s">
        <v>306</v>
      </c>
      <c r="I841" s="106" t="s">
        <v>22</v>
      </c>
      <c r="J841" s="106" t="s">
        <v>299</v>
      </c>
      <c r="K841" s="106"/>
      <c r="L841" s="108">
        <v>30.8</v>
      </c>
      <c r="M841" s="108">
        <f>L841*VLOOKUP(I841,dagsoorttabel1,2,FALSE)</f>
        <v>0.2415686274509804</v>
      </c>
      <c r="N841" s="109">
        <f>prodnorm28</f>
        <v>0</v>
      </c>
      <c r="O841" s="106" t="s">
        <v>105</v>
      </c>
      <c r="P841" s="28">
        <f>uurtarief28</f>
        <v>0</v>
      </c>
      <c r="Q841" s="108" t="e">
        <f>IF(ISBLANK(N841),0,M841/ROUND(N841,4))</f>
        <v>#DIV/0!</v>
      </c>
      <c r="R841" s="28" t="e">
        <f>ROUND(P841,2)*Q841</f>
        <v>#DIV/0!</v>
      </c>
      <c r="S841" s="108" t="e">
        <f>Q841*dagenperjaar1</f>
        <v>#DIV/0!</v>
      </c>
      <c r="T841" s="29" t="e">
        <f>S841*ROUND(P841,2)</f>
        <v>#DIV/0!</v>
      </c>
    </row>
    <row r="842" spans="1:20" x14ac:dyDescent="0.2">
      <c r="A842" s="105" t="s">
        <v>869</v>
      </c>
      <c r="B842" s="106" t="s">
        <v>37</v>
      </c>
      <c r="C842" s="106" t="s">
        <v>322</v>
      </c>
      <c r="D842" s="106" t="s">
        <v>326</v>
      </c>
      <c r="E842" s="106" t="s">
        <v>37</v>
      </c>
      <c r="F842" s="107" t="s">
        <v>654</v>
      </c>
      <c r="G842" s="106" t="s">
        <v>660</v>
      </c>
      <c r="H842" s="106" t="s">
        <v>290</v>
      </c>
      <c r="I842" s="106" t="s">
        <v>22</v>
      </c>
      <c r="J842" s="106" t="s">
        <v>231</v>
      </c>
      <c r="K842" s="106"/>
      <c r="L842" s="108">
        <v>10</v>
      </c>
      <c r="M842" s="108">
        <f>L842*VLOOKUP(I842,dagsoorttabel1,2,FALSE)</f>
        <v>7.8431372549019607E-2</v>
      </c>
      <c r="N842" s="109">
        <f>prodnorm142</f>
        <v>0</v>
      </c>
      <c r="O842" s="106" t="s">
        <v>105</v>
      </c>
      <c r="P842" s="28">
        <f>uurtarief142</f>
        <v>0</v>
      </c>
      <c r="Q842" s="108" t="e">
        <f>IF(ISBLANK(N842),0,M842/ROUND(N842,4))</f>
        <v>#DIV/0!</v>
      </c>
      <c r="R842" s="28" t="e">
        <f>ROUND(P842,2)*Q842</f>
        <v>#DIV/0!</v>
      </c>
      <c r="S842" s="108" t="e">
        <f>Q842*dagenperjaar1</f>
        <v>#DIV/0!</v>
      </c>
      <c r="T842" s="29" t="e">
        <f>S842*ROUND(P842,2)</f>
        <v>#DIV/0!</v>
      </c>
    </row>
    <row r="843" spans="1:20" x14ac:dyDescent="0.2">
      <c r="A843" s="105" t="s">
        <v>869</v>
      </c>
      <c r="B843" s="106" t="s">
        <v>37</v>
      </c>
      <c r="C843" s="106" t="s">
        <v>322</v>
      </c>
      <c r="D843" s="106" t="s">
        <v>329</v>
      </c>
      <c r="E843" s="106" t="s">
        <v>37</v>
      </c>
      <c r="F843" s="107" t="s">
        <v>615</v>
      </c>
      <c r="G843" s="106" t="s">
        <v>369</v>
      </c>
      <c r="H843" s="106" t="s">
        <v>290</v>
      </c>
      <c r="I843" s="106" t="s">
        <v>22</v>
      </c>
      <c r="J843" s="106" t="s">
        <v>231</v>
      </c>
      <c r="K843" s="106"/>
      <c r="L843" s="108">
        <v>1.1000000000000001</v>
      </c>
      <c r="M843" s="108">
        <f>L843*VLOOKUP(I843,dagsoorttabel1,2,FALSE)</f>
        <v>8.6274509803921581E-3</v>
      </c>
      <c r="N843" s="109">
        <f>prodnorm142</f>
        <v>0</v>
      </c>
      <c r="O843" s="106" t="s">
        <v>105</v>
      </c>
      <c r="P843" s="28">
        <f>uurtarief142</f>
        <v>0</v>
      </c>
      <c r="Q843" s="108" t="e">
        <f>IF(ISBLANK(N843),0,M843/ROUND(N843,4))</f>
        <v>#DIV/0!</v>
      </c>
      <c r="R843" s="28" t="e">
        <f>ROUND(P843,2)*Q843</f>
        <v>#DIV/0!</v>
      </c>
      <c r="S843" s="108" t="e">
        <f>Q843*dagenperjaar1</f>
        <v>#DIV/0!</v>
      </c>
      <c r="T843" s="29" t="e">
        <f>S843*ROUND(P843,2)</f>
        <v>#DIV/0!</v>
      </c>
    </row>
    <row r="844" spans="1:20" x14ac:dyDescent="0.2">
      <c r="A844" s="110" t="s">
        <v>869</v>
      </c>
      <c r="B844" s="111" t="s">
        <v>37</v>
      </c>
      <c r="C844" s="111" t="s">
        <v>322</v>
      </c>
      <c r="D844" s="111" t="s">
        <v>332</v>
      </c>
      <c r="E844" s="111" t="s">
        <v>37</v>
      </c>
      <c r="F844" s="112" t="s">
        <v>735</v>
      </c>
      <c r="G844" s="111" t="s">
        <v>369</v>
      </c>
      <c r="H844" s="111" t="s">
        <v>288</v>
      </c>
      <c r="I844" s="111" t="s">
        <v>22</v>
      </c>
      <c r="J844" s="111" t="s">
        <v>231</v>
      </c>
      <c r="K844" s="111"/>
      <c r="L844" s="113">
        <v>9.1</v>
      </c>
      <c r="M844" s="113">
        <f>L844*VLOOKUP(I844,dagsoorttabel1,2,FALSE)</f>
        <v>7.1372549019607837E-2</v>
      </c>
      <c r="N844" s="114">
        <f>prodnorm137</f>
        <v>0</v>
      </c>
      <c r="O844" s="111" t="s">
        <v>105</v>
      </c>
      <c r="P844" s="38">
        <f>uurtarief137</f>
        <v>0</v>
      </c>
      <c r="Q844" s="113" t="e">
        <f>IF(ISBLANK(N844),0,M844/ROUND(N844,4))</f>
        <v>#DIV/0!</v>
      </c>
      <c r="R844" s="38" t="e">
        <f>ROUND(P844,2)*Q844</f>
        <v>#DIV/0!</v>
      </c>
      <c r="S844" s="113" t="e">
        <f>Q844*dagenperjaar1</f>
        <v>#DIV/0!</v>
      </c>
      <c r="T844" s="39" t="e">
        <f>S844*ROUND(P844,2)</f>
        <v>#DIV/0!</v>
      </c>
    </row>
    <row r="845" spans="1:20" x14ac:dyDescent="0.2">
      <c r="A845" s="115" t="s">
        <v>546</v>
      </c>
      <c r="B845" s="83"/>
      <c r="C845" s="83"/>
      <c r="D845" s="83"/>
      <c r="E845" s="83"/>
      <c r="F845" s="83"/>
      <c r="G845" s="83"/>
      <c r="H845" s="83"/>
      <c r="I845" s="83"/>
      <c r="J845" s="83"/>
      <c r="K845" s="83"/>
      <c r="L845" s="83"/>
      <c r="M845" s="83"/>
      <c r="N845" s="83"/>
      <c r="O845" s="83"/>
      <c r="P845" s="85" t="e">
        <f>IF(_xlfn.SINGLE(object60_urenjaar1)&gt;0,_xlfn.SINGLE(object60_prijsjaar1)/_xlfn.SINGLE(object60_urenjaar1),0)</f>
        <v>#DIV/0!</v>
      </c>
      <c r="Q845" s="84" t="e">
        <f>SUM(Q840:Q844)</f>
        <v>#DIV/0!</v>
      </c>
      <c r="R845" s="85" t="e">
        <f>SUM(R840:R844)</f>
        <v>#DIV/0!</v>
      </c>
      <c r="S845" s="84" t="e">
        <f>SUM(S840:S844)</f>
        <v>#DIV/0!</v>
      </c>
      <c r="T845" s="86" t="e">
        <f>SUM(T840:T844)</f>
        <v>#DIV/0!</v>
      </c>
    </row>
    <row r="846" spans="1:20" x14ac:dyDescent="0.2">
      <c r="A846" s="91" t="s">
        <v>870</v>
      </c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81"/>
    </row>
    <row r="847" spans="1:20" x14ac:dyDescent="0.2">
      <c r="A847" s="98" t="s">
        <v>871</v>
      </c>
      <c r="B847" s="99" t="s">
        <v>37</v>
      </c>
      <c r="C847" s="99" t="s">
        <v>733</v>
      </c>
      <c r="D847" s="99" t="s">
        <v>734</v>
      </c>
      <c r="E847" s="99" t="s">
        <v>37</v>
      </c>
      <c r="F847" s="100" t="s">
        <v>735</v>
      </c>
      <c r="G847" s="99" t="s">
        <v>369</v>
      </c>
      <c r="H847" s="99" t="s">
        <v>306</v>
      </c>
      <c r="I847" s="99" t="s">
        <v>22</v>
      </c>
      <c r="J847" s="99" t="s">
        <v>299</v>
      </c>
      <c r="K847" s="99"/>
      <c r="L847" s="101">
        <v>24.8</v>
      </c>
      <c r="M847" s="101">
        <f>L847*VLOOKUP(I847,dagsoorttabel1,2,FALSE)</f>
        <v>0.19450980392156864</v>
      </c>
      <c r="N847" s="102">
        <f>prodnorm28</f>
        <v>0</v>
      </c>
      <c r="O847" s="99" t="s">
        <v>105</v>
      </c>
      <c r="P847" s="103">
        <f>uurtarief28</f>
        <v>0</v>
      </c>
      <c r="Q847" s="101" t="e">
        <f>IF(ISBLANK(N847),0,M847/ROUND(N847,4))</f>
        <v>#DIV/0!</v>
      </c>
      <c r="R847" s="103" t="e">
        <f>ROUND(P847,2)*Q847</f>
        <v>#DIV/0!</v>
      </c>
      <c r="S847" s="101" t="e">
        <f>Q847*dagenperjaar1</f>
        <v>#DIV/0!</v>
      </c>
      <c r="T847" s="104" t="e">
        <f>S847*ROUND(P847,2)</f>
        <v>#DIV/0!</v>
      </c>
    </row>
    <row r="848" spans="1:20" x14ac:dyDescent="0.2">
      <c r="A848" s="105" t="s">
        <v>871</v>
      </c>
      <c r="B848" s="106" t="s">
        <v>37</v>
      </c>
      <c r="C848" s="106" t="s">
        <v>322</v>
      </c>
      <c r="D848" s="106" t="s">
        <v>323</v>
      </c>
      <c r="E848" s="106" t="s">
        <v>37</v>
      </c>
      <c r="F848" s="107" t="s">
        <v>307</v>
      </c>
      <c r="G848" s="106" t="s">
        <v>369</v>
      </c>
      <c r="H848" s="106" t="s">
        <v>306</v>
      </c>
      <c r="I848" s="106" t="s">
        <v>22</v>
      </c>
      <c r="J848" s="106" t="s">
        <v>299</v>
      </c>
      <c r="K848" s="106"/>
      <c r="L848" s="108">
        <v>11.3</v>
      </c>
      <c r="M848" s="108">
        <f>L848*VLOOKUP(I848,dagsoorttabel1,2,FALSE)</f>
        <v>8.8627450980392167E-2</v>
      </c>
      <c r="N848" s="109">
        <f>prodnorm28</f>
        <v>0</v>
      </c>
      <c r="O848" s="106" t="s">
        <v>105</v>
      </c>
      <c r="P848" s="28">
        <f>uurtarief28</f>
        <v>0</v>
      </c>
      <c r="Q848" s="108" t="e">
        <f>IF(ISBLANK(N848),0,M848/ROUND(N848,4))</f>
        <v>#DIV/0!</v>
      </c>
      <c r="R848" s="28" t="e">
        <f>ROUND(P848,2)*Q848</f>
        <v>#DIV/0!</v>
      </c>
      <c r="S848" s="108" t="e">
        <f>Q848*dagenperjaar1</f>
        <v>#DIV/0!</v>
      </c>
      <c r="T848" s="29" t="e">
        <f>S848*ROUND(P848,2)</f>
        <v>#DIV/0!</v>
      </c>
    </row>
    <row r="849" spans="1:20" x14ac:dyDescent="0.2">
      <c r="A849" s="105" t="s">
        <v>871</v>
      </c>
      <c r="B849" s="106" t="s">
        <v>37</v>
      </c>
      <c r="C849" s="106" t="s">
        <v>322</v>
      </c>
      <c r="D849" s="106" t="s">
        <v>326</v>
      </c>
      <c r="E849" s="106" t="s">
        <v>37</v>
      </c>
      <c r="F849" s="107" t="s">
        <v>615</v>
      </c>
      <c r="G849" s="106" t="s">
        <v>369</v>
      </c>
      <c r="H849" s="106" t="s">
        <v>267</v>
      </c>
      <c r="I849" s="106" t="s">
        <v>22</v>
      </c>
      <c r="J849" s="106" t="s">
        <v>231</v>
      </c>
      <c r="K849" s="106"/>
      <c r="L849" s="108">
        <v>1.3</v>
      </c>
      <c r="M849" s="108">
        <f>L849*VLOOKUP(I849,dagsoorttabel1,2,FALSE)</f>
        <v>1.019607843137255E-2</v>
      </c>
      <c r="N849" s="109">
        <f>prodnorm96</f>
        <v>0</v>
      </c>
      <c r="O849" s="106" t="s">
        <v>105</v>
      </c>
      <c r="P849" s="28">
        <f>uurtarief96</f>
        <v>0</v>
      </c>
      <c r="Q849" s="108" t="e">
        <f>IF(ISBLANK(N849),0,M849/ROUND(N849,4))</f>
        <v>#DIV/0!</v>
      </c>
      <c r="R849" s="28" t="e">
        <f>ROUND(P849,2)*Q849</f>
        <v>#DIV/0!</v>
      </c>
      <c r="S849" s="108" t="e">
        <f>Q849*dagenperjaar1</f>
        <v>#DIV/0!</v>
      </c>
      <c r="T849" s="29" t="e">
        <f>S849*ROUND(P849,2)</f>
        <v>#DIV/0!</v>
      </c>
    </row>
    <row r="850" spans="1:20" x14ac:dyDescent="0.2">
      <c r="A850" s="105" t="s">
        <v>871</v>
      </c>
      <c r="B850" s="106" t="s">
        <v>37</v>
      </c>
      <c r="C850" s="106" t="s">
        <v>322</v>
      </c>
      <c r="D850" s="106" t="s">
        <v>329</v>
      </c>
      <c r="E850" s="106" t="s">
        <v>37</v>
      </c>
      <c r="F850" s="107" t="s">
        <v>307</v>
      </c>
      <c r="G850" s="106" t="s">
        <v>660</v>
      </c>
      <c r="H850" s="106" t="s">
        <v>306</v>
      </c>
      <c r="I850" s="106" t="s">
        <v>22</v>
      </c>
      <c r="J850" s="106" t="s">
        <v>299</v>
      </c>
      <c r="K850" s="106"/>
      <c r="L850" s="108">
        <v>3</v>
      </c>
      <c r="M850" s="108">
        <f>L850*VLOOKUP(I850,dagsoorttabel1,2,FALSE)</f>
        <v>2.3529411764705882E-2</v>
      </c>
      <c r="N850" s="109">
        <f>prodnorm28</f>
        <v>0</v>
      </c>
      <c r="O850" s="106" t="s">
        <v>105</v>
      </c>
      <c r="P850" s="28">
        <f>uurtarief28</f>
        <v>0</v>
      </c>
      <c r="Q850" s="108" t="e">
        <f>IF(ISBLANK(N850),0,M850/ROUND(N850,4))</f>
        <v>#DIV/0!</v>
      </c>
      <c r="R850" s="28" t="e">
        <f>ROUND(P850,2)*Q850</f>
        <v>#DIV/0!</v>
      </c>
      <c r="S850" s="108" t="e">
        <f>Q850*dagenperjaar1</f>
        <v>#DIV/0!</v>
      </c>
      <c r="T850" s="29" t="e">
        <f>S850*ROUND(P850,2)</f>
        <v>#DIV/0!</v>
      </c>
    </row>
    <row r="851" spans="1:20" x14ac:dyDescent="0.2">
      <c r="A851" s="110" t="s">
        <v>871</v>
      </c>
      <c r="B851" s="111" t="s">
        <v>37</v>
      </c>
      <c r="C851" s="111" t="s">
        <v>322</v>
      </c>
      <c r="D851" s="111" t="s">
        <v>332</v>
      </c>
      <c r="E851" s="111" t="s">
        <v>37</v>
      </c>
      <c r="F851" s="112" t="s">
        <v>654</v>
      </c>
      <c r="G851" s="111" t="s">
        <v>660</v>
      </c>
      <c r="H851" s="111" t="s">
        <v>290</v>
      </c>
      <c r="I851" s="111" t="s">
        <v>22</v>
      </c>
      <c r="J851" s="111" t="s">
        <v>231</v>
      </c>
      <c r="K851" s="111"/>
      <c r="L851" s="113">
        <v>4</v>
      </c>
      <c r="M851" s="113">
        <f>L851*VLOOKUP(I851,dagsoorttabel1,2,FALSE)</f>
        <v>3.1372549019607843E-2</v>
      </c>
      <c r="N851" s="114">
        <f>prodnorm142</f>
        <v>0</v>
      </c>
      <c r="O851" s="111" t="s">
        <v>105</v>
      </c>
      <c r="P851" s="38">
        <f>uurtarief142</f>
        <v>0</v>
      </c>
      <c r="Q851" s="113" t="e">
        <f>IF(ISBLANK(N851),0,M851/ROUND(N851,4))</f>
        <v>#DIV/0!</v>
      </c>
      <c r="R851" s="38" t="e">
        <f>ROUND(P851,2)*Q851</f>
        <v>#DIV/0!</v>
      </c>
      <c r="S851" s="113" t="e">
        <f>Q851*dagenperjaar1</f>
        <v>#DIV/0!</v>
      </c>
      <c r="T851" s="39" t="e">
        <f>S851*ROUND(P851,2)</f>
        <v>#DIV/0!</v>
      </c>
    </row>
    <row r="852" spans="1:20" x14ac:dyDescent="0.2">
      <c r="A852" s="115" t="s">
        <v>546</v>
      </c>
      <c r="B852" s="83"/>
      <c r="C852" s="83"/>
      <c r="D852" s="83"/>
      <c r="E852" s="83"/>
      <c r="F852" s="83"/>
      <c r="G852" s="83"/>
      <c r="H852" s="83"/>
      <c r="I852" s="83"/>
      <c r="J852" s="83"/>
      <c r="K852" s="83"/>
      <c r="L852" s="83"/>
      <c r="M852" s="83"/>
      <c r="N852" s="83"/>
      <c r="O852" s="83"/>
      <c r="P852" s="85" t="e">
        <f>IF(_xlfn.SINGLE(object61_urenjaar1)&gt;0,_xlfn.SINGLE(object61_prijsjaar1)/_xlfn.SINGLE(object61_urenjaar1),0)</f>
        <v>#DIV/0!</v>
      </c>
      <c r="Q852" s="84" t="e">
        <f>SUM(Q847:Q851)</f>
        <v>#DIV/0!</v>
      </c>
      <c r="R852" s="85" t="e">
        <f>SUM(R847:R851)</f>
        <v>#DIV/0!</v>
      </c>
      <c r="S852" s="84" t="e">
        <f>SUM(S847:S851)</f>
        <v>#DIV/0!</v>
      </c>
      <c r="T852" s="86" t="e">
        <f>SUM(T847:T851)</f>
        <v>#DIV/0!</v>
      </c>
    </row>
    <row r="853" spans="1:20" x14ac:dyDescent="0.2">
      <c r="A853" s="91" t="s">
        <v>872</v>
      </c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81"/>
    </row>
    <row r="854" spans="1:20" x14ac:dyDescent="0.2">
      <c r="A854" s="53" t="s">
        <v>873</v>
      </c>
      <c r="B854" s="54" t="s">
        <v>37</v>
      </c>
      <c r="C854" s="54" t="s">
        <v>322</v>
      </c>
      <c r="D854" s="54" t="s">
        <v>323</v>
      </c>
      <c r="E854" s="54" t="s">
        <v>37</v>
      </c>
      <c r="F854" s="92" t="s">
        <v>307</v>
      </c>
      <c r="G854" s="54" t="s">
        <v>331</v>
      </c>
      <c r="H854" s="54" t="s">
        <v>306</v>
      </c>
      <c r="I854" s="54" t="s">
        <v>22</v>
      </c>
      <c r="J854" s="54" t="s">
        <v>299</v>
      </c>
      <c r="K854" s="54"/>
      <c r="L854" s="72">
        <v>11.2</v>
      </c>
      <c r="M854" s="72">
        <f>L854*VLOOKUP(I854,dagsoorttabel1,2,FALSE)</f>
        <v>8.7843137254901948E-2</v>
      </c>
      <c r="N854" s="73">
        <f>prodnorm28</f>
        <v>0</v>
      </c>
      <c r="O854" s="54" t="s">
        <v>105</v>
      </c>
      <c r="P854" s="55">
        <f>uurtarief28</f>
        <v>0</v>
      </c>
      <c r="Q854" s="72" t="e">
        <f>IF(ISBLANK(N854),0,M854/ROUND(N854,4))</f>
        <v>#DIV/0!</v>
      </c>
      <c r="R854" s="55" t="e">
        <f>ROUND(P854,2)*Q854</f>
        <v>#DIV/0!</v>
      </c>
      <c r="S854" s="72" t="e">
        <f>Q854*dagenperjaar1</f>
        <v>#DIV/0!</v>
      </c>
      <c r="T854" s="56" t="e">
        <f>S854*ROUND(P854,2)</f>
        <v>#DIV/0!</v>
      </c>
    </row>
    <row r="855" spans="1:20" x14ac:dyDescent="0.2">
      <c r="A855" s="50" t="s">
        <v>874</v>
      </c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2"/>
    </row>
    <row r="856" spans="1:20" x14ac:dyDescent="0.2">
      <c r="A856" s="98" t="s">
        <v>875</v>
      </c>
      <c r="B856" s="99" t="s">
        <v>37</v>
      </c>
      <c r="C856" s="99" t="s">
        <v>322</v>
      </c>
      <c r="D856" s="99" t="s">
        <v>323</v>
      </c>
      <c r="E856" s="99" t="s">
        <v>37</v>
      </c>
      <c r="F856" s="100" t="s">
        <v>307</v>
      </c>
      <c r="G856" s="99" t="s">
        <v>632</v>
      </c>
      <c r="H856" s="99" t="s">
        <v>306</v>
      </c>
      <c r="I856" s="99" t="s">
        <v>22</v>
      </c>
      <c r="J856" s="99" t="s">
        <v>299</v>
      </c>
      <c r="K856" s="99"/>
      <c r="L856" s="101">
        <v>9.1</v>
      </c>
      <c r="M856" s="101">
        <f>L856*VLOOKUP(I856,dagsoorttabel1,2,FALSE)</f>
        <v>7.1372549019607837E-2</v>
      </c>
      <c r="N856" s="102">
        <f>prodnorm28</f>
        <v>0</v>
      </c>
      <c r="O856" s="99" t="s">
        <v>105</v>
      </c>
      <c r="P856" s="103">
        <f>uurtarief28</f>
        <v>0</v>
      </c>
      <c r="Q856" s="101" t="e">
        <f>IF(ISBLANK(N856),0,M856/ROUND(N856,4))</f>
        <v>#DIV/0!</v>
      </c>
      <c r="R856" s="103" t="e">
        <f>ROUND(P856,2)*Q856</f>
        <v>#DIV/0!</v>
      </c>
      <c r="S856" s="101" t="e">
        <f>Q856*dagenperjaar1</f>
        <v>#DIV/0!</v>
      </c>
      <c r="T856" s="104" t="e">
        <f>S856*ROUND(P856,2)</f>
        <v>#DIV/0!</v>
      </c>
    </row>
    <row r="857" spans="1:20" x14ac:dyDescent="0.2">
      <c r="A857" s="110" t="s">
        <v>875</v>
      </c>
      <c r="B857" s="111" t="s">
        <v>37</v>
      </c>
      <c r="C857" s="111" t="s">
        <v>322</v>
      </c>
      <c r="D857" s="111" t="s">
        <v>326</v>
      </c>
      <c r="E857" s="111" t="s">
        <v>37</v>
      </c>
      <c r="F857" s="112" t="s">
        <v>615</v>
      </c>
      <c r="G857" s="111" t="s">
        <v>632</v>
      </c>
      <c r="H857" s="111" t="s">
        <v>267</v>
      </c>
      <c r="I857" s="111" t="s">
        <v>22</v>
      </c>
      <c r="J857" s="111" t="s">
        <v>231</v>
      </c>
      <c r="K857" s="111"/>
      <c r="L857" s="113">
        <v>1.3</v>
      </c>
      <c r="M857" s="113">
        <f>L857*VLOOKUP(I857,dagsoorttabel1,2,FALSE)</f>
        <v>1.019607843137255E-2</v>
      </c>
      <c r="N857" s="114">
        <f>prodnorm96</f>
        <v>0</v>
      </c>
      <c r="O857" s="111" t="s">
        <v>105</v>
      </c>
      <c r="P857" s="38">
        <f>uurtarief96</f>
        <v>0</v>
      </c>
      <c r="Q857" s="113" t="e">
        <f>IF(ISBLANK(N857),0,M857/ROUND(N857,4))</f>
        <v>#DIV/0!</v>
      </c>
      <c r="R857" s="38" t="e">
        <f>ROUND(P857,2)*Q857</f>
        <v>#DIV/0!</v>
      </c>
      <c r="S857" s="113" t="e">
        <f>Q857*dagenperjaar1</f>
        <v>#DIV/0!</v>
      </c>
      <c r="T857" s="39" t="e">
        <f>S857*ROUND(P857,2)</f>
        <v>#DIV/0!</v>
      </c>
    </row>
    <row r="858" spans="1:20" x14ac:dyDescent="0.2">
      <c r="A858" s="115" t="s">
        <v>546</v>
      </c>
      <c r="B858" s="83"/>
      <c r="C858" s="83"/>
      <c r="D858" s="83"/>
      <c r="E858" s="83"/>
      <c r="F858" s="83"/>
      <c r="G858" s="83"/>
      <c r="H858" s="83"/>
      <c r="I858" s="83"/>
      <c r="J858" s="83"/>
      <c r="K858" s="83"/>
      <c r="L858" s="83"/>
      <c r="M858" s="83"/>
      <c r="N858" s="83"/>
      <c r="O858" s="83"/>
      <c r="P858" s="85" t="e">
        <f>IF(_xlfn.SINGLE(object63_urenjaar1)&gt;0,_xlfn.SINGLE(object63_prijsjaar1)/_xlfn.SINGLE(object63_urenjaar1),0)</f>
        <v>#DIV/0!</v>
      </c>
      <c r="Q858" s="84" t="e">
        <f>SUM(Q856:Q857)</f>
        <v>#DIV/0!</v>
      </c>
      <c r="R858" s="85" t="e">
        <f>SUM(R856:R857)</f>
        <v>#DIV/0!</v>
      </c>
      <c r="S858" s="84" t="e">
        <f>SUM(S856:S857)</f>
        <v>#DIV/0!</v>
      </c>
      <c r="T858" s="86" t="e">
        <f>SUM(T856:T857)</f>
        <v>#DIV/0!</v>
      </c>
    </row>
    <row r="859" spans="1:20" x14ac:dyDescent="0.2">
      <c r="A859" s="91" t="s">
        <v>876</v>
      </c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81"/>
    </row>
    <row r="860" spans="1:20" x14ac:dyDescent="0.2">
      <c r="A860" s="98" t="s">
        <v>877</v>
      </c>
      <c r="B860" s="99" t="s">
        <v>37</v>
      </c>
      <c r="C860" s="99" t="s">
        <v>733</v>
      </c>
      <c r="D860" s="99" t="s">
        <v>734</v>
      </c>
      <c r="E860" s="99" t="s">
        <v>37</v>
      </c>
      <c r="F860" s="100" t="s">
        <v>735</v>
      </c>
      <c r="G860" s="99" t="s">
        <v>632</v>
      </c>
      <c r="H860" s="99" t="s">
        <v>306</v>
      </c>
      <c r="I860" s="99" t="s">
        <v>20</v>
      </c>
      <c r="J860" s="99" t="s">
        <v>299</v>
      </c>
      <c r="K860" s="99"/>
      <c r="L860" s="101">
        <v>76.5</v>
      </c>
      <c r="M860" s="101">
        <f>L860*VLOOKUP(I860,dagsoorttabel1,2,FALSE)</f>
        <v>1.2</v>
      </c>
      <c r="N860" s="102">
        <f>prodnorm30</f>
        <v>0</v>
      </c>
      <c r="O860" s="99" t="s">
        <v>105</v>
      </c>
      <c r="P860" s="103">
        <f>uurtarief30</f>
        <v>0</v>
      </c>
      <c r="Q860" s="101" t="e">
        <f>IF(ISBLANK(N860),0,M860/ROUND(N860,4))</f>
        <v>#DIV/0!</v>
      </c>
      <c r="R860" s="103" t="e">
        <f>ROUND(P860,2)*Q860</f>
        <v>#DIV/0!</v>
      </c>
      <c r="S860" s="101" t="e">
        <f>Q860*dagenperjaar1</f>
        <v>#DIV/0!</v>
      </c>
      <c r="T860" s="104" t="e">
        <f>S860*ROUND(P860,2)</f>
        <v>#DIV/0!</v>
      </c>
    </row>
    <row r="861" spans="1:20" x14ac:dyDescent="0.2">
      <c r="A861" s="105" t="s">
        <v>877</v>
      </c>
      <c r="B861" s="106" t="s">
        <v>37</v>
      </c>
      <c r="C861" s="106" t="s">
        <v>322</v>
      </c>
      <c r="D861" s="106" t="s">
        <v>323</v>
      </c>
      <c r="E861" s="106" t="s">
        <v>37</v>
      </c>
      <c r="F861" s="107" t="s">
        <v>307</v>
      </c>
      <c r="G861" s="106" t="s">
        <v>369</v>
      </c>
      <c r="H861" s="106" t="s">
        <v>306</v>
      </c>
      <c r="I861" s="106" t="s">
        <v>22</v>
      </c>
      <c r="J861" s="106" t="s">
        <v>299</v>
      </c>
      <c r="K861" s="106"/>
      <c r="L861" s="108">
        <v>40.1</v>
      </c>
      <c r="M861" s="108">
        <f>L861*VLOOKUP(I861,dagsoorttabel1,2,FALSE)</f>
        <v>0.31450980392156863</v>
      </c>
      <c r="N861" s="109">
        <f>prodnorm28</f>
        <v>0</v>
      </c>
      <c r="O861" s="106" t="s">
        <v>105</v>
      </c>
      <c r="P861" s="28">
        <f>uurtarief28</f>
        <v>0</v>
      </c>
      <c r="Q861" s="108" t="e">
        <f>IF(ISBLANK(N861),0,M861/ROUND(N861,4))</f>
        <v>#DIV/0!</v>
      </c>
      <c r="R861" s="28" t="e">
        <f>ROUND(P861,2)*Q861</f>
        <v>#DIV/0!</v>
      </c>
      <c r="S861" s="108" t="e">
        <f>Q861*dagenperjaar1</f>
        <v>#DIV/0!</v>
      </c>
      <c r="T861" s="29" t="e">
        <f>S861*ROUND(P861,2)</f>
        <v>#DIV/0!</v>
      </c>
    </row>
    <row r="862" spans="1:20" x14ac:dyDescent="0.2">
      <c r="A862" s="105" t="s">
        <v>877</v>
      </c>
      <c r="B862" s="106" t="s">
        <v>37</v>
      </c>
      <c r="C862" s="106" t="s">
        <v>322</v>
      </c>
      <c r="D862" s="106" t="s">
        <v>326</v>
      </c>
      <c r="E862" s="106" t="s">
        <v>37</v>
      </c>
      <c r="F862" s="107" t="s">
        <v>654</v>
      </c>
      <c r="G862" s="106" t="s">
        <v>660</v>
      </c>
      <c r="H862" s="106" t="s">
        <v>290</v>
      </c>
      <c r="I862" s="106" t="s">
        <v>22</v>
      </c>
      <c r="J862" s="106" t="s">
        <v>231</v>
      </c>
      <c r="K862" s="106"/>
      <c r="L862" s="108">
        <v>12</v>
      </c>
      <c r="M862" s="108">
        <f>L862*VLOOKUP(I862,dagsoorttabel1,2,FALSE)</f>
        <v>9.4117647058823528E-2</v>
      </c>
      <c r="N862" s="109">
        <f>prodnorm142</f>
        <v>0</v>
      </c>
      <c r="O862" s="106" t="s">
        <v>105</v>
      </c>
      <c r="P862" s="28">
        <f>uurtarief142</f>
        <v>0</v>
      </c>
      <c r="Q862" s="108" t="e">
        <f>IF(ISBLANK(N862),0,M862/ROUND(N862,4))</f>
        <v>#DIV/0!</v>
      </c>
      <c r="R862" s="28" t="e">
        <f>ROUND(P862,2)*Q862</f>
        <v>#DIV/0!</v>
      </c>
      <c r="S862" s="108" t="e">
        <f>Q862*dagenperjaar1</f>
        <v>#DIV/0!</v>
      </c>
      <c r="T862" s="29" t="e">
        <f>S862*ROUND(P862,2)</f>
        <v>#DIV/0!</v>
      </c>
    </row>
    <row r="863" spans="1:20" x14ac:dyDescent="0.2">
      <c r="A863" s="105" t="s">
        <v>877</v>
      </c>
      <c r="B863" s="106" t="s">
        <v>37</v>
      </c>
      <c r="C863" s="106" t="s">
        <v>322</v>
      </c>
      <c r="D863" s="106" t="s">
        <v>329</v>
      </c>
      <c r="E863" s="106" t="s">
        <v>37</v>
      </c>
      <c r="F863" s="107" t="s">
        <v>843</v>
      </c>
      <c r="G863" s="106" t="s">
        <v>369</v>
      </c>
      <c r="H863" s="106" t="s">
        <v>273</v>
      </c>
      <c r="I863" s="106" t="s">
        <v>22</v>
      </c>
      <c r="J863" s="106" t="s">
        <v>231</v>
      </c>
      <c r="K863" s="106"/>
      <c r="L863" s="108">
        <v>1</v>
      </c>
      <c r="M863" s="108">
        <f>L863*VLOOKUP(I863,dagsoorttabel1,2,FALSE)</f>
        <v>7.8431372549019607E-3</v>
      </c>
      <c r="N863" s="109">
        <f>prodnorm108</f>
        <v>0</v>
      </c>
      <c r="O863" s="106" t="s">
        <v>105</v>
      </c>
      <c r="P863" s="28">
        <f>uurtarief108</f>
        <v>0</v>
      </c>
      <c r="Q863" s="108" t="e">
        <f>IF(ISBLANK(N863),0,M863/ROUND(N863,4))</f>
        <v>#DIV/0!</v>
      </c>
      <c r="R863" s="28" t="e">
        <f>ROUND(P863,2)*Q863</f>
        <v>#DIV/0!</v>
      </c>
      <c r="S863" s="108" t="e">
        <f>Q863*dagenperjaar1</f>
        <v>#DIV/0!</v>
      </c>
      <c r="T863" s="29" t="e">
        <f>S863*ROUND(P863,2)</f>
        <v>#DIV/0!</v>
      </c>
    </row>
    <row r="864" spans="1:20" x14ac:dyDescent="0.2">
      <c r="A864" s="105" t="s">
        <v>877</v>
      </c>
      <c r="B864" s="106" t="s">
        <v>37</v>
      </c>
      <c r="C864" s="106" t="s">
        <v>322</v>
      </c>
      <c r="D864" s="106" t="s">
        <v>332</v>
      </c>
      <c r="E864" s="106" t="s">
        <v>37</v>
      </c>
      <c r="F864" s="107" t="s">
        <v>615</v>
      </c>
      <c r="G864" s="106" t="s">
        <v>369</v>
      </c>
      <c r="H864" s="106" t="s">
        <v>267</v>
      </c>
      <c r="I864" s="106" t="s">
        <v>22</v>
      </c>
      <c r="J864" s="106" t="s">
        <v>231</v>
      </c>
      <c r="K864" s="106"/>
      <c r="L864" s="108">
        <v>4.4000000000000004</v>
      </c>
      <c r="M864" s="108">
        <f>L864*VLOOKUP(I864,dagsoorttabel1,2,FALSE)</f>
        <v>3.4509803921568633E-2</v>
      </c>
      <c r="N864" s="109">
        <f>prodnorm96</f>
        <v>0</v>
      </c>
      <c r="O864" s="106" t="s">
        <v>105</v>
      </c>
      <c r="P864" s="28">
        <f>uurtarief96</f>
        <v>0</v>
      </c>
      <c r="Q864" s="108" t="e">
        <f>IF(ISBLANK(N864),0,M864/ROUND(N864,4))</f>
        <v>#DIV/0!</v>
      </c>
      <c r="R864" s="28" t="e">
        <f>ROUND(P864,2)*Q864</f>
        <v>#DIV/0!</v>
      </c>
      <c r="S864" s="108" t="e">
        <f>Q864*dagenperjaar1</f>
        <v>#DIV/0!</v>
      </c>
      <c r="T864" s="29" t="e">
        <f>S864*ROUND(P864,2)</f>
        <v>#DIV/0!</v>
      </c>
    </row>
    <row r="865" spans="1:20" x14ac:dyDescent="0.2">
      <c r="A865" s="110" t="s">
        <v>877</v>
      </c>
      <c r="B865" s="111" t="s">
        <v>37</v>
      </c>
      <c r="C865" s="111" t="s">
        <v>322</v>
      </c>
      <c r="D865" s="111" t="s">
        <v>334</v>
      </c>
      <c r="E865" s="111" t="s">
        <v>37</v>
      </c>
      <c r="F865" s="112" t="s">
        <v>371</v>
      </c>
      <c r="G865" s="111" t="s">
        <v>331</v>
      </c>
      <c r="H865" s="111" t="s">
        <v>255</v>
      </c>
      <c r="I865" s="111" t="s">
        <v>22</v>
      </c>
      <c r="J865" s="111" t="s">
        <v>231</v>
      </c>
      <c r="K865" s="111"/>
      <c r="L865" s="113">
        <v>9.6</v>
      </c>
      <c r="M865" s="113">
        <f>L865*VLOOKUP(I865,dagsoorttabel1,2,FALSE)</f>
        <v>7.5294117647058817E-2</v>
      </c>
      <c r="N865" s="114">
        <f>prodnorm71</f>
        <v>0</v>
      </c>
      <c r="O865" s="111" t="s">
        <v>105</v>
      </c>
      <c r="P865" s="38">
        <f>uurtarief71</f>
        <v>0</v>
      </c>
      <c r="Q865" s="113" t="e">
        <f>IF(ISBLANK(N865),0,M865/ROUND(N865,4))</f>
        <v>#DIV/0!</v>
      </c>
      <c r="R865" s="38" t="e">
        <f>ROUND(P865,2)*Q865</f>
        <v>#DIV/0!</v>
      </c>
      <c r="S865" s="113" t="e">
        <f>Q865*dagenperjaar1</f>
        <v>#DIV/0!</v>
      </c>
      <c r="T865" s="39" t="e">
        <f>S865*ROUND(P865,2)</f>
        <v>#DIV/0!</v>
      </c>
    </row>
    <row r="866" spans="1:20" x14ac:dyDescent="0.2">
      <c r="A866" s="115" t="s">
        <v>546</v>
      </c>
      <c r="B866" s="83"/>
      <c r="C866" s="83"/>
      <c r="D866" s="83"/>
      <c r="E866" s="83"/>
      <c r="F866" s="83"/>
      <c r="G866" s="83"/>
      <c r="H866" s="83"/>
      <c r="I866" s="83"/>
      <c r="J866" s="83"/>
      <c r="K866" s="83"/>
      <c r="L866" s="83"/>
      <c r="M866" s="83"/>
      <c r="N866" s="83"/>
      <c r="O866" s="83"/>
      <c r="P866" s="85" t="e">
        <f>IF(_xlfn.SINGLE(object64_urenjaar1)&gt;0,_xlfn.SINGLE(object64_prijsjaar1)/_xlfn.SINGLE(object64_urenjaar1),0)</f>
        <v>#DIV/0!</v>
      </c>
      <c r="Q866" s="84" t="e">
        <f>SUM(Q860:Q865)</f>
        <v>#DIV/0!</v>
      </c>
      <c r="R866" s="85" t="e">
        <f>SUM(R860:R865)</f>
        <v>#DIV/0!</v>
      </c>
      <c r="S866" s="84" t="e">
        <f>SUM(S860:S865)</f>
        <v>#DIV/0!</v>
      </c>
      <c r="T866" s="86" t="e">
        <f>SUM(T860:T865)</f>
        <v>#DIV/0!</v>
      </c>
    </row>
    <row r="867" spans="1:20" x14ac:dyDescent="0.2">
      <c r="A867" s="91" t="s">
        <v>878</v>
      </c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81"/>
    </row>
    <row r="868" spans="1:20" x14ac:dyDescent="0.2">
      <c r="A868" s="98" t="s">
        <v>879</v>
      </c>
      <c r="B868" s="99" t="s">
        <v>37</v>
      </c>
      <c r="C868" s="99" t="s">
        <v>322</v>
      </c>
      <c r="D868" s="99" t="s">
        <v>323</v>
      </c>
      <c r="E868" s="99" t="s">
        <v>37</v>
      </c>
      <c r="F868" s="100" t="s">
        <v>307</v>
      </c>
      <c r="G868" s="99" t="s">
        <v>369</v>
      </c>
      <c r="H868" s="99" t="s">
        <v>306</v>
      </c>
      <c r="I868" s="99" t="s">
        <v>22</v>
      </c>
      <c r="J868" s="99" t="s">
        <v>299</v>
      </c>
      <c r="K868" s="99"/>
      <c r="L868" s="101">
        <v>5.2</v>
      </c>
      <c r="M868" s="101">
        <f>L868*VLOOKUP(I868,dagsoorttabel1,2,FALSE)</f>
        <v>4.0784313725490198E-2</v>
      </c>
      <c r="N868" s="102">
        <f>prodnorm28</f>
        <v>0</v>
      </c>
      <c r="O868" s="99" t="s">
        <v>105</v>
      </c>
      <c r="P868" s="103">
        <f>uurtarief28</f>
        <v>0</v>
      </c>
      <c r="Q868" s="101" t="e">
        <f>IF(ISBLANK(N868),0,M868/ROUND(N868,4))</f>
        <v>#DIV/0!</v>
      </c>
      <c r="R868" s="103" t="e">
        <f>ROUND(P868,2)*Q868</f>
        <v>#DIV/0!</v>
      </c>
      <c r="S868" s="101" t="e">
        <f>Q868*dagenperjaar1</f>
        <v>#DIV/0!</v>
      </c>
      <c r="T868" s="104" t="e">
        <f>S868*ROUND(P868,2)</f>
        <v>#DIV/0!</v>
      </c>
    </row>
    <row r="869" spans="1:20" x14ac:dyDescent="0.2">
      <c r="A869" s="105" t="s">
        <v>879</v>
      </c>
      <c r="B869" s="106" t="s">
        <v>37</v>
      </c>
      <c r="C869" s="106" t="s">
        <v>322</v>
      </c>
      <c r="D869" s="106" t="s">
        <v>326</v>
      </c>
      <c r="E869" s="106" t="s">
        <v>37</v>
      </c>
      <c r="F869" s="107" t="s">
        <v>714</v>
      </c>
      <c r="G869" s="106" t="s">
        <v>632</v>
      </c>
      <c r="H869" s="106" t="s">
        <v>285</v>
      </c>
      <c r="I869" s="106" t="s">
        <v>23</v>
      </c>
      <c r="J869" s="106" t="s">
        <v>231</v>
      </c>
      <c r="K869" s="106"/>
      <c r="L869" s="108">
        <v>2</v>
      </c>
      <c r="M869" s="108">
        <f>L869*VLOOKUP(I869,dagsoorttabel1,2,FALSE)</f>
        <v>7.8431372549019607E-3</v>
      </c>
      <c r="N869" s="109">
        <f>prodnorm133</f>
        <v>0</v>
      </c>
      <c r="O869" s="106" t="s">
        <v>105</v>
      </c>
      <c r="P869" s="28">
        <f>uurtarief133</f>
        <v>0</v>
      </c>
      <c r="Q869" s="108" t="e">
        <f>IF(ISBLANK(N869),0,M869/ROUND(N869,4))</f>
        <v>#DIV/0!</v>
      </c>
      <c r="R869" s="28" t="e">
        <f>ROUND(P869,2)*Q869</f>
        <v>#DIV/0!</v>
      </c>
      <c r="S869" s="108" t="e">
        <f>Q869*dagenperjaar1</f>
        <v>#DIV/0!</v>
      </c>
      <c r="T869" s="29" t="e">
        <f>S869*ROUND(P869,2)</f>
        <v>#DIV/0!</v>
      </c>
    </row>
    <row r="870" spans="1:20" x14ac:dyDescent="0.2">
      <c r="A870" s="105" t="s">
        <v>879</v>
      </c>
      <c r="B870" s="106" t="s">
        <v>37</v>
      </c>
      <c r="C870" s="106" t="s">
        <v>322</v>
      </c>
      <c r="D870" s="106" t="s">
        <v>329</v>
      </c>
      <c r="E870" s="106" t="s">
        <v>37</v>
      </c>
      <c r="F870" s="107" t="s">
        <v>307</v>
      </c>
      <c r="G870" s="106" t="s">
        <v>331</v>
      </c>
      <c r="H870" s="106" t="s">
        <v>306</v>
      </c>
      <c r="I870" s="106" t="s">
        <v>22</v>
      </c>
      <c r="J870" s="106" t="s">
        <v>299</v>
      </c>
      <c r="K870" s="106"/>
      <c r="L870" s="108">
        <v>14.9</v>
      </c>
      <c r="M870" s="108">
        <f>L870*VLOOKUP(I870,dagsoorttabel1,2,FALSE)</f>
        <v>0.11686274509803922</v>
      </c>
      <c r="N870" s="109">
        <f>prodnorm28</f>
        <v>0</v>
      </c>
      <c r="O870" s="106" t="s">
        <v>105</v>
      </c>
      <c r="P870" s="28">
        <f>uurtarief28</f>
        <v>0</v>
      </c>
      <c r="Q870" s="108" t="e">
        <f>IF(ISBLANK(N870),0,M870/ROUND(N870,4))</f>
        <v>#DIV/0!</v>
      </c>
      <c r="R870" s="28" t="e">
        <f>ROUND(P870,2)*Q870</f>
        <v>#DIV/0!</v>
      </c>
      <c r="S870" s="108" t="e">
        <f>Q870*dagenperjaar1</f>
        <v>#DIV/0!</v>
      </c>
      <c r="T870" s="29" t="e">
        <f>S870*ROUND(P870,2)</f>
        <v>#DIV/0!</v>
      </c>
    </row>
    <row r="871" spans="1:20" x14ac:dyDescent="0.2">
      <c r="A871" s="105" t="s">
        <v>879</v>
      </c>
      <c r="B871" s="106" t="s">
        <v>37</v>
      </c>
      <c r="C871" s="106" t="s">
        <v>322</v>
      </c>
      <c r="D871" s="106" t="s">
        <v>332</v>
      </c>
      <c r="E871" s="106" t="s">
        <v>37</v>
      </c>
      <c r="F871" s="107" t="s">
        <v>615</v>
      </c>
      <c r="G871" s="106" t="s">
        <v>369</v>
      </c>
      <c r="H871" s="106" t="s">
        <v>267</v>
      </c>
      <c r="I871" s="106" t="s">
        <v>22</v>
      </c>
      <c r="J871" s="106" t="s">
        <v>231</v>
      </c>
      <c r="K871" s="106"/>
      <c r="L871" s="108">
        <v>1.7</v>
      </c>
      <c r="M871" s="108">
        <f>L871*VLOOKUP(I871,dagsoorttabel1,2,FALSE)</f>
        <v>1.3333333333333332E-2</v>
      </c>
      <c r="N871" s="109">
        <f>prodnorm96</f>
        <v>0</v>
      </c>
      <c r="O871" s="106" t="s">
        <v>105</v>
      </c>
      <c r="P871" s="28">
        <f>uurtarief96</f>
        <v>0</v>
      </c>
      <c r="Q871" s="108" t="e">
        <f>IF(ISBLANK(N871),0,M871/ROUND(N871,4))</f>
        <v>#DIV/0!</v>
      </c>
      <c r="R871" s="28" t="e">
        <f>ROUND(P871,2)*Q871</f>
        <v>#DIV/0!</v>
      </c>
      <c r="S871" s="108" t="e">
        <f>Q871*dagenperjaar1</f>
        <v>#DIV/0!</v>
      </c>
      <c r="T871" s="29" t="e">
        <f>S871*ROUND(P871,2)</f>
        <v>#DIV/0!</v>
      </c>
    </row>
    <row r="872" spans="1:20" x14ac:dyDescent="0.2">
      <c r="A872" s="110" t="s">
        <v>879</v>
      </c>
      <c r="B872" s="111" t="s">
        <v>37</v>
      </c>
      <c r="C872" s="111" t="s">
        <v>322</v>
      </c>
      <c r="D872" s="111" t="s">
        <v>334</v>
      </c>
      <c r="E872" s="111" t="s">
        <v>37</v>
      </c>
      <c r="F872" s="112" t="s">
        <v>307</v>
      </c>
      <c r="G872" s="111" t="s">
        <v>660</v>
      </c>
      <c r="H872" s="111" t="s">
        <v>306</v>
      </c>
      <c r="I872" s="111" t="s">
        <v>22</v>
      </c>
      <c r="J872" s="111" t="s">
        <v>299</v>
      </c>
      <c r="K872" s="111"/>
      <c r="L872" s="113">
        <v>2</v>
      </c>
      <c r="M872" s="113">
        <f>L872*VLOOKUP(I872,dagsoorttabel1,2,FALSE)</f>
        <v>1.5686274509803921E-2</v>
      </c>
      <c r="N872" s="114">
        <f>prodnorm28</f>
        <v>0</v>
      </c>
      <c r="O872" s="111" t="s">
        <v>105</v>
      </c>
      <c r="P872" s="38">
        <f>uurtarief28</f>
        <v>0</v>
      </c>
      <c r="Q872" s="113" t="e">
        <f>IF(ISBLANK(N872),0,M872/ROUND(N872,4))</f>
        <v>#DIV/0!</v>
      </c>
      <c r="R872" s="38" t="e">
        <f>ROUND(P872,2)*Q872</f>
        <v>#DIV/0!</v>
      </c>
      <c r="S872" s="113" t="e">
        <f>Q872*dagenperjaar1</f>
        <v>#DIV/0!</v>
      </c>
      <c r="T872" s="39" t="e">
        <f>S872*ROUND(P872,2)</f>
        <v>#DIV/0!</v>
      </c>
    </row>
    <row r="873" spans="1:20" x14ac:dyDescent="0.2">
      <c r="A873" s="115" t="s">
        <v>546</v>
      </c>
      <c r="B873" s="83"/>
      <c r="C873" s="83"/>
      <c r="D873" s="83"/>
      <c r="E873" s="83"/>
      <c r="F873" s="83"/>
      <c r="G873" s="83"/>
      <c r="H873" s="83"/>
      <c r="I873" s="83"/>
      <c r="J873" s="83"/>
      <c r="K873" s="83"/>
      <c r="L873" s="83"/>
      <c r="M873" s="83"/>
      <c r="N873" s="83"/>
      <c r="O873" s="83"/>
      <c r="P873" s="85" t="e">
        <f>IF(_xlfn.SINGLE(object65_urenjaar1)&gt;0,_xlfn.SINGLE(object65_prijsjaar1)/_xlfn.SINGLE(object65_urenjaar1),0)</f>
        <v>#DIV/0!</v>
      </c>
      <c r="Q873" s="84" t="e">
        <f>SUM(Q868:Q872)</f>
        <v>#DIV/0!</v>
      </c>
      <c r="R873" s="85" t="e">
        <f>SUM(R868:R872)</f>
        <v>#DIV/0!</v>
      </c>
      <c r="S873" s="84" t="e">
        <f>SUM(S868:S872)</f>
        <v>#DIV/0!</v>
      </c>
      <c r="T873" s="86" t="e">
        <f>SUM(T868:T872)</f>
        <v>#DIV/0!</v>
      </c>
    </row>
    <row r="874" spans="1:20" x14ac:dyDescent="0.2">
      <c r="A874" s="91" t="s">
        <v>880</v>
      </c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81"/>
    </row>
    <row r="875" spans="1:20" x14ac:dyDescent="0.2">
      <c r="A875" s="98" t="s">
        <v>881</v>
      </c>
      <c r="B875" s="99" t="s">
        <v>37</v>
      </c>
      <c r="C875" s="99" t="s">
        <v>733</v>
      </c>
      <c r="D875" s="99" t="s">
        <v>734</v>
      </c>
      <c r="E875" s="99" t="s">
        <v>37</v>
      </c>
      <c r="F875" s="100" t="s">
        <v>735</v>
      </c>
      <c r="G875" s="99" t="s">
        <v>661</v>
      </c>
      <c r="H875" s="99" t="s">
        <v>288</v>
      </c>
      <c r="I875" s="99" t="s">
        <v>20</v>
      </c>
      <c r="J875" s="99" t="s">
        <v>231</v>
      </c>
      <c r="K875" s="99"/>
      <c r="L875" s="101">
        <v>48.9</v>
      </c>
      <c r="M875" s="101">
        <f>L875*VLOOKUP(I875,dagsoorttabel1,2,FALSE)</f>
        <v>0.76705882352941168</v>
      </c>
      <c r="N875" s="102">
        <f>prodnorm138</f>
        <v>0</v>
      </c>
      <c r="O875" s="99" t="s">
        <v>105</v>
      </c>
      <c r="P875" s="103">
        <f>uurtarief138</f>
        <v>0</v>
      </c>
      <c r="Q875" s="101" t="e">
        <f>IF(ISBLANK(N875),0,M875/ROUND(N875,4))</f>
        <v>#DIV/0!</v>
      </c>
      <c r="R875" s="103" t="e">
        <f>ROUND(P875,2)*Q875</f>
        <v>#DIV/0!</v>
      </c>
      <c r="S875" s="101" t="e">
        <f>Q875*dagenperjaar1</f>
        <v>#DIV/0!</v>
      </c>
      <c r="T875" s="104" t="e">
        <f>S875*ROUND(P875,2)</f>
        <v>#DIV/0!</v>
      </c>
    </row>
    <row r="876" spans="1:20" x14ac:dyDescent="0.2">
      <c r="A876" s="105" t="s">
        <v>881</v>
      </c>
      <c r="B876" s="106" t="s">
        <v>37</v>
      </c>
      <c r="C876" s="106" t="s">
        <v>733</v>
      </c>
      <c r="D876" s="106" t="s">
        <v>736</v>
      </c>
      <c r="E876" s="106" t="s">
        <v>37</v>
      </c>
      <c r="F876" s="107" t="s">
        <v>735</v>
      </c>
      <c r="G876" s="106" t="s">
        <v>661</v>
      </c>
      <c r="H876" s="106" t="s">
        <v>288</v>
      </c>
      <c r="I876" s="106" t="s">
        <v>20</v>
      </c>
      <c r="J876" s="106" t="s">
        <v>231</v>
      </c>
      <c r="K876" s="106"/>
      <c r="L876" s="108">
        <v>54.8</v>
      </c>
      <c r="M876" s="108">
        <f>L876*VLOOKUP(I876,dagsoorttabel1,2,FALSE)</f>
        <v>0.8596078431372548</v>
      </c>
      <c r="N876" s="109">
        <f>prodnorm138</f>
        <v>0</v>
      </c>
      <c r="O876" s="106" t="s">
        <v>105</v>
      </c>
      <c r="P876" s="28">
        <f>uurtarief138</f>
        <v>0</v>
      </c>
      <c r="Q876" s="108" t="e">
        <f>IF(ISBLANK(N876),0,M876/ROUND(N876,4))</f>
        <v>#DIV/0!</v>
      </c>
      <c r="R876" s="28" t="e">
        <f>ROUND(P876,2)*Q876</f>
        <v>#DIV/0!</v>
      </c>
      <c r="S876" s="108" t="e">
        <f>Q876*dagenperjaar1</f>
        <v>#DIV/0!</v>
      </c>
      <c r="T876" s="29" t="e">
        <f>S876*ROUND(P876,2)</f>
        <v>#DIV/0!</v>
      </c>
    </row>
    <row r="877" spans="1:20" x14ac:dyDescent="0.2">
      <c r="A877" s="105" t="s">
        <v>881</v>
      </c>
      <c r="B877" s="106" t="s">
        <v>37</v>
      </c>
      <c r="C877" s="106" t="s">
        <v>322</v>
      </c>
      <c r="D877" s="106" t="s">
        <v>323</v>
      </c>
      <c r="E877" s="106" t="s">
        <v>37</v>
      </c>
      <c r="F877" s="107" t="s">
        <v>307</v>
      </c>
      <c r="G877" s="106" t="s">
        <v>369</v>
      </c>
      <c r="H877" s="106" t="s">
        <v>306</v>
      </c>
      <c r="I877" s="106" t="s">
        <v>20</v>
      </c>
      <c r="J877" s="106" t="s">
        <v>299</v>
      </c>
      <c r="K877" s="106"/>
      <c r="L877" s="108">
        <v>14.2</v>
      </c>
      <c r="M877" s="108">
        <f>L877*VLOOKUP(I877,dagsoorttabel1,2,FALSE)</f>
        <v>0.22274509803921566</v>
      </c>
      <c r="N877" s="109">
        <f>prodnorm30</f>
        <v>0</v>
      </c>
      <c r="O877" s="106" t="s">
        <v>105</v>
      </c>
      <c r="P877" s="28">
        <f>uurtarief30</f>
        <v>0</v>
      </c>
      <c r="Q877" s="108" t="e">
        <f>IF(ISBLANK(N877),0,M877/ROUND(N877,4))</f>
        <v>#DIV/0!</v>
      </c>
      <c r="R877" s="28" t="e">
        <f>ROUND(P877,2)*Q877</f>
        <v>#DIV/0!</v>
      </c>
      <c r="S877" s="108" t="e">
        <f>Q877*dagenperjaar1</f>
        <v>#DIV/0!</v>
      </c>
      <c r="T877" s="29" t="e">
        <f>S877*ROUND(P877,2)</f>
        <v>#DIV/0!</v>
      </c>
    </row>
    <row r="878" spans="1:20" x14ac:dyDescent="0.2">
      <c r="A878" s="105" t="s">
        <v>881</v>
      </c>
      <c r="B878" s="106" t="s">
        <v>37</v>
      </c>
      <c r="C878" s="106" t="s">
        <v>322</v>
      </c>
      <c r="D878" s="106" t="s">
        <v>326</v>
      </c>
      <c r="E878" s="106" t="s">
        <v>37</v>
      </c>
      <c r="F878" s="107" t="s">
        <v>882</v>
      </c>
      <c r="G878" s="106" t="s">
        <v>661</v>
      </c>
      <c r="H878" s="106" t="s">
        <v>288</v>
      </c>
      <c r="I878" s="106" t="s">
        <v>20</v>
      </c>
      <c r="J878" s="106" t="s">
        <v>231</v>
      </c>
      <c r="K878" s="106"/>
      <c r="L878" s="108">
        <v>65.7</v>
      </c>
      <c r="M878" s="108">
        <f>L878*VLOOKUP(I878,dagsoorttabel1,2,FALSE)</f>
        <v>1.0305882352941176</v>
      </c>
      <c r="N878" s="109">
        <f>prodnorm138</f>
        <v>0</v>
      </c>
      <c r="O878" s="106" t="s">
        <v>105</v>
      </c>
      <c r="P878" s="28">
        <f>uurtarief138</f>
        <v>0</v>
      </c>
      <c r="Q878" s="108" t="e">
        <f>IF(ISBLANK(N878),0,M878/ROUND(N878,4))</f>
        <v>#DIV/0!</v>
      </c>
      <c r="R878" s="28" t="e">
        <f>ROUND(P878,2)*Q878</f>
        <v>#DIV/0!</v>
      </c>
      <c r="S878" s="108" t="e">
        <f>Q878*dagenperjaar1</f>
        <v>#DIV/0!</v>
      </c>
      <c r="T878" s="29" t="e">
        <f>S878*ROUND(P878,2)</f>
        <v>#DIV/0!</v>
      </c>
    </row>
    <row r="879" spans="1:20" x14ac:dyDescent="0.2">
      <c r="A879" s="105" t="s">
        <v>881</v>
      </c>
      <c r="B879" s="106" t="s">
        <v>37</v>
      </c>
      <c r="C879" s="106" t="s">
        <v>322</v>
      </c>
      <c r="D879" s="106" t="s">
        <v>329</v>
      </c>
      <c r="E879" s="106" t="s">
        <v>37</v>
      </c>
      <c r="F879" s="107" t="s">
        <v>615</v>
      </c>
      <c r="G879" s="106" t="s">
        <v>369</v>
      </c>
      <c r="H879" s="106" t="s">
        <v>267</v>
      </c>
      <c r="I879" s="106" t="s">
        <v>15</v>
      </c>
      <c r="J879" s="106" t="s">
        <v>231</v>
      </c>
      <c r="K879" s="106"/>
      <c r="L879" s="108">
        <v>5</v>
      </c>
      <c r="M879" s="108">
        <f>L879*VLOOKUP(I879,dagsoorttabel1,2,FALSE)</f>
        <v>0.23529411764705882</v>
      </c>
      <c r="N879" s="109">
        <f>prodnorm93</f>
        <v>0</v>
      </c>
      <c r="O879" s="106" t="s">
        <v>105</v>
      </c>
      <c r="P879" s="28">
        <f>uurtarief93</f>
        <v>0</v>
      </c>
      <c r="Q879" s="108" t="e">
        <f>IF(ISBLANK(N879),0,M879/ROUND(N879,4))</f>
        <v>#DIV/0!</v>
      </c>
      <c r="R879" s="28" t="e">
        <f>ROUND(P879,2)*Q879</f>
        <v>#DIV/0!</v>
      </c>
      <c r="S879" s="108" t="e">
        <f>Q879*dagenperjaar1</f>
        <v>#DIV/0!</v>
      </c>
      <c r="T879" s="29" t="e">
        <f>S879*ROUND(P879,2)</f>
        <v>#DIV/0!</v>
      </c>
    </row>
    <row r="880" spans="1:20" x14ac:dyDescent="0.2">
      <c r="A880" s="105" t="s">
        <v>881</v>
      </c>
      <c r="B880" s="106" t="s">
        <v>37</v>
      </c>
      <c r="C880" s="106" t="s">
        <v>322</v>
      </c>
      <c r="D880" s="106" t="s">
        <v>332</v>
      </c>
      <c r="E880" s="106" t="s">
        <v>37</v>
      </c>
      <c r="F880" s="107" t="s">
        <v>714</v>
      </c>
      <c r="G880" s="106" t="s">
        <v>331</v>
      </c>
      <c r="H880" s="106" t="s">
        <v>285</v>
      </c>
      <c r="I880" s="106" t="s">
        <v>15</v>
      </c>
      <c r="J880" s="106" t="s">
        <v>231</v>
      </c>
      <c r="K880" s="106"/>
      <c r="L880" s="108">
        <v>3.8</v>
      </c>
      <c r="M880" s="108">
        <f>L880*VLOOKUP(I880,dagsoorttabel1,2,FALSE)</f>
        <v>0.17882352941176469</v>
      </c>
      <c r="N880" s="109">
        <f>prodnorm132</f>
        <v>0</v>
      </c>
      <c r="O880" s="106" t="s">
        <v>105</v>
      </c>
      <c r="P880" s="28">
        <f>uurtarief132</f>
        <v>0</v>
      </c>
      <c r="Q880" s="108" t="e">
        <f>IF(ISBLANK(N880),0,M880/ROUND(N880,4))</f>
        <v>#DIV/0!</v>
      </c>
      <c r="R880" s="28" t="e">
        <f>ROUND(P880,2)*Q880</f>
        <v>#DIV/0!</v>
      </c>
      <c r="S880" s="108" t="e">
        <f>Q880*dagenperjaar1</f>
        <v>#DIV/0!</v>
      </c>
      <c r="T880" s="29" t="e">
        <f>S880*ROUND(P880,2)</f>
        <v>#DIV/0!</v>
      </c>
    </row>
    <row r="881" spans="1:20" x14ac:dyDescent="0.2">
      <c r="A881" s="105" t="s">
        <v>881</v>
      </c>
      <c r="B881" s="106" t="s">
        <v>37</v>
      </c>
      <c r="C881" s="106" t="s">
        <v>322</v>
      </c>
      <c r="D881" s="106" t="s">
        <v>334</v>
      </c>
      <c r="E881" s="106" t="s">
        <v>37</v>
      </c>
      <c r="F881" s="107" t="s">
        <v>654</v>
      </c>
      <c r="G881" s="106" t="s">
        <v>851</v>
      </c>
      <c r="H881" s="106" t="s">
        <v>290</v>
      </c>
      <c r="I881" s="106" t="s">
        <v>15</v>
      </c>
      <c r="J881" s="106" t="s">
        <v>231</v>
      </c>
      <c r="K881" s="106"/>
      <c r="L881" s="108">
        <v>5</v>
      </c>
      <c r="M881" s="108">
        <f>L881*VLOOKUP(I881,dagsoorttabel1,2,FALSE)</f>
        <v>0.23529411764705882</v>
      </c>
      <c r="N881" s="109">
        <f>prodnorm139</f>
        <v>0</v>
      </c>
      <c r="O881" s="106" t="s">
        <v>105</v>
      </c>
      <c r="P881" s="28">
        <f>uurtarief139</f>
        <v>0</v>
      </c>
      <c r="Q881" s="108" t="e">
        <f>IF(ISBLANK(N881),0,M881/ROUND(N881,4))</f>
        <v>#DIV/0!</v>
      </c>
      <c r="R881" s="28" t="e">
        <f>ROUND(P881,2)*Q881</f>
        <v>#DIV/0!</v>
      </c>
      <c r="S881" s="108" t="e">
        <f>Q881*dagenperjaar1</f>
        <v>#DIV/0!</v>
      </c>
      <c r="T881" s="29" t="e">
        <f>S881*ROUND(P881,2)</f>
        <v>#DIV/0!</v>
      </c>
    </row>
    <row r="882" spans="1:20" x14ac:dyDescent="0.2">
      <c r="A882" s="105" t="s">
        <v>881</v>
      </c>
      <c r="B882" s="106" t="s">
        <v>37</v>
      </c>
      <c r="C882" s="106" t="s">
        <v>322</v>
      </c>
      <c r="D882" s="106" t="s">
        <v>336</v>
      </c>
      <c r="E882" s="106" t="s">
        <v>37</v>
      </c>
      <c r="F882" s="107" t="s">
        <v>307</v>
      </c>
      <c r="G882" s="106" t="s">
        <v>660</v>
      </c>
      <c r="H882" s="106" t="s">
        <v>306</v>
      </c>
      <c r="I882" s="106" t="s">
        <v>20</v>
      </c>
      <c r="J882" s="106" t="s">
        <v>299</v>
      </c>
      <c r="K882" s="106"/>
      <c r="L882" s="108">
        <v>4</v>
      </c>
      <c r="M882" s="108">
        <f>L882*VLOOKUP(I882,dagsoorttabel1,2,FALSE)</f>
        <v>6.2745098039215685E-2</v>
      </c>
      <c r="N882" s="109">
        <f>prodnorm30</f>
        <v>0</v>
      </c>
      <c r="O882" s="106" t="s">
        <v>105</v>
      </c>
      <c r="P882" s="28">
        <f>uurtarief30</f>
        <v>0</v>
      </c>
      <c r="Q882" s="108" t="e">
        <f>IF(ISBLANK(N882),0,M882/ROUND(N882,4))</f>
        <v>#DIV/0!</v>
      </c>
      <c r="R882" s="28" t="e">
        <f>ROUND(P882,2)*Q882</f>
        <v>#DIV/0!</v>
      </c>
      <c r="S882" s="108" t="e">
        <f>Q882*dagenperjaar1</f>
        <v>#DIV/0!</v>
      </c>
      <c r="T882" s="29" t="e">
        <f>S882*ROUND(P882,2)</f>
        <v>#DIV/0!</v>
      </c>
    </row>
    <row r="883" spans="1:20" x14ac:dyDescent="0.2">
      <c r="A883" s="105" t="s">
        <v>881</v>
      </c>
      <c r="B883" s="106" t="s">
        <v>37</v>
      </c>
      <c r="C883" s="106" t="s">
        <v>322</v>
      </c>
      <c r="D883" s="106" t="s">
        <v>338</v>
      </c>
      <c r="E883" s="106" t="s">
        <v>37</v>
      </c>
      <c r="F883" s="107" t="s">
        <v>307</v>
      </c>
      <c r="G883" s="106" t="s">
        <v>331</v>
      </c>
      <c r="H883" s="106" t="s">
        <v>306</v>
      </c>
      <c r="I883" s="106" t="s">
        <v>20</v>
      </c>
      <c r="J883" s="106" t="s">
        <v>299</v>
      </c>
      <c r="K883" s="106"/>
      <c r="L883" s="108">
        <v>257</v>
      </c>
      <c r="M883" s="108">
        <f>L883*VLOOKUP(I883,dagsoorttabel1,2,FALSE)</f>
        <v>4.0313725490196077</v>
      </c>
      <c r="N883" s="109">
        <f>prodnorm30</f>
        <v>0</v>
      </c>
      <c r="O883" s="106" t="s">
        <v>105</v>
      </c>
      <c r="P883" s="28">
        <f>uurtarief30</f>
        <v>0</v>
      </c>
      <c r="Q883" s="108" t="e">
        <f>IF(ISBLANK(N883),0,M883/ROUND(N883,4))</f>
        <v>#DIV/0!</v>
      </c>
      <c r="R883" s="28" t="e">
        <f>ROUND(P883,2)*Q883</f>
        <v>#DIV/0!</v>
      </c>
      <c r="S883" s="108" t="e">
        <f>Q883*dagenperjaar1</f>
        <v>#DIV/0!</v>
      </c>
      <c r="T883" s="29" t="e">
        <f>S883*ROUND(P883,2)</f>
        <v>#DIV/0!</v>
      </c>
    </row>
    <row r="884" spans="1:20" x14ac:dyDescent="0.2">
      <c r="A884" s="110" t="s">
        <v>881</v>
      </c>
      <c r="B884" s="111" t="s">
        <v>37</v>
      </c>
      <c r="C884" s="111" t="s">
        <v>322</v>
      </c>
      <c r="D884" s="111" t="s">
        <v>339</v>
      </c>
      <c r="E884" s="111" t="s">
        <v>37</v>
      </c>
      <c r="F884" s="112" t="s">
        <v>654</v>
      </c>
      <c r="G884" s="111" t="s">
        <v>851</v>
      </c>
      <c r="H884" s="111" t="s">
        <v>290</v>
      </c>
      <c r="I884" s="111" t="s">
        <v>15</v>
      </c>
      <c r="J884" s="111" t="s">
        <v>231</v>
      </c>
      <c r="K884" s="111"/>
      <c r="L884" s="113">
        <v>10</v>
      </c>
      <c r="M884" s="113">
        <f>L884*VLOOKUP(I884,dagsoorttabel1,2,FALSE)</f>
        <v>0.47058823529411764</v>
      </c>
      <c r="N884" s="114">
        <f>prodnorm139</f>
        <v>0</v>
      </c>
      <c r="O884" s="111" t="s">
        <v>105</v>
      </c>
      <c r="P884" s="38">
        <f>uurtarief139</f>
        <v>0</v>
      </c>
      <c r="Q884" s="113" t="e">
        <f>IF(ISBLANK(N884),0,M884/ROUND(N884,4))</f>
        <v>#DIV/0!</v>
      </c>
      <c r="R884" s="38" t="e">
        <f>ROUND(P884,2)*Q884</f>
        <v>#DIV/0!</v>
      </c>
      <c r="S884" s="113" t="e">
        <f>Q884*dagenperjaar1</f>
        <v>#DIV/0!</v>
      </c>
      <c r="T884" s="39" t="e">
        <f>S884*ROUND(P884,2)</f>
        <v>#DIV/0!</v>
      </c>
    </row>
    <row r="885" spans="1:20" x14ac:dyDescent="0.2">
      <c r="A885" s="115" t="s">
        <v>546</v>
      </c>
      <c r="B885" s="83"/>
      <c r="C885" s="83"/>
      <c r="D885" s="83"/>
      <c r="E885" s="83"/>
      <c r="F885" s="83"/>
      <c r="G885" s="83"/>
      <c r="H885" s="83"/>
      <c r="I885" s="83"/>
      <c r="J885" s="83"/>
      <c r="K885" s="83"/>
      <c r="L885" s="83"/>
      <c r="M885" s="83"/>
      <c r="N885" s="83"/>
      <c r="O885" s="83"/>
      <c r="P885" s="85" t="e">
        <f>IF(_xlfn.SINGLE(object66_urenjaar1)&gt;0,_xlfn.SINGLE(object66_prijsjaar1)/_xlfn.SINGLE(object66_urenjaar1),0)</f>
        <v>#DIV/0!</v>
      </c>
      <c r="Q885" s="84" t="e">
        <f>SUM(Q875:Q884)</f>
        <v>#DIV/0!</v>
      </c>
      <c r="R885" s="85" t="e">
        <f>SUM(R875:R884)</f>
        <v>#DIV/0!</v>
      </c>
      <c r="S885" s="84" t="e">
        <f>SUM(S875:S884)</f>
        <v>#DIV/0!</v>
      </c>
      <c r="T885" s="86" t="e">
        <f>SUM(T875:T884)</f>
        <v>#DIV/0!</v>
      </c>
    </row>
    <row r="886" spans="1:20" x14ac:dyDescent="0.2">
      <c r="A886" s="91" t="s">
        <v>883</v>
      </c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81"/>
    </row>
    <row r="887" spans="1:20" x14ac:dyDescent="0.2">
      <c r="A887" s="53" t="s">
        <v>884</v>
      </c>
      <c r="B887" s="54" t="s">
        <v>37</v>
      </c>
      <c r="C887" s="54" t="s">
        <v>322</v>
      </c>
      <c r="D887" s="54" t="s">
        <v>323</v>
      </c>
      <c r="E887" s="54" t="s">
        <v>37</v>
      </c>
      <c r="F887" s="92" t="s">
        <v>307</v>
      </c>
      <c r="G887" s="54" t="s">
        <v>632</v>
      </c>
      <c r="H887" s="54" t="s">
        <v>306</v>
      </c>
      <c r="I887" s="54" t="s">
        <v>22</v>
      </c>
      <c r="J887" s="54" t="s">
        <v>299</v>
      </c>
      <c r="K887" s="54"/>
      <c r="L887" s="72">
        <v>5.4</v>
      </c>
      <c r="M887" s="72">
        <f>L887*VLOOKUP(I887,dagsoorttabel1,2,FALSE)</f>
        <v>4.2352941176470593E-2</v>
      </c>
      <c r="N887" s="73">
        <f>prodnorm28</f>
        <v>0</v>
      </c>
      <c r="O887" s="54" t="s">
        <v>105</v>
      </c>
      <c r="P887" s="55">
        <f>uurtarief28</f>
        <v>0</v>
      </c>
      <c r="Q887" s="72" t="e">
        <f>IF(ISBLANK(N887),0,M887/ROUND(N887,4))</f>
        <v>#DIV/0!</v>
      </c>
      <c r="R887" s="55" t="e">
        <f>ROUND(P887,2)*Q887</f>
        <v>#DIV/0!</v>
      </c>
      <c r="S887" s="72" t="e">
        <f>Q887*dagenperjaar1</f>
        <v>#DIV/0!</v>
      </c>
      <c r="T887" s="56" t="e">
        <f>S887*ROUND(P887,2)</f>
        <v>#DIV/0!</v>
      </c>
    </row>
    <row r="888" spans="1:20" x14ac:dyDescent="0.2">
      <c r="A888" s="50" t="s">
        <v>885</v>
      </c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2"/>
    </row>
    <row r="889" spans="1:20" x14ac:dyDescent="0.2">
      <c r="A889" s="53" t="s">
        <v>886</v>
      </c>
      <c r="B889" s="54" t="s">
        <v>37</v>
      </c>
      <c r="C889" s="54" t="s">
        <v>322</v>
      </c>
      <c r="D889" s="54" t="s">
        <v>323</v>
      </c>
      <c r="E889" s="54" t="s">
        <v>37</v>
      </c>
      <c r="F889" s="92" t="s">
        <v>307</v>
      </c>
      <c r="G889" s="54" t="s">
        <v>632</v>
      </c>
      <c r="H889" s="54" t="s">
        <v>306</v>
      </c>
      <c r="I889" s="54" t="s">
        <v>22</v>
      </c>
      <c r="J889" s="54" t="s">
        <v>299</v>
      </c>
      <c r="K889" s="54"/>
      <c r="L889" s="72">
        <v>3.6</v>
      </c>
      <c r="M889" s="72">
        <f>L889*VLOOKUP(I889,dagsoorttabel1,2,FALSE)</f>
        <v>2.823529411764706E-2</v>
      </c>
      <c r="N889" s="73">
        <f>prodnorm28</f>
        <v>0</v>
      </c>
      <c r="O889" s="54" t="s">
        <v>105</v>
      </c>
      <c r="P889" s="55">
        <f>uurtarief28</f>
        <v>0</v>
      </c>
      <c r="Q889" s="72" t="e">
        <f>IF(ISBLANK(N889),0,M889/ROUND(N889,4))</f>
        <v>#DIV/0!</v>
      </c>
      <c r="R889" s="55" t="e">
        <f>ROUND(P889,2)*Q889</f>
        <v>#DIV/0!</v>
      </c>
      <c r="S889" s="72" t="e">
        <f>Q889*dagenperjaar1</f>
        <v>#DIV/0!</v>
      </c>
      <c r="T889" s="56" t="e">
        <f>S889*ROUND(P889,2)</f>
        <v>#DIV/0!</v>
      </c>
    </row>
    <row r="890" spans="1:20" x14ac:dyDescent="0.2">
      <c r="A890" s="50" t="s">
        <v>887</v>
      </c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2"/>
    </row>
    <row r="891" spans="1:20" x14ac:dyDescent="0.2">
      <c r="A891" s="53" t="s">
        <v>888</v>
      </c>
      <c r="B891" s="54" t="s">
        <v>37</v>
      </c>
      <c r="C891" s="54" t="s">
        <v>322</v>
      </c>
      <c r="D891" s="54" t="s">
        <v>323</v>
      </c>
      <c r="E891" s="54" t="s">
        <v>37</v>
      </c>
      <c r="F891" s="92" t="s">
        <v>307</v>
      </c>
      <c r="G891" s="54" t="s">
        <v>632</v>
      </c>
      <c r="H891" s="54" t="s">
        <v>306</v>
      </c>
      <c r="I891" s="54" t="s">
        <v>22</v>
      </c>
      <c r="J891" s="54" t="s">
        <v>299</v>
      </c>
      <c r="K891" s="54"/>
      <c r="L891" s="72">
        <v>3</v>
      </c>
      <c r="M891" s="72">
        <f>L891*VLOOKUP(I891,dagsoorttabel1,2,FALSE)</f>
        <v>2.3529411764705882E-2</v>
      </c>
      <c r="N891" s="73">
        <f>prodnorm28</f>
        <v>0</v>
      </c>
      <c r="O891" s="54" t="s">
        <v>105</v>
      </c>
      <c r="P891" s="55">
        <f>uurtarief28</f>
        <v>0</v>
      </c>
      <c r="Q891" s="72" t="e">
        <f>IF(ISBLANK(N891),0,M891/ROUND(N891,4))</f>
        <v>#DIV/0!</v>
      </c>
      <c r="R891" s="55" t="e">
        <f>ROUND(P891,2)*Q891</f>
        <v>#DIV/0!</v>
      </c>
      <c r="S891" s="72" t="e">
        <f>Q891*dagenperjaar1</f>
        <v>#DIV/0!</v>
      </c>
      <c r="T891" s="56" t="e">
        <f>S891*ROUND(P891,2)</f>
        <v>#DIV/0!</v>
      </c>
    </row>
    <row r="892" spans="1:20" x14ac:dyDescent="0.2">
      <c r="A892" s="50" t="s">
        <v>889</v>
      </c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2"/>
    </row>
    <row r="893" spans="1:20" x14ac:dyDescent="0.2">
      <c r="A893" s="93" t="s">
        <v>890</v>
      </c>
      <c r="B893" s="94" t="s">
        <v>37</v>
      </c>
      <c r="C893" s="94" t="s">
        <v>322</v>
      </c>
      <c r="D893" s="94" t="s">
        <v>323</v>
      </c>
      <c r="E893" s="94" t="s">
        <v>37</v>
      </c>
      <c r="F893" s="95" t="s">
        <v>307</v>
      </c>
      <c r="G893" s="94" t="s">
        <v>632</v>
      </c>
      <c r="H893" s="94" t="s">
        <v>306</v>
      </c>
      <c r="I893" s="94" t="s">
        <v>22</v>
      </c>
      <c r="J893" s="94" t="s">
        <v>299</v>
      </c>
      <c r="K893" s="94"/>
      <c r="L893" s="96">
        <v>7.4</v>
      </c>
      <c r="M893" s="96">
        <f>L893*VLOOKUP(I893,dagsoorttabel1,2,FALSE)</f>
        <v>5.8039215686274515E-2</v>
      </c>
      <c r="N893" s="97">
        <f>prodnorm28</f>
        <v>0</v>
      </c>
      <c r="O893" s="94" t="s">
        <v>105</v>
      </c>
      <c r="P893" s="8">
        <f>uurtarief28</f>
        <v>0</v>
      </c>
      <c r="Q893" s="96" t="e">
        <f>IF(ISBLANK(N893),0,M893/ROUND(N893,4))</f>
        <v>#DIV/0!</v>
      </c>
      <c r="R893" s="8" t="e">
        <f>ROUND(P893,2)*Q893</f>
        <v>#DIV/0!</v>
      </c>
      <c r="S893" s="96" t="e">
        <f>Q893*dagenperjaar1</f>
        <v>#DIV/0!</v>
      </c>
      <c r="T893" s="9" t="e">
        <f>S893*ROUND(P893,2)</f>
        <v>#DIV/0!</v>
      </c>
    </row>
    <row r="894" spans="1:20" x14ac:dyDescent="0.2">
      <c r="A894" s="82" t="s">
        <v>546</v>
      </c>
      <c r="B894" s="83"/>
      <c r="C894" s="83"/>
      <c r="D894" s="83"/>
      <c r="E894" s="83"/>
      <c r="F894" s="83"/>
      <c r="G894" s="83"/>
      <c r="H894" s="83"/>
      <c r="I894" s="83"/>
      <c r="J894" s="83"/>
      <c r="K894" s="83"/>
      <c r="L894" s="83"/>
      <c r="M894" s="83"/>
      <c r="N894" s="83"/>
      <c r="O894" s="83"/>
      <c r="P894" s="85" t="e">
        <f>IF(_xlfn.SINGLE(object70_urenjaar1)&gt;0,_xlfn.SINGLE(object70_prijsjaar1)/_xlfn.SINGLE(object70_urenjaar1),0)</f>
        <v>#DIV/0!</v>
      </c>
      <c r="Q894" s="84" t="e">
        <f>SUM(Q893:Q893)</f>
        <v>#DIV/0!</v>
      </c>
      <c r="R894" s="85" t="e">
        <f>SUM(R893:R893)</f>
        <v>#DIV/0!</v>
      </c>
      <c r="S894" s="84" t="e">
        <f>SUM(S893:S893)</f>
        <v>#DIV/0!</v>
      </c>
      <c r="T894" s="85" t="e">
        <f>SUM(T893:T893)</f>
        <v>#DIV/0!</v>
      </c>
    </row>
  </sheetData>
  <sheetProtection algorithmName="SHA-512" hashValue="7D1ifHY1UXn2BqriTJ00thtzX92NQunTNR/Zqoe9Layo5dZcjwZw0Fk2jqNauyJkfjrYSF16NT6hXbCMJQQe/Q==" saltValue="XwWHsWdRFoG8pKA4944PNQ==" spinCount="100000" sheet="1" objects="1" scenarios="1" autoFilter="0"/>
  <autoFilter ref="A3:T894" xr:uid="{2B3C4B5F-60BB-44AE-98DB-3E838AF0FA59}"/>
  <pageMargins left="0.7" right="0.7" top="0.75" bottom="0.75" header="0.3" footer="0.3"/>
  <pageSetup paperSize="9" scale="61" orientation="landscape" r:id="rId1"/>
  <headerFooter>
    <oddFooter>&amp;LWaterschap Vallei &amp; Veluwe EA 2027                          &amp;ROpmaakdatum: 30-10-2026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DBB38-DB0A-4DE7-8C66-00831D97CE0F}">
  <dimension ref="A1:BZ136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78" width="12.625" customWidth="1"/>
  </cols>
  <sheetData>
    <row r="1" spans="1:78" x14ac:dyDescent="0.2">
      <c r="A1" s="1" t="s">
        <v>891</v>
      </c>
    </row>
    <row r="3" spans="1:78" ht="25.5" x14ac:dyDescent="0.2">
      <c r="A3" s="118" t="s">
        <v>222</v>
      </c>
      <c r="B3" s="118" t="s">
        <v>7</v>
      </c>
      <c r="C3" s="119" t="s">
        <v>892</v>
      </c>
      <c r="D3" s="119" t="s">
        <v>893</v>
      </c>
      <c r="E3" s="119" t="s">
        <v>894</v>
      </c>
      <c r="F3" s="119" t="s">
        <v>895</v>
      </c>
      <c r="G3" s="119" t="s">
        <v>896</v>
      </c>
      <c r="H3" s="118" t="s">
        <v>897</v>
      </c>
      <c r="I3" s="118" t="s">
        <v>898</v>
      </c>
      <c r="J3" s="118" t="s">
        <v>899</v>
      </c>
      <c r="K3" s="118" t="s">
        <v>900</v>
      </c>
      <c r="L3" s="118" t="s">
        <v>901</v>
      </c>
      <c r="M3" s="118" t="s">
        <v>902</v>
      </c>
      <c r="N3" s="118" t="s">
        <v>903</v>
      </c>
      <c r="O3" s="118" t="s">
        <v>904</v>
      </c>
      <c r="P3" s="118" t="s">
        <v>905</v>
      </c>
      <c r="Q3" s="118" t="s">
        <v>906</v>
      </c>
      <c r="R3" s="118" t="s">
        <v>907</v>
      </c>
      <c r="S3" s="118" t="s">
        <v>908</v>
      </c>
      <c r="T3" s="118" t="s">
        <v>909</v>
      </c>
      <c r="U3" s="118" t="s">
        <v>910</v>
      </c>
      <c r="V3" s="118" t="s">
        <v>911</v>
      </c>
      <c r="W3" s="118" t="s">
        <v>912</v>
      </c>
      <c r="X3" s="118" t="s">
        <v>913</v>
      </c>
      <c r="Y3" s="118" t="s">
        <v>914</v>
      </c>
      <c r="Z3" s="118" t="s">
        <v>915</v>
      </c>
      <c r="AA3" s="118" t="s">
        <v>916</v>
      </c>
      <c r="AB3" s="118" t="s">
        <v>917</v>
      </c>
      <c r="AC3" s="118" t="s">
        <v>918</v>
      </c>
      <c r="AD3" s="118" t="s">
        <v>919</v>
      </c>
      <c r="AE3" s="118" t="s">
        <v>920</v>
      </c>
      <c r="AF3" s="118" t="s">
        <v>921</v>
      </c>
      <c r="AG3" s="118" t="s">
        <v>922</v>
      </c>
      <c r="AH3" s="118" t="s">
        <v>923</v>
      </c>
      <c r="AI3" s="118" t="s">
        <v>924</v>
      </c>
      <c r="AJ3" s="118" t="s">
        <v>925</v>
      </c>
      <c r="AK3" s="118" t="s">
        <v>926</v>
      </c>
      <c r="AL3" s="118" t="s">
        <v>927</v>
      </c>
      <c r="AM3" s="118" t="s">
        <v>928</v>
      </c>
      <c r="AN3" s="118" t="s">
        <v>929</v>
      </c>
      <c r="AO3" s="118" t="s">
        <v>930</v>
      </c>
      <c r="AP3" s="118" t="s">
        <v>931</v>
      </c>
      <c r="AQ3" s="118" t="s">
        <v>932</v>
      </c>
      <c r="AR3" s="118" t="s">
        <v>933</v>
      </c>
      <c r="AS3" s="118" t="s">
        <v>934</v>
      </c>
      <c r="AT3" s="118" t="s">
        <v>935</v>
      </c>
      <c r="AU3" s="118" t="s">
        <v>936</v>
      </c>
      <c r="AV3" s="118" t="s">
        <v>937</v>
      </c>
      <c r="AW3" s="118" t="s">
        <v>938</v>
      </c>
      <c r="AX3" s="118" t="s">
        <v>939</v>
      </c>
      <c r="AY3" s="118" t="s">
        <v>940</v>
      </c>
      <c r="AZ3" s="118" t="s">
        <v>941</v>
      </c>
      <c r="BA3" s="118" t="s">
        <v>942</v>
      </c>
      <c r="BB3" s="118" t="s">
        <v>943</v>
      </c>
      <c r="BC3" s="118" t="s">
        <v>944</v>
      </c>
      <c r="BD3" s="118" t="s">
        <v>945</v>
      </c>
      <c r="BE3" s="118" t="s">
        <v>946</v>
      </c>
      <c r="BF3" s="118" t="s">
        <v>947</v>
      </c>
      <c r="BG3" s="118" t="s">
        <v>948</v>
      </c>
      <c r="BH3" s="118" t="s">
        <v>949</v>
      </c>
      <c r="BI3" s="118" t="s">
        <v>950</v>
      </c>
      <c r="BJ3" s="118" t="s">
        <v>951</v>
      </c>
      <c r="BK3" s="118" t="s">
        <v>952</v>
      </c>
      <c r="BL3" s="118" t="s">
        <v>953</v>
      </c>
      <c r="BM3" s="118" t="s">
        <v>954</v>
      </c>
      <c r="BN3" s="118" t="s">
        <v>955</v>
      </c>
      <c r="BO3" s="118" t="s">
        <v>956</v>
      </c>
      <c r="BP3" s="118" t="s">
        <v>957</v>
      </c>
      <c r="BQ3" s="118" t="s">
        <v>958</v>
      </c>
      <c r="BR3" s="118" t="s">
        <v>959</v>
      </c>
      <c r="BS3" s="118" t="s">
        <v>960</v>
      </c>
      <c r="BT3" s="118" t="s">
        <v>961</v>
      </c>
      <c r="BU3" s="118" t="s">
        <v>962</v>
      </c>
      <c r="BV3" s="118" t="s">
        <v>963</v>
      </c>
      <c r="BW3" s="118" t="s">
        <v>964</v>
      </c>
      <c r="BX3" s="118" t="s">
        <v>965</v>
      </c>
      <c r="BY3" s="118" t="s">
        <v>966</v>
      </c>
      <c r="BZ3" s="118" t="s">
        <v>967</v>
      </c>
    </row>
    <row r="4" spans="1:78" x14ac:dyDescent="0.2">
      <c r="A4" s="120"/>
      <c r="B4" s="120"/>
      <c r="C4" s="120"/>
      <c r="D4" s="120"/>
      <c r="E4" s="120"/>
      <c r="F4" s="120"/>
      <c r="G4" s="120"/>
      <c r="H4" s="120"/>
      <c r="I4" s="121" t="s">
        <v>224</v>
      </c>
      <c r="J4" s="121" t="s">
        <v>224</v>
      </c>
      <c r="K4" s="121" t="s">
        <v>224</v>
      </c>
      <c r="L4" s="121" t="s">
        <v>224</v>
      </c>
      <c r="M4" s="121" t="s">
        <v>224</v>
      </c>
      <c r="N4" s="121" t="s">
        <v>224</v>
      </c>
      <c r="O4" s="121" t="s">
        <v>224</v>
      </c>
      <c r="P4" s="121" t="s">
        <v>224</v>
      </c>
      <c r="Q4" s="121" t="s">
        <v>224</v>
      </c>
      <c r="R4" s="121" t="s">
        <v>224</v>
      </c>
      <c r="S4" s="121" t="s">
        <v>224</v>
      </c>
      <c r="T4" s="121" t="s">
        <v>224</v>
      </c>
      <c r="U4" s="121" t="s">
        <v>224</v>
      </c>
      <c r="V4" s="121" t="s">
        <v>224</v>
      </c>
      <c r="W4" s="121" t="s">
        <v>224</v>
      </c>
      <c r="X4" s="121" t="s">
        <v>224</v>
      </c>
      <c r="Y4" s="121" t="s">
        <v>224</v>
      </c>
      <c r="Z4" s="121" t="s">
        <v>224</v>
      </c>
      <c r="AA4" s="121" t="s">
        <v>224</v>
      </c>
      <c r="AB4" s="121" t="s">
        <v>224</v>
      </c>
      <c r="AC4" s="121" t="s">
        <v>224</v>
      </c>
      <c r="AD4" s="121" t="s">
        <v>224</v>
      </c>
      <c r="AE4" s="121" t="s">
        <v>224</v>
      </c>
      <c r="AF4" s="121" t="s">
        <v>224</v>
      </c>
      <c r="AG4" s="121" t="s">
        <v>224</v>
      </c>
      <c r="AH4" s="121" t="s">
        <v>224</v>
      </c>
      <c r="AI4" s="121" t="s">
        <v>224</v>
      </c>
      <c r="AJ4" s="121" t="s">
        <v>224</v>
      </c>
      <c r="AK4" s="121" t="s">
        <v>224</v>
      </c>
      <c r="AL4" s="121" t="s">
        <v>224</v>
      </c>
      <c r="AM4" s="121" t="s">
        <v>224</v>
      </c>
      <c r="AN4" s="121" t="s">
        <v>224</v>
      </c>
      <c r="AO4" s="121" t="s">
        <v>224</v>
      </c>
      <c r="AP4" s="121" t="s">
        <v>224</v>
      </c>
      <c r="AQ4" s="121" t="s">
        <v>224</v>
      </c>
      <c r="AR4" s="121" t="s">
        <v>224</v>
      </c>
      <c r="AS4" s="121" t="s">
        <v>224</v>
      </c>
      <c r="AT4" s="121" t="s">
        <v>224</v>
      </c>
      <c r="AU4" s="121" t="s">
        <v>224</v>
      </c>
      <c r="AV4" s="121" t="s">
        <v>224</v>
      </c>
      <c r="AW4" s="121" t="s">
        <v>224</v>
      </c>
      <c r="AX4" s="121" t="s">
        <v>224</v>
      </c>
      <c r="AY4" s="121" t="s">
        <v>224</v>
      </c>
      <c r="AZ4" s="121" t="s">
        <v>224</v>
      </c>
      <c r="BA4" s="121" t="s">
        <v>224</v>
      </c>
      <c r="BB4" s="121" t="s">
        <v>224</v>
      </c>
      <c r="BC4" s="121" t="s">
        <v>224</v>
      </c>
      <c r="BD4" s="121" t="s">
        <v>224</v>
      </c>
      <c r="BE4" s="121" t="s">
        <v>224</v>
      </c>
      <c r="BF4" s="121" t="s">
        <v>224</v>
      </c>
      <c r="BG4" s="121" t="s">
        <v>224</v>
      </c>
      <c r="BH4" s="121" t="s">
        <v>224</v>
      </c>
      <c r="BI4" s="121" t="s">
        <v>224</v>
      </c>
      <c r="BJ4" s="121" t="s">
        <v>224</v>
      </c>
      <c r="BK4" s="121" t="s">
        <v>224</v>
      </c>
      <c r="BL4" s="121" t="s">
        <v>224</v>
      </c>
      <c r="BM4" s="121" t="s">
        <v>224</v>
      </c>
      <c r="BN4" s="121" t="s">
        <v>224</v>
      </c>
      <c r="BO4" s="121" t="s">
        <v>224</v>
      </c>
      <c r="BP4" s="121" t="s">
        <v>224</v>
      </c>
      <c r="BQ4" s="121" t="s">
        <v>224</v>
      </c>
      <c r="BR4" s="121" t="s">
        <v>224</v>
      </c>
      <c r="BS4" s="121" t="s">
        <v>224</v>
      </c>
      <c r="BT4" s="121" t="s">
        <v>224</v>
      </c>
      <c r="BU4" s="121" t="s">
        <v>224</v>
      </c>
      <c r="BV4" s="121" t="s">
        <v>224</v>
      </c>
      <c r="BW4" s="121" t="s">
        <v>224</v>
      </c>
      <c r="BX4" s="121" t="s">
        <v>224</v>
      </c>
      <c r="BY4" s="121" t="s">
        <v>224</v>
      </c>
      <c r="BZ4" s="121" t="s">
        <v>224</v>
      </c>
    </row>
    <row r="5" spans="1:78" x14ac:dyDescent="0.2">
      <c r="A5" s="57" t="s">
        <v>230</v>
      </c>
      <c r="B5" s="57" t="s">
        <v>15</v>
      </c>
      <c r="C5" s="57" t="s">
        <v>968</v>
      </c>
      <c r="D5" s="57" t="s">
        <v>231</v>
      </c>
      <c r="E5" s="74">
        <f>IF(B5="","",VLOOKUP(B5,dagsoorttabel1,2,FALSE))</f>
        <v>4.7058823529411764E-2</v>
      </c>
      <c r="F5" s="74">
        <v>1</v>
      </c>
      <c r="G5" s="74">
        <f>IF(prodnorm32&gt;0,1/ROUND(prodnorm32,4),0)</f>
        <v>0</v>
      </c>
      <c r="H5" s="61">
        <f>ROUND(uurtarief32,2)</f>
        <v>0</v>
      </c>
      <c r="I5" s="74">
        <v>6</v>
      </c>
      <c r="J5" s="74">
        <v>0</v>
      </c>
      <c r="K5" s="74">
        <v>0</v>
      </c>
      <c r="L5" s="74">
        <v>0</v>
      </c>
      <c r="M5" s="74">
        <v>0</v>
      </c>
      <c r="N5" s="74">
        <v>0</v>
      </c>
      <c r="O5" s="74">
        <v>0</v>
      </c>
      <c r="P5" s="74">
        <v>0</v>
      </c>
      <c r="Q5" s="74">
        <v>0</v>
      </c>
      <c r="R5" s="74">
        <v>0</v>
      </c>
      <c r="S5" s="74">
        <v>0</v>
      </c>
      <c r="T5" s="74">
        <v>0</v>
      </c>
      <c r="U5" s="74">
        <v>0</v>
      </c>
      <c r="V5" s="74">
        <v>0</v>
      </c>
      <c r="W5" s="74">
        <v>0</v>
      </c>
      <c r="X5" s="74">
        <v>0</v>
      </c>
      <c r="Y5" s="74">
        <v>0</v>
      </c>
      <c r="Z5" s="74">
        <v>0</v>
      </c>
      <c r="AA5" s="74">
        <v>0</v>
      </c>
      <c r="AB5" s="74">
        <v>0</v>
      </c>
      <c r="AC5" s="74">
        <v>0</v>
      </c>
      <c r="AD5" s="74">
        <v>0</v>
      </c>
      <c r="AE5" s="74">
        <v>0</v>
      </c>
      <c r="AF5" s="74">
        <v>0</v>
      </c>
      <c r="AG5" s="74">
        <v>0</v>
      </c>
      <c r="AH5" s="74">
        <v>0</v>
      </c>
      <c r="AI5" s="74">
        <v>0</v>
      </c>
      <c r="AJ5" s="74">
        <v>0</v>
      </c>
      <c r="AK5" s="74">
        <v>0</v>
      </c>
      <c r="AL5" s="74">
        <v>0</v>
      </c>
      <c r="AM5" s="74">
        <v>0</v>
      </c>
      <c r="AN5" s="74">
        <v>0</v>
      </c>
      <c r="AO5" s="74">
        <v>0</v>
      </c>
      <c r="AP5" s="74">
        <v>0</v>
      </c>
      <c r="AQ5" s="74">
        <v>0</v>
      </c>
      <c r="AR5" s="74">
        <v>0</v>
      </c>
      <c r="AS5" s="74">
        <v>0</v>
      </c>
      <c r="AT5" s="74">
        <v>0</v>
      </c>
      <c r="AU5" s="74">
        <v>0</v>
      </c>
      <c r="AV5" s="74">
        <v>0</v>
      </c>
      <c r="AW5" s="74">
        <v>0</v>
      </c>
      <c r="AX5" s="74">
        <v>0</v>
      </c>
      <c r="AY5" s="74">
        <v>0</v>
      </c>
      <c r="AZ5" s="74">
        <v>0</v>
      </c>
      <c r="BA5" s="74">
        <v>0</v>
      </c>
      <c r="BB5" s="74">
        <v>0</v>
      </c>
      <c r="BC5" s="74">
        <v>0</v>
      </c>
      <c r="BD5" s="74">
        <v>0</v>
      </c>
      <c r="BE5" s="74">
        <v>0</v>
      </c>
      <c r="BF5" s="74">
        <v>0</v>
      </c>
      <c r="BG5" s="74">
        <v>0</v>
      </c>
      <c r="BH5" s="74">
        <v>0</v>
      </c>
      <c r="BI5" s="74">
        <v>0</v>
      </c>
      <c r="BJ5" s="74">
        <v>0</v>
      </c>
      <c r="BK5" s="74">
        <v>0</v>
      </c>
      <c r="BL5" s="74">
        <v>0</v>
      </c>
      <c r="BM5" s="74">
        <v>0</v>
      </c>
      <c r="BN5" s="74">
        <v>0</v>
      </c>
      <c r="BO5" s="74">
        <v>0</v>
      </c>
      <c r="BP5" s="74">
        <v>0</v>
      </c>
      <c r="BQ5" s="74">
        <v>0</v>
      </c>
      <c r="BR5" s="74">
        <v>0</v>
      </c>
      <c r="BS5" s="74">
        <v>0</v>
      </c>
      <c r="BT5" s="74">
        <v>0</v>
      </c>
      <c r="BU5" s="74">
        <v>0</v>
      </c>
      <c r="BV5" s="74">
        <v>0</v>
      </c>
      <c r="BW5" s="74">
        <v>0</v>
      </c>
      <c r="BX5" s="74">
        <v>0</v>
      </c>
      <c r="BY5" s="74">
        <v>0</v>
      </c>
      <c r="BZ5" s="74">
        <v>0</v>
      </c>
    </row>
    <row r="6" spans="1:78" x14ac:dyDescent="0.2">
      <c r="A6" s="62" t="s">
        <v>233</v>
      </c>
      <c r="B6" s="62" t="s">
        <v>13</v>
      </c>
      <c r="C6" s="62" t="s">
        <v>968</v>
      </c>
      <c r="D6" s="62" t="s">
        <v>231</v>
      </c>
      <c r="E6" s="76">
        <f>IF(B6="","",VLOOKUP(B6,dagsoorttabel1,2,FALSE))</f>
        <v>0.2</v>
      </c>
      <c r="F6" s="76">
        <v>1</v>
      </c>
      <c r="G6" s="76">
        <f>IF(prodnorm33&gt;0,1/ROUND(prodnorm33,4),0)</f>
        <v>0</v>
      </c>
      <c r="H6" s="66">
        <f>ROUND(uurtarief33,2)</f>
        <v>0</v>
      </c>
      <c r="I6" s="76">
        <v>0</v>
      </c>
      <c r="J6" s="76">
        <v>0</v>
      </c>
      <c r="K6" s="76">
        <v>0</v>
      </c>
      <c r="L6" s="76">
        <v>0</v>
      </c>
      <c r="M6" s="76">
        <v>0</v>
      </c>
      <c r="N6" s="76">
        <v>0</v>
      </c>
      <c r="O6" s="76">
        <v>0</v>
      </c>
      <c r="P6" s="76">
        <v>0</v>
      </c>
      <c r="Q6" s="76">
        <v>0</v>
      </c>
      <c r="R6" s="76">
        <v>0</v>
      </c>
      <c r="S6" s="76">
        <v>0</v>
      </c>
      <c r="T6" s="76">
        <v>0</v>
      </c>
      <c r="U6" s="76">
        <v>0</v>
      </c>
      <c r="V6" s="76">
        <v>0</v>
      </c>
      <c r="W6" s="76">
        <v>0</v>
      </c>
      <c r="X6" s="76">
        <v>0</v>
      </c>
      <c r="Y6" s="76">
        <v>0</v>
      </c>
      <c r="Z6" s="76">
        <v>0</v>
      </c>
      <c r="AA6" s="76">
        <v>0</v>
      </c>
      <c r="AB6" s="76">
        <v>0</v>
      </c>
      <c r="AC6" s="76">
        <v>0</v>
      </c>
      <c r="AD6" s="76">
        <v>0</v>
      </c>
      <c r="AE6" s="76">
        <v>2</v>
      </c>
      <c r="AF6" s="76">
        <v>0</v>
      </c>
      <c r="AG6" s="76">
        <v>0</v>
      </c>
      <c r="AH6" s="76">
        <v>0</v>
      </c>
      <c r="AI6" s="76">
        <v>0</v>
      </c>
      <c r="AJ6" s="76">
        <v>0</v>
      </c>
      <c r="AK6" s="76">
        <v>0</v>
      </c>
      <c r="AL6" s="76">
        <v>0</v>
      </c>
      <c r="AM6" s="76">
        <v>0</v>
      </c>
      <c r="AN6" s="76">
        <v>0</v>
      </c>
      <c r="AO6" s="76">
        <v>0</v>
      </c>
      <c r="AP6" s="76">
        <v>0</v>
      </c>
      <c r="AQ6" s="76">
        <v>0</v>
      </c>
      <c r="AR6" s="76">
        <v>0</v>
      </c>
      <c r="AS6" s="76">
        <v>0</v>
      </c>
      <c r="AT6" s="76">
        <v>0</v>
      </c>
      <c r="AU6" s="76">
        <v>0</v>
      </c>
      <c r="AV6" s="76">
        <v>0</v>
      </c>
      <c r="AW6" s="76">
        <v>0</v>
      </c>
      <c r="AX6" s="76">
        <v>0</v>
      </c>
      <c r="AY6" s="76">
        <v>0</v>
      </c>
      <c r="AZ6" s="76">
        <v>0</v>
      </c>
      <c r="BA6" s="76">
        <v>0</v>
      </c>
      <c r="BB6" s="76">
        <v>0</v>
      </c>
      <c r="BC6" s="76">
        <v>0</v>
      </c>
      <c r="BD6" s="76">
        <v>0</v>
      </c>
      <c r="BE6" s="76">
        <v>0</v>
      </c>
      <c r="BF6" s="76">
        <v>0</v>
      </c>
      <c r="BG6" s="76">
        <v>0</v>
      </c>
      <c r="BH6" s="76">
        <v>0</v>
      </c>
      <c r="BI6" s="76">
        <v>0</v>
      </c>
      <c r="BJ6" s="76">
        <v>0</v>
      </c>
      <c r="BK6" s="76">
        <v>0</v>
      </c>
      <c r="BL6" s="76">
        <v>0</v>
      </c>
      <c r="BM6" s="76">
        <v>0</v>
      </c>
      <c r="BN6" s="76">
        <v>0</v>
      </c>
      <c r="BO6" s="76">
        <v>0</v>
      </c>
      <c r="BP6" s="76">
        <v>0</v>
      </c>
      <c r="BQ6" s="76">
        <v>0</v>
      </c>
      <c r="BR6" s="76">
        <v>0</v>
      </c>
      <c r="BS6" s="76">
        <v>0</v>
      </c>
      <c r="BT6" s="76">
        <v>0</v>
      </c>
      <c r="BU6" s="76">
        <v>0</v>
      </c>
      <c r="BV6" s="76">
        <v>0</v>
      </c>
      <c r="BW6" s="76">
        <v>0</v>
      </c>
      <c r="BX6" s="76">
        <v>0</v>
      </c>
      <c r="BY6" s="76">
        <v>0</v>
      </c>
      <c r="BZ6" s="76">
        <v>0</v>
      </c>
    </row>
    <row r="7" spans="1:78" x14ac:dyDescent="0.2">
      <c r="A7" s="62" t="s">
        <v>233</v>
      </c>
      <c r="B7" s="62" t="s">
        <v>12</v>
      </c>
      <c r="C7" s="62" t="s">
        <v>968</v>
      </c>
      <c r="D7" s="62" t="s">
        <v>231</v>
      </c>
      <c r="E7" s="76">
        <f>IF(B7="","",VLOOKUP(B7,dagsoorttabel1,2,FALSE))</f>
        <v>0.4</v>
      </c>
      <c r="F7" s="76">
        <v>1</v>
      </c>
      <c r="G7" s="76">
        <f>IF(prodnorm34&gt;0,1/ROUND(prodnorm34,4),0)</f>
        <v>0</v>
      </c>
      <c r="H7" s="66">
        <f>ROUND(uurtarief34,2)</f>
        <v>0</v>
      </c>
      <c r="I7" s="76">
        <v>0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  <c r="O7" s="76">
        <v>0</v>
      </c>
      <c r="P7" s="76">
        <v>0</v>
      </c>
      <c r="Q7" s="76">
        <v>0</v>
      </c>
      <c r="R7" s="76">
        <v>0</v>
      </c>
      <c r="S7" s="76">
        <v>0</v>
      </c>
      <c r="T7" s="76">
        <v>0</v>
      </c>
      <c r="U7" s="76">
        <v>0</v>
      </c>
      <c r="V7" s="76">
        <v>0</v>
      </c>
      <c r="W7" s="76">
        <v>0</v>
      </c>
      <c r="X7" s="76">
        <v>0</v>
      </c>
      <c r="Y7" s="76">
        <v>0</v>
      </c>
      <c r="Z7" s="76">
        <v>0</v>
      </c>
      <c r="AA7" s="76">
        <v>0</v>
      </c>
      <c r="AB7" s="76">
        <v>0</v>
      </c>
      <c r="AC7" s="76">
        <v>0</v>
      </c>
      <c r="AD7" s="76">
        <v>0</v>
      </c>
      <c r="AE7" s="76">
        <v>0</v>
      </c>
      <c r="AF7" s="76">
        <v>0</v>
      </c>
      <c r="AG7" s="76">
        <v>0</v>
      </c>
      <c r="AH7" s="76">
        <v>0</v>
      </c>
      <c r="AI7" s="76">
        <v>0</v>
      </c>
      <c r="AJ7" s="76">
        <v>0</v>
      </c>
      <c r="AK7" s="76">
        <v>0</v>
      </c>
      <c r="AL7" s="76">
        <v>0</v>
      </c>
      <c r="AM7" s="76">
        <v>0</v>
      </c>
      <c r="AN7" s="76">
        <v>0</v>
      </c>
      <c r="AO7" s="76">
        <v>0</v>
      </c>
      <c r="AP7" s="76">
        <v>0</v>
      </c>
      <c r="AQ7" s="76">
        <v>0</v>
      </c>
      <c r="AR7" s="76">
        <v>0</v>
      </c>
      <c r="AS7" s="76">
        <v>2.4</v>
      </c>
      <c r="AT7" s="76">
        <v>0</v>
      </c>
      <c r="AU7" s="76">
        <v>0</v>
      </c>
      <c r="AV7" s="76">
        <v>0</v>
      </c>
      <c r="AW7" s="76">
        <v>0</v>
      </c>
      <c r="AX7" s="76">
        <v>0</v>
      </c>
      <c r="AY7" s="76">
        <v>0</v>
      </c>
      <c r="AZ7" s="76">
        <v>0</v>
      </c>
      <c r="BA7" s="76">
        <v>0</v>
      </c>
      <c r="BB7" s="76">
        <v>0</v>
      </c>
      <c r="BC7" s="76">
        <v>0</v>
      </c>
      <c r="BD7" s="76">
        <v>0</v>
      </c>
      <c r="BE7" s="76">
        <v>0</v>
      </c>
      <c r="BF7" s="76">
        <v>0</v>
      </c>
      <c r="BG7" s="76">
        <v>0</v>
      </c>
      <c r="BH7" s="76">
        <v>0</v>
      </c>
      <c r="BI7" s="76">
        <v>0</v>
      </c>
      <c r="BJ7" s="76">
        <v>0</v>
      </c>
      <c r="BK7" s="76">
        <v>0</v>
      </c>
      <c r="BL7" s="76">
        <v>0</v>
      </c>
      <c r="BM7" s="76">
        <v>0</v>
      </c>
      <c r="BN7" s="76">
        <v>0</v>
      </c>
      <c r="BO7" s="76">
        <v>0</v>
      </c>
      <c r="BP7" s="76">
        <v>0</v>
      </c>
      <c r="BQ7" s="76">
        <v>0</v>
      </c>
      <c r="BR7" s="76">
        <v>0</v>
      </c>
      <c r="BS7" s="76">
        <v>0</v>
      </c>
      <c r="BT7" s="76">
        <v>0</v>
      </c>
      <c r="BU7" s="76">
        <v>0</v>
      </c>
      <c r="BV7" s="76">
        <v>0</v>
      </c>
      <c r="BW7" s="76">
        <v>0</v>
      </c>
      <c r="BX7" s="76">
        <v>0</v>
      </c>
      <c r="BY7" s="76">
        <v>0</v>
      </c>
      <c r="BZ7" s="76">
        <v>0</v>
      </c>
    </row>
    <row r="8" spans="1:78" x14ac:dyDescent="0.2">
      <c r="A8" s="62" t="s">
        <v>235</v>
      </c>
      <c r="B8" s="62" t="s">
        <v>13</v>
      </c>
      <c r="C8" s="62" t="s">
        <v>968</v>
      </c>
      <c r="D8" s="62" t="s">
        <v>231</v>
      </c>
      <c r="E8" s="76">
        <f>IF(B8="","",VLOOKUP(B8,dagsoorttabel1,2,FALSE))</f>
        <v>0.2</v>
      </c>
      <c r="F8" s="76">
        <v>1</v>
      </c>
      <c r="G8" s="76">
        <f>IF(prodnorm35&gt;0,1/ROUND(prodnorm35,4),0)</f>
        <v>0</v>
      </c>
      <c r="H8" s="66">
        <f>ROUND(uurtarief35,2)</f>
        <v>0</v>
      </c>
      <c r="I8" s="76">
        <v>0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  <c r="O8" s="76">
        <v>0</v>
      </c>
      <c r="P8" s="76">
        <v>34.1</v>
      </c>
      <c r="Q8" s="76">
        <v>18</v>
      </c>
      <c r="R8" s="76">
        <v>0</v>
      </c>
      <c r="S8" s="76">
        <v>0</v>
      </c>
      <c r="T8" s="76">
        <v>0</v>
      </c>
      <c r="U8" s="76">
        <v>0</v>
      </c>
      <c r="V8" s="76">
        <v>50.8</v>
      </c>
      <c r="W8" s="76">
        <v>5</v>
      </c>
      <c r="X8" s="76">
        <v>0</v>
      </c>
      <c r="Y8" s="76">
        <v>0</v>
      </c>
      <c r="Z8" s="76">
        <v>0</v>
      </c>
      <c r="AA8" s="76">
        <v>0</v>
      </c>
      <c r="AB8" s="76">
        <v>0</v>
      </c>
      <c r="AC8" s="76">
        <v>0</v>
      </c>
      <c r="AD8" s="76">
        <v>25.7</v>
      </c>
      <c r="AE8" s="76">
        <v>0</v>
      </c>
      <c r="AF8" s="76">
        <v>0</v>
      </c>
      <c r="AG8" s="76">
        <v>0</v>
      </c>
      <c r="AH8" s="76">
        <v>0</v>
      </c>
      <c r="AI8" s="76">
        <v>0</v>
      </c>
      <c r="AJ8" s="76">
        <v>0</v>
      </c>
      <c r="AK8" s="76">
        <v>0</v>
      </c>
      <c r="AL8" s="76">
        <v>0</v>
      </c>
      <c r="AM8" s="76">
        <v>0</v>
      </c>
      <c r="AN8" s="76">
        <v>0</v>
      </c>
      <c r="AO8" s="76">
        <v>0</v>
      </c>
      <c r="AP8" s="76">
        <v>0</v>
      </c>
      <c r="AQ8" s="76">
        <v>37.299999999999997</v>
      </c>
      <c r="AR8" s="76">
        <v>0</v>
      </c>
      <c r="AS8" s="76">
        <v>0</v>
      </c>
      <c r="AT8" s="76">
        <v>0</v>
      </c>
      <c r="AU8" s="76">
        <v>0</v>
      </c>
      <c r="AV8" s="76">
        <v>0</v>
      </c>
      <c r="AW8" s="76">
        <v>0</v>
      </c>
      <c r="AX8" s="76">
        <v>0</v>
      </c>
      <c r="AY8" s="76">
        <v>0</v>
      </c>
      <c r="AZ8" s="76">
        <v>0</v>
      </c>
      <c r="BA8" s="76">
        <v>0</v>
      </c>
      <c r="BB8" s="76">
        <v>0</v>
      </c>
      <c r="BC8" s="76">
        <v>0</v>
      </c>
      <c r="BD8" s="76">
        <v>0</v>
      </c>
      <c r="BE8" s="76">
        <v>0</v>
      </c>
      <c r="BF8" s="76">
        <v>0</v>
      </c>
      <c r="BG8" s="76">
        <v>0</v>
      </c>
      <c r="BH8" s="76">
        <v>0</v>
      </c>
      <c r="BI8" s="76">
        <v>0</v>
      </c>
      <c r="BJ8" s="76">
        <v>0</v>
      </c>
      <c r="BK8" s="76">
        <v>0</v>
      </c>
      <c r="BL8" s="76">
        <v>0</v>
      </c>
      <c r="BM8" s="76">
        <v>0</v>
      </c>
      <c r="BN8" s="76">
        <v>0</v>
      </c>
      <c r="BO8" s="76">
        <v>0</v>
      </c>
      <c r="BP8" s="76">
        <v>0</v>
      </c>
      <c r="BQ8" s="76">
        <v>0</v>
      </c>
      <c r="BR8" s="76">
        <v>0</v>
      </c>
      <c r="BS8" s="76">
        <v>0</v>
      </c>
      <c r="BT8" s="76">
        <v>0</v>
      </c>
      <c r="BU8" s="76">
        <v>0</v>
      </c>
      <c r="BV8" s="76">
        <v>0</v>
      </c>
      <c r="BW8" s="76">
        <v>0</v>
      </c>
      <c r="BX8" s="76">
        <v>0</v>
      </c>
      <c r="BY8" s="76">
        <v>0</v>
      </c>
      <c r="BZ8" s="76">
        <v>0</v>
      </c>
    </row>
    <row r="9" spans="1:78" x14ac:dyDescent="0.2">
      <c r="A9" s="62" t="s">
        <v>235</v>
      </c>
      <c r="B9" s="62" t="s">
        <v>14</v>
      </c>
      <c r="C9" s="62" t="s">
        <v>968</v>
      </c>
      <c r="D9" s="62" t="s">
        <v>231</v>
      </c>
      <c r="E9" s="76">
        <f>IF(B9="","",VLOOKUP(B9,dagsoorttabel1,2,FALSE))</f>
        <v>0.10196078431372549</v>
      </c>
      <c r="F9" s="76">
        <v>1</v>
      </c>
      <c r="G9" s="76">
        <f>IF(prodnorm36&gt;0,1/ROUND(prodnorm36,4),0)</f>
        <v>0</v>
      </c>
      <c r="H9" s="66">
        <f>ROUND(uurtarief36,2)</f>
        <v>0</v>
      </c>
      <c r="I9" s="76">
        <v>0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  <c r="O9" s="76">
        <v>0</v>
      </c>
      <c r="P9" s="76">
        <v>0</v>
      </c>
      <c r="Q9" s="76">
        <v>0</v>
      </c>
      <c r="R9" s="76">
        <v>0</v>
      </c>
      <c r="S9" s="76">
        <v>0</v>
      </c>
      <c r="T9" s="76">
        <v>0</v>
      </c>
      <c r="U9" s="76">
        <v>0</v>
      </c>
      <c r="V9" s="76">
        <v>0</v>
      </c>
      <c r="W9" s="76">
        <v>0</v>
      </c>
      <c r="X9" s="76">
        <v>37</v>
      </c>
      <c r="Y9" s="76">
        <v>0</v>
      </c>
      <c r="Z9" s="76">
        <v>0</v>
      </c>
      <c r="AA9" s="76">
        <v>0</v>
      </c>
      <c r="AB9" s="76">
        <v>0</v>
      </c>
      <c r="AC9" s="76">
        <v>5</v>
      </c>
      <c r="AD9" s="76">
        <v>0</v>
      </c>
      <c r="AE9" s="76">
        <v>0</v>
      </c>
      <c r="AF9" s="76">
        <v>0</v>
      </c>
      <c r="AG9" s="76">
        <v>0</v>
      </c>
      <c r="AH9" s="76">
        <v>0</v>
      </c>
      <c r="AI9" s="76">
        <v>0</v>
      </c>
      <c r="AJ9" s="76">
        <v>0</v>
      </c>
      <c r="AK9" s="76">
        <v>0</v>
      </c>
      <c r="AL9" s="76">
        <v>0</v>
      </c>
      <c r="AM9" s="76">
        <v>0</v>
      </c>
      <c r="AN9" s="76">
        <v>0</v>
      </c>
      <c r="AO9" s="76">
        <v>0</v>
      </c>
      <c r="AP9" s="76">
        <v>0</v>
      </c>
      <c r="AQ9" s="76">
        <v>0</v>
      </c>
      <c r="AR9" s="76">
        <v>0</v>
      </c>
      <c r="AS9" s="76">
        <v>0</v>
      </c>
      <c r="AT9" s="76">
        <v>0</v>
      </c>
      <c r="AU9" s="76">
        <v>0</v>
      </c>
      <c r="AV9" s="76">
        <v>0</v>
      </c>
      <c r="AW9" s="76">
        <v>0</v>
      </c>
      <c r="AX9" s="76">
        <v>0</v>
      </c>
      <c r="AY9" s="76">
        <v>0</v>
      </c>
      <c r="AZ9" s="76">
        <v>0</v>
      </c>
      <c r="BA9" s="76">
        <v>0</v>
      </c>
      <c r="BB9" s="76">
        <v>0</v>
      </c>
      <c r="BC9" s="76">
        <v>0</v>
      </c>
      <c r="BD9" s="76">
        <v>0</v>
      </c>
      <c r="BE9" s="76">
        <v>0</v>
      </c>
      <c r="BF9" s="76">
        <v>0</v>
      </c>
      <c r="BG9" s="76">
        <v>0</v>
      </c>
      <c r="BH9" s="76">
        <v>0</v>
      </c>
      <c r="BI9" s="76">
        <v>0</v>
      </c>
      <c r="BJ9" s="76">
        <v>0</v>
      </c>
      <c r="BK9" s="76">
        <v>0</v>
      </c>
      <c r="BL9" s="76">
        <v>0</v>
      </c>
      <c r="BM9" s="76">
        <v>0</v>
      </c>
      <c r="BN9" s="76">
        <v>0</v>
      </c>
      <c r="BO9" s="76">
        <v>0</v>
      </c>
      <c r="BP9" s="76">
        <v>0</v>
      </c>
      <c r="BQ9" s="76">
        <v>0</v>
      </c>
      <c r="BR9" s="76">
        <v>0</v>
      </c>
      <c r="BS9" s="76">
        <v>0</v>
      </c>
      <c r="BT9" s="76">
        <v>0</v>
      </c>
      <c r="BU9" s="76">
        <v>0</v>
      </c>
      <c r="BV9" s="76">
        <v>0</v>
      </c>
      <c r="BW9" s="76">
        <v>0</v>
      </c>
      <c r="BX9" s="76">
        <v>0</v>
      </c>
      <c r="BY9" s="76">
        <v>0</v>
      </c>
      <c r="BZ9" s="76">
        <v>0</v>
      </c>
    </row>
    <row r="10" spans="1:78" x14ac:dyDescent="0.2">
      <c r="A10" s="62" t="s">
        <v>235</v>
      </c>
      <c r="B10" s="62" t="s">
        <v>12</v>
      </c>
      <c r="C10" s="62" t="s">
        <v>968</v>
      </c>
      <c r="D10" s="62" t="s">
        <v>231</v>
      </c>
      <c r="E10" s="76">
        <f>IF(B10="","",VLOOKUP(B10,dagsoorttabel1,2,FALSE))</f>
        <v>0.4</v>
      </c>
      <c r="F10" s="76">
        <v>1</v>
      </c>
      <c r="G10" s="76">
        <f>IF(prodnorm37&gt;0,1/ROUND(prodnorm37,4),0)</f>
        <v>0</v>
      </c>
      <c r="H10" s="66">
        <f>ROUND(uurtarief37,2)</f>
        <v>0</v>
      </c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21.9</v>
      </c>
      <c r="O10" s="76">
        <v>0</v>
      </c>
      <c r="P10" s="76">
        <v>0</v>
      </c>
      <c r="Q10" s="76">
        <v>0</v>
      </c>
      <c r="R10" s="76">
        <v>0</v>
      </c>
      <c r="S10" s="76">
        <v>0</v>
      </c>
      <c r="T10" s="76">
        <v>0</v>
      </c>
      <c r="U10" s="76">
        <v>61.9</v>
      </c>
      <c r="V10" s="76">
        <v>0</v>
      </c>
      <c r="W10" s="76">
        <v>0</v>
      </c>
      <c r="X10" s="76">
        <v>0</v>
      </c>
      <c r="Y10" s="76">
        <v>0</v>
      </c>
      <c r="Z10" s="76">
        <v>0</v>
      </c>
      <c r="AA10" s="76">
        <v>30</v>
      </c>
      <c r="AB10" s="76">
        <v>0</v>
      </c>
      <c r="AC10" s="76">
        <v>0</v>
      </c>
      <c r="AD10" s="76">
        <v>0</v>
      </c>
      <c r="AE10" s="76">
        <v>0</v>
      </c>
      <c r="AF10" s="76">
        <v>0</v>
      </c>
      <c r="AG10" s="76">
        <v>0</v>
      </c>
      <c r="AH10" s="76">
        <v>0</v>
      </c>
      <c r="AI10" s="76">
        <v>0</v>
      </c>
      <c r="AJ10" s="76">
        <v>0</v>
      </c>
      <c r="AK10" s="76">
        <v>0</v>
      </c>
      <c r="AL10" s="76">
        <v>0</v>
      </c>
      <c r="AM10" s="76">
        <v>0</v>
      </c>
      <c r="AN10" s="76">
        <v>0</v>
      </c>
      <c r="AO10" s="76">
        <v>0</v>
      </c>
      <c r="AP10" s="76">
        <v>36</v>
      </c>
      <c r="AQ10" s="76">
        <v>0</v>
      </c>
      <c r="AR10" s="76">
        <v>97</v>
      </c>
      <c r="AS10" s="76">
        <v>145.9</v>
      </c>
      <c r="AT10" s="76">
        <v>0</v>
      </c>
      <c r="AU10" s="76">
        <v>0</v>
      </c>
      <c r="AV10" s="76">
        <v>0</v>
      </c>
      <c r="AW10" s="76">
        <v>0</v>
      </c>
      <c r="AX10" s="76">
        <v>0</v>
      </c>
      <c r="AY10" s="76">
        <v>0</v>
      </c>
      <c r="AZ10" s="76">
        <v>0</v>
      </c>
      <c r="BA10" s="76">
        <v>0</v>
      </c>
      <c r="BB10" s="76">
        <v>0</v>
      </c>
      <c r="BC10" s="76">
        <v>0</v>
      </c>
      <c r="BD10" s="76">
        <v>0</v>
      </c>
      <c r="BE10" s="76">
        <v>0</v>
      </c>
      <c r="BF10" s="76">
        <v>0</v>
      </c>
      <c r="BG10" s="76">
        <v>0</v>
      </c>
      <c r="BH10" s="76">
        <v>0</v>
      </c>
      <c r="BI10" s="76">
        <v>0</v>
      </c>
      <c r="BJ10" s="76">
        <v>0</v>
      </c>
      <c r="BK10" s="76">
        <v>0</v>
      </c>
      <c r="BL10" s="76">
        <v>0</v>
      </c>
      <c r="BM10" s="76">
        <v>0</v>
      </c>
      <c r="BN10" s="76">
        <v>0</v>
      </c>
      <c r="BO10" s="76">
        <v>0</v>
      </c>
      <c r="BP10" s="76">
        <v>0</v>
      </c>
      <c r="BQ10" s="76">
        <v>0</v>
      </c>
      <c r="BR10" s="76">
        <v>0</v>
      </c>
      <c r="BS10" s="76">
        <v>0</v>
      </c>
      <c r="BT10" s="76">
        <v>0</v>
      </c>
      <c r="BU10" s="76">
        <v>0</v>
      </c>
      <c r="BV10" s="76">
        <v>0</v>
      </c>
      <c r="BW10" s="76">
        <v>0</v>
      </c>
      <c r="BX10" s="76">
        <v>0</v>
      </c>
      <c r="BY10" s="76">
        <v>0</v>
      </c>
      <c r="BZ10" s="76">
        <v>0</v>
      </c>
    </row>
    <row r="11" spans="1:78" x14ac:dyDescent="0.2">
      <c r="A11" s="62" t="s">
        <v>235</v>
      </c>
      <c r="B11" s="62" t="s">
        <v>11</v>
      </c>
      <c r="C11" s="62" t="s">
        <v>968</v>
      </c>
      <c r="D11" s="62" t="s">
        <v>231</v>
      </c>
      <c r="E11" s="76">
        <f>IF(B11="","",VLOOKUP(B11,dagsoorttabel1,2,FALSE))</f>
        <v>0.6</v>
      </c>
      <c r="F11" s="76">
        <v>1</v>
      </c>
      <c r="G11" s="76">
        <f>IF(prodnorm38&gt;0,1/ROUND(prodnorm38,4),0)</f>
        <v>0</v>
      </c>
      <c r="H11" s="66">
        <f>ROUND(uurtarief38,2)</f>
        <v>0</v>
      </c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6">
        <v>0</v>
      </c>
      <c r="S11" s="76">
        <v>0</v>
      </c>
      <c r="T11" s="76">
        <v>78</v>
      </c>
      <c r="U11" s="76">
        <v>0</v>
      </c>
      <c r="V11" s="76">
        <v>274</v>
      </c>
      <c r="W11" s="76">
        <v>0</v>
      </c>
      <c r="X11" s="76">
        <v>0</v>
      </c>
      <c r="Y11" s="76">
        <v>0</v>
      </c>
      <c r="Z11" s="76">
        <v>0</v>
      </c>
      <c r="AA11" s="76">
        <v>36.5</v>
      </c>
      <c r="AB11" s="76">
        <v>49.61</v>
      </c>
      <c r="AC11" s="76">
        <v>25.5</v>
      </c>
      <c r="AD11" s="76">
        <v>0</v>
      </c>
      <c r="AE11" s="76">
        <v>0</v>
      </c>
      <c r="AF11" s="76">
        <v>0</v>
      </c>
      <c r="AG11" s="76">
        <v>0</v>
      </c>
      <c r="AH11" s="76">
        <v>0</v>
      </c>
      <c r="AI11" s="76">
        <v>0</v>
      </c>
      <c r="AJ11" s="76">
        <v>0</v>
      </c>
      <c r="AK11" s="76">
        <v>0</v>
      </c>
      <c r="AL11" s="76">
        <v>0</v>
      </c>
      <c r="AM11" s="76">
        <v>0</v>
      </c>
      <c r="AN11" s="76">
        <v>0</v>
      </c>
      <c r="AO11" s="76">
        <v>0</v>
      </c>
      <c r="AP11" s="76">
        <v>0</v>
      </c>
      <c r="AQ11" s="76">
        <v>0</v>
      </c>
      <c r="AR11" s="76">
        <v>0</v>
      </c>
      <c r="AS11" s="76">
        <v>0</v>
      </c>
      <c r="AT11" s="76">
        <v>0</v>
      </c>
      <c r="AU11" s="76">
        <v>70.900000000000006</v>
      </c>
      <c r="AV11" s="76">
        <v>0</v>
      </c>
      <c r="AW11" s="76">
        <v>0</v>
      </c>
      <c r="AX11" s="76">
        <v>0</v>
      </c>
      <c r="AY11" s="76">
        <v>0</v>
      </c>
      <c r="AZ11" s="76">
        <v>0</v>
      </c>
      <c r="BA11" s="76">
        <v>0</v>
      </c>
      <c r="BB11" s="76">
        <v>0</v>
      </c>
      <c r="BC11" s="76">
        <v>0</v>
      </c>
      <c r="BD11" s="76">
        <v>0</v>
      </c>
      <c r="BE11" s="76">
        <v>0</v>
      </c>
      <c r="BF11" s="76">
        <v>0</v>
      </c>
      <c r="BG11" s="76">
        <v>0</v>
      </c>
      <c r="BH11" s="76">
        <v>0</v>
      </c>
      <c r="BI11" s="76">
        <v>0</v>
      </c>
      <c r="BJ11" s="76">
        <v>0</v>
      </c>
      <c r="BK11" s="76">
        <v>0</v>
      </c>
      <c r="BL11" s="76">
        <v>0</v>
      </c>
      <c r="BM11" s="76">
        <v>0</v>
      </c>
      <c r="BN11" s="76">
        <v>0</v>
      </c>
      <c r="BO11" s="76">
        <v>0</v>
      </c>
      <c r="BP11" s="76">
        <v>0</v>
      </c>
      <c r="BQ11" s="76">
        <v>0</v>
      </c>
      <c r="BR11" s="76">
        <v>0</v>
      </c>
      <c r="BS11" s="76">
        <v>0</v>
      </c>
      <c r="BT11" s="76">
        <v>0</v>
      </c>
      <c r="BU11" s="76">
        <v>0</v>
      </c>
      <c r="BV11" s="76">
        <v>0</v>
      </c>
      <c r="BW11" s="76">
        <v>0</v>
      </c>
      <c r="BX11" s="76">
        <v>0</v>
      </c>
      <c r="BY11" s="76">
        <v>0</v>
      </c>
      <c r="BZ11" s="76">
        <v>0</v>
      </c>
    </row>
    <row r="12" spans="1:78" x14ac:dyDescent="0.2">
      <c r="A12" s="62" t="s">
        <v>235</v>
      </c>
      <c r="B12" s="62" t="s">
        <v>9</v>
      </c>
      <c r="C12" s="62" t="s">
        <v>968</v>
      </c>
      <c r="D12" s="62" t="s">
        <v>231</v>
      </c>
      <c r="E12" s="76">
        <f>IF(B12="","",VLOOKUP(B12,dagsoorttabel1,2,FALSE))</f>
        <v>1</v>
      </c>
      <c r="F12" s="76">
        <v>1</v>
      </c>
      <c r="G12" s="76">
        <f>IF(prodnorm39&gt;0,1/ROUND(prodnorm39,4),0)</f>
        <v>0</v>
      </c>
      <c r="H12" s="66">
        <f>ROUND(uurtarief39,2)</f>
        <v>0</v>
      </c>
      <c r="I12" s="76">
        <v>0</v>
      </c>
      <c r="J12" s="76">
        <v>0</v>
      </c>
      <c r="K12" s="76">
        <v>10.8</v>
      </c>
      <c r="L12" s="76">
        <v>126</v>
      </c>
      <c r="M12" s="76">
        <v>157.30000000000001</v>
      </c>
      <c r="N12" s="76">
        <v>0</v>
      </c>
      <c r="O12" s="76">
        <v>0</v>
      </c>
      <c r="P12" s="76">
        <v>0</v>
      </c>
      <c r="Q12" s="76">
        <v>0</v>
      </c>
      <c r="R12" s="76">
        <v>43.629999999999995</v>
      </c>
      <c r="S12" s="76">
        <v>0</v>
      </c>
      <c r="T12" s="76">
        <v>0</v>
      </c>
      <c r="U12" s="76">
        <v>0</v>
      </c>
      <c r="V12" s="76">
        <v>0</v>
      </c>
      <c r="W12" s="76">
        <v>0</v>
      </c>
      <c r="X12" s="76">
        <v>0</v>
      </c>
      <c r="Y12" s="76">
        <v>0</v>
      </c>
      <c r="Z12" s="76">
        <v>0</v>
      </c>
      <c r="AA12" s="76">
        <v>0</v>
      </c>
      <c r="AB12" s="76">
        <v>0</v>
      </c>
      <c r="AC12" s="76">
        <v>0</v>
      </c>
      <c r="AD12" s="76">
        <v>0</v>
      </c>
      <c r="AE12" s="76">
        <v>0</v>
      </c>
      <c r="AF12" s="76">
        <v>0</v>
      </c>
      <c r="AG12" s="76">
        <v>0</v>
      </c>
      <c r="AH12" s="76">
        <v>0</v>
      </c>
      <c r="AI12" s="76">
        <v>0</v>
      </c>
      <c r="AJ12" s="76">
        <v>0</v>
      </c>
      <c r="AK12" s="76">
        <v>0</v>
      </c>
      <c r="AL12" s="76">
        <v>0</v>
      </c>
      <c r="AM12" s="76">
        <v>0</v>
      </c>
      <c r="AN12" s="76">
        <v>0</v>
      </c>
      <c r="AO12" s="76">
        <v>0</v>
      </c>
      <c r="AP12" s="76">
        <v>0</v>
      </c>
      <c r="AQ12" s="76">
        <v>0</v>
      </c>
      <c r="AR12" s="76">
        <v>0</v>
      </c>
      <c r="AS12" s="76">
        <v>0</v>
      </c>
      <c r="AT12" s="76">
        <v>0</v>
      </c>
      <c r="AU12" s="76">
        <v>0</v>
      </c>
      <c r="AV12" s="76">
        <v>0</v>
      </c>
      <c r="AW12" s="76">
        <v>0</v>
      </c>
      <c r="AX12" s="76">
        <v>0</v>
      </c>
      <c r="AY12" s="76">
        <v>0</v>
      </c>
      <c r="AZ12" s="76">
        <v>0</v>
      </c>
      <c r="BA12" s="76">
        <v>0</v>
      </c>
      <c r="BB12" s="76">
        <v>0</v>
      </c>
      <c r="BC12" s="76">
        <v>0</v>
      </c>
      <c r="BD12" s="76">
        <v>0</v>
      </c>
      <c r="BE12" s="76">
        <v>0</v>
      </c>
      <c r="BF12" s="76">
        <v>0</v>
      </c>
      <c r="BG12" s="76">
        <v>0</v>
      </c>
      <c r="BH12" s="76">
        <v>0</v>
      </c>
      <c r="BI12" s="76">
        <v>0</v>
      </c>
      <c r="BJ12" s="76">
        <v>0</v>
      </c>
      <c r="BK12" s="76">
        <v>0</v>
      </c>
      <c r="BL12" s="76">
        <v>0</v>
      </c>
      <c r="BM12" s="76">
        <v>0</v>
      </c>
      <c r="BN12" s="76">
        <v>0</v>
      </c>
      <c r="BO12" s="76">
        <v>0</v>
      </c>
      <c r="BP12" s="76">
        <v>0</v>
      </c>
      <c r="BQ12" s="76">
        <v>0</v>
      </c>
      <c r="BR12" s="76">
        <v>0</v>
      </c>
      <c r="BS12" s="76">
        <v>0</v>
      </c>
      <c r="BT12" s="76">
        <v>0</v>
      </c>
      <c r="BU12" s="76">
        <v>0</v>
      </c>
      <c r="BV12" s="76">
        <v>0</v>
      </c>
      <c r="BW12" s="76">
        <v>0</v>
      </c>
      <c r="BX12" s="76">
        <v>0</v>
      </c>
      <c r="BY12" s="76">
        <v>0</v>
      </c>
      <c r="BZ12" s="76">
        <v>0</v>
      </c>
    </row>
    <row r="13" spans="1:78" x14ac:dyDescent="0.2">
      <c r="A13" s="62" t="s">
        <v>237</v>
      </c>
      <c r="B13" s="62" t="s">
        <v>13</v>
      </c>
      <c r="C13" s="62" t="s">
        <v>968</v>
      </c>
      <c r="D13" s="62" t="s">
        <v>231</v>
      </c>
      <c r="E13" s="76">
        <f>IF(B13="","",VLOOKUP(B13,dagsoorttabel1,2,FALSE))</f>
        <v>0.2</v>
      </c>
      <c r="F13" s="76">
        <v>1</v>
      </c>
      <c r="G13" s="76">
        <f>IF(prodnorm40&gt;0,1/ROUND(prodnorm40,4),0)</f>
        <v>0</v>
      </c>
      <c r="H13" s="66">
        <f>ROUND(uurtarief40,2)</f>
        <v>0</v>
      </c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  <c r="P13" s="76">
        <v>0</v>
      </c>
      <c r="Q13" s="76">
        <v>0</v>
      </c>
      <c r="R13" s="76">
        <v>0</v>
      </c>
      <c r="S13" s="76">
        <v>0</v>
      </c>
      <c r="T13" s="76">
        <v>0</v>
      </c>
      <c r="U13" s="76">
        <v>0</v>
      </c>
      <c r="V13" s="76">
        <v>0</v>
      </c>
      <c r="W13" s="76">
        <v>0</v>
      </c>
      <c r="X13" s="76">
        <v>0</v>
      </c>
      <c r="Y13" s="76">
        <v>0</v>
      </c>
      <c r="Z13" s="76">
        <v>0</v>
      </c>
      <c r="AA13" s="76">
        <v>0</v>
      </c>
      <c r="AB13" s="76">
        <v>0</v>
      </c>
      <c r="AC13" s="76">
        <v>0</v>
      </c>
      <c r="AD13" s="76">
        <v>0</v>
      </c>
      <c r="AE13" s="76">
        <v>112.89999999999999</v>
      </c>
      <c r="AF13" s="76">
        <v>0</v>
      </c>
      <c r="AG13" s="76">
        <v>0</v>
      </c>
      <c r="AH13" s="76">
        <v>0</v>
      </c>
      <c r="AI13" s="76">
        <v>0</v>
      </c>
      <c r="AJ13" s="76">
        <v>0</v>
      </c>
      <c r="AK13" s="76">
        <v>0</v>
      </c>
      <c r="AL13" s="76">
        <v>0</v>
      </c>
      <c r="AM13" s="76">
        <v>0</v>
      </c>
      <c r="AN13" s="76">
        <v>0</v>
      </c>
      <c r="AO13" s="76">
        <v>0</v>
      </c>
      <c r="AP13" s="76">
        <v>0</v>
      </c>
      <c r="AQ13" s="76">
        <v>0</v>
      </c>
      <c r="AR13" s="76">
        <v>0</v>
      </c>
      <c r="AS13" s="76">
        <v>0</v>
      </c>
      <c r="AT13" s="76">
        <v>0</v>
      </c>
      <c r="AU13" s="76">
        <v>0</v>
      </c>
      <c r="AV13" s="76">
        <v>0</v>
      </c>
      <c r="AW13" s="76">
        <v>0</v>
      </c>
      <c r="AX13" s="76">
        <v>0</v>
      </c>
      <c r="AY13" s="76">
        <v>0</v>
      </c>
      <c r="AZ13" s="76">
        <v>0</v>
      </c>
      <c r="BA13" s="76">
        <v>0</v>
      </c>
      <c r="BB13" s="76">
        <v>0</v>
      </c>
      <c r="BC13" s="76">
        <v>0</v>
      </c>
      <c r="BD13" s="76">
        <v>0</v>
      </c>
      <c r="BE13" s="76">
        <v>0</v>
      </c>
      <c r="BF13" s="76">
        <v>0</v>
      </c>
      <c r="BG13" s="76">
        <v>0</v>
      </c>
      <c r="BH13" s="76">
        <v>0</v>
      </c>
      <c r="BI13" s="76">
        <v>0</v>
      </c>
      <c r="BJ13" s="76">
        <v>0</v>
      </c>
      <c r="BK13" s="76">
        <v>0</v>
      </c>
      <c r="BL13" s="76">
        <v>0</v>
      </c>
      <c r="BM13" s="76">
        <v>0</v>
      </c>
      <c r="BN13" s="76">
        <v>0</v>
      </c>
      <c r="BO13" s="76">
        <v>0</v>
      </c>
      <c r="BP13" s="76">
        <v>0</v>
      </c>
      <c r="BQ13" s="76">
        <v>0</v>
      </c>
      <c r="BR13" s="76">
        <v>0</v>
      </c>
      <c r="BS13" s="76">
        <v>0</v>
      </c>
      <c r="BT13" s="76">
        <v>0</v>
      </c>
      <c r="BU13" s="76">
        <v>0</v>
      </c>
      <c r="BV13" s="76">
        <v>0</v>
      </c>
      <c r="BW13" s="76">
        <v>0</v>
      </c>
      <c r="BX13" s="76">
        <v>0</v>
      </c>
      <c r="BY13" s="76">
        <v>0</v>
      </c>
      <c r="BZ13" s="76">
        <v>0</v>
      </c>
    </row>
    <row r="14" spans="1:78" x14ac:dyDescent="0.2">
      <c r="A14" s="62" t="s">
        <v>237</v>
      </c>
      <c r="B14" s="62" t="s">
        <v>11</v>
      </c>
      <c r="C14" s="62" t="s">
        <v>968</v>
      </c>
      <c r="D14" s="62" t="s">
        <v>231</v>
      </c>
      <c r="E14" s="76">
        <f>IF(B14="","",VLOOKUP(B14,dagsoorttabel1,2,FALSE))</f>
        <v>0.6</v>
      </c>
      <c r="F14" s="76">
        <v>1</v>
      </c>
      <c r="G14" s="76">
        <f>IF(prodnorm41&gt;0,1/ROUND(prodnorm41,4),0)</f>
        <v>0</v>
      </c>
      <c r="H14" s="66">
        <f>ROUND(uurtarief41,2)</f>
        <v>0</v>
      </c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  <c r="P14" s="76">
        <v>0</v>
      </c>
      <c r="Q14" s="76">
        <v>0</v>
      </c>
      <c r="R14" s="76">
        <v>0</v>
      </c>
      <c r="S14" s="76">
        <v>0</v>
      </c>
      <c r="T14" s="76">
        <v>24</v>
      </c>
      <c r="U14" s="76">
        <v>0</v>
      </c>
      <c r="V14" s="76">
        <v>40</v>
      </c>
      <c r="W14" s="76">
        <v>0</v>
      </c>
      <c r="X14" s="76">
        <v>0</v>
      </c>
      <c r="Y14" s="76">
        <v>71.599999999999994</v>
      </c>
      <c r="Z14" s="76">
        <v>0</v>
      </c>
      <c r="AA14" s="76">
        <v>36.5</v>
      </c>
      <c r="AB14" s="76">
        <v>0</v>
      </c>
      <c r="AC14" s="76">
        <v>27</v>
      </c>
      <c r="AD14" s="76">
        <v>0</v>
      </c>
      <c r="AE14" s="76">
        <v>0</v>
      </c>
      <c r="AF14" s="76">
        <v>0</v>
      </c>
      <c r="AG14" s="76">
        <v>0</v>
      </c>
      <c r="AH14" s="76">
        <v>0</v>
      </c>
      <c r="AI14" s="76">
        <v>0</v>
      </c>
      <c r="AJ14" s="76">
        <v>0</v>
      </c>
      <c r="AK14" s="76">
        <v>0</v>
      </c>
      <c r="AL14" s="76">
        <v>0</v>
      </c>
      <c r="AM14" s="76">
        <v>0</v>
      </c>
      <c r="AN14" s="76">
        <v>0</v>
      </c>
      <c r="AO14" s="76">
        <v>0</v>
      </c>
      <c r="AP14" s="76">
        <v>0</v>
      </c>
      <c r="AQ14" s="76">
        <v>0</v>
      </c>
      <c r="AR14" s="76">
        <v>0</v>
      </c>
      <c r="AS14" s="76">
        <v>0</v>
      </c>
      <c r="AT14" s="76">
        <v>0</v>
      </c>
      <c r="AU14" s="76">
        <v>0</v>
      </c>
      <c r="AV14" s="76">
        <v>0</v>
      </c>
      <c r="AW14" s="76">
        <v>0</v>
      </c>
      <c r="AX14" s="76">
        <v>0</v>
      </c>
      <c r="AY14" s="76">
        <v>0</v>
      </c>
      <c r="AZ14" s="76">
        <v>0</v>
      </c>
      <c r="BA14" s="76">
        <v>0</v>
      </c>
      <c r="BB14" s="76">
        <v>0</v>
      </c>
      <c r="BC14" s="76">
        <v>0</v>
      </c>
      <c r="BD14" s="76">
        <v>0</v>
      </c>
      <c r="BE14" s="76">
        <v>0</v>
      </c>
      <c r="BF14" s="76">
        <v>0</v>
      </c>
      <c r="BG14" s="76">
        <v>0</v>
      </c>
      <c r="BH14" s="76">
        <v>0</v>
      </c>
      <c r="BI14" s="76">
        <v>0</v>
      </c>
      <c r="BJ14" s="76">
        <v>0</v>
      </c>
      <c r="BK14" s="76">
        <v>0</v>
      </c>
      <c r="BL14" s="76">
        <v>0</v>
      </c>
      <c r="BM14" s="76">
        <v>0</v>
      </c>
      <c r="BN14" s="76">
        <v>0</v>
      </c>
      <c r="BO14" s="76">
        <v>0</v>
      </c>
      <c r="BP14" s="76">
        <v>0</v>
      </c>
      <c r="BQ14" s="76">
        <v>0</v>
      </c>
      <c r="BR14" s="76">
        <v>0</v>
      </c>
      <c r="BS14" s="76">
        <v>0</v>
      </c>
      <c r="BT14" s="76">
        <v>0</v>
      </c>
      <c r="BU14" s="76">
        <v>0</v>
      </c>
      <c r="BV14" s="76">
        <v>0</v>
      </c>
      <c r="BW14" s="76">
        <v>0</v>
      </c>
      <c r="BX14" s="76">
        <v>0</v>
      </c>
      <c r="BY14" s="76">
        <v>0</v>
      </c>
      <c r="BZ14" s="76">
        <v>0</v>
      </c>
    </row>
    <row r="15" spans="1:78" x14ac:dyDescent="0.2">
      <c r="A15" s="62" t="s">
        <v>237</v>
      </c>
      <c r="B15" s="62" t="s">
        <v>10</v>
      </c>
      <c r="C15" s="62" t="s">
        <v>968</v>
      </c>
      <c r="D15" s="62" t="s">
        <v>231</v>
      </c>
      <c r="E15" s="76">
        <f>IF(B15="","",VLOOKUP(B15,dagsoorttabel1,2,FALSE))</f>
        <v>0.8</v>
      </c>
      <c r="F15" s="76">
        <v>1</v>
      </c>
      <c r="G15" s="76">
        <f>IF(prodnorm42&gt;0,1/ROUND(prodnorm42,4),0)</f>
        <v>0</v>
      </c>
      <c r="H15" s="66">
        <f>ROUND(uurtarief42,2)</f>
        <v>0</v>
      </c>
      <c r="I15" s="76">
        <v>675.40000000000009</v>
      </c>
      <c r="J15" s="76">
        <v>645.29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  <c r="P15" s="76">
        <v>0</v>
      </c>
      <c r="Q15" s="76">
        <v>0</v>
      </c>
      <c r="R15" s="76">
        <v>0</v>
      </c>
      <c r="S15" s="76">
        <v>0</v>
      </c>
      <c r="T15" s="76">
        <v>0</v>
      </c>
      <c r="U15" s="76">
        <v>0</v>
      </c>
      <c r="V15" s="76">
        <v>0</v>
      </c>
      <c r="W15" s="76">
        <v>0</v>
      </c>
      <c r="X15" s="76">
        <v>0</v>
      </c>
      <c r="Y15" s="76">
        <v>0</v>
      </c>
      <c r="Z15" s="76">
        <v>0</v>
      </c>
      <c r="AA15" s="76">
        <v>0</v>
      </c>
      <c r="AB15" s="76">
        <v>0</v>
      </c>
      <c r="AC15" s="76">
        <v>0</v>
      </c>
      <c r="AD15" s="76">
        <v>0</v>
      </c>
      <c r="AE15" s="76">
        <v>0</v>
      </c>
      <c r="AF15" s="76">
        <v>0</v>
      </c>
      <c r="AG15" s="76">
        <v>0</v>
      </c>
      <c r="AH15" s="76">
        <v>0</v>
      </c>
      <c r="AI15" s="76">
        <v>0</v>
      </c>
      <c r="AJ15" s="76">
        <v>0</v>
      </c>
      <c r="AK15" s="76">
        <v>0</v>
      </c>
      <c r="AL15" s="76">
        <v>0</v>
      </c>
      <c r="AM15" s="76">
        <v>0</v>
      </c>
      <c r="AN15" s="76">
        <v>0</v>
      </c>
      <c r="AO15" s="76">
        <v>0</v>
      </c>
      <c r="AP15" s="76">
        <v>0</v>
      </c>
      <c r="AQ15" s="76">
        <v>0</v>
      </c>
      <c r="AR15" s="76">
        <v>0</v>
      </c>
      <c r="AS15" s="76">
        <v>0</v>
      </c>
      <c r="AT15" s="76">
        <v>0</v>
      </c>
      <c r="AU15" s="76">
        <v>0</v>
      </c>
      <c r="AV15" s="76">
        <v>0</v>
      </c>
      <c r="AW15" s="76">
        <v>0</v>
      </c>
      <c r="AX15" s="76">
        <v>0</v>
      </c>
      <c r="AY15" s="76">
        <v>0</v>
      </c>
      <c r="AZ15" s="76">
        <v>0</v>
      </c>
      <c r="BA15" s="76">
        <v>0</v>
      </c>
      <c r="BB15" s="76">
        <v>0</v>
      </c>
      <c r="BC15" s="76">
        <v>0</v>
      </c>
      <c r="BD15" s="76">
        <v>0</v>
      </c>
      <c r="BE15" s="76">
        <v>0</v>
      </c>
      <c r="BF15" s="76">
        <v>0</v>
      </c>
      <c r="BG15" s="76">
        <v>0</v>
      </c>
      <c r="BH15" s="76">
        <v>0</v>
      </c>
      <c r="BI15" s="76">
        <v>0</v>
      </c>
      <c r="BJ15" s="76">
        <v>0</v>
      </c>
      <c r="BK15" s="76">
        <v>0</v>
      </c>
      <c r="BL15" s="76">
        <v>0</v>
      </c>
      <c r="BM15" s="76">
        <v>0</v>
      </c>
      <c r="BN15" s="76">
        <v>0</v>
      </c>
      <c r="BO15" s="76">
        <v>0</v>
      </c>
      <c r="BP15" s="76">
        <v>0</v>
      </c>
      <c r="BQ15" s="76">
        <v>0</v>
      </c>
      <c r="BR15" s="76">
        <v>0</v>
      </c>
      <c r="BS15" s="76">
        <v>0</v>
      </c>
      <c r="BT15" s="76">
        <v>0</v>
      </c>
      <c r="BU15" s="76">
        <v>0</v>
      </c>
      <c r="BV15" s="76">
        <v>0</v>
      </c>
      <c r="BW15" s="76">
        <v>0</v>
      </c>
      <c r="BX15" s="76">
        <v>0</v>
      </c>
      <c r="BY15" s="76">
        <v>0</v>
      </c>
      <c r="BZ15" s="76">
        <v>0</v>
      </c>
    </row>
    <row r="16" spans="1:78" x14ac:dyDescent="0.2">
      <c r="A16" s="62" t="s">
        <v>237</v>
      </c>
      <c r="B16" s="62" t="s">
        <v>9</v>
      </c>
      <c r="C16" s="62" t="s">
        <v>968</v>
      </c>
      <c r="D16" s="62" t="s">
        <v>231</v>
      </c>
      <c r="E16" s="76">
        <f>IF(B16="","",VLOOKUP(B16,dagsoorttabel1,2,FALSE))</f>
        <v>1</v>
      </c>
      <c r="F16" s="76">
        <v>1</v>
      </c>
      <c r="G16" s="76">
        <f>IF(prodnorm43&gt;0,1/ROUND(prodnorm43,4),0)</f>
        <v>0</v>
      </c>
      <c r="H16" s="66">
        <f>ROUND(uurtarief43,2)</f>
        <v>0</v>
      </c>
      <c r="I16" s="76">
        <v>1925.8999999999999</v>
      </c>
      <c r="J16" s="76">
        <v>0</v>
      </c>
      <c r="K16" s="76">
        <v>64.099999999999994</v>
      </c>
      <c r="L16" s="76">
        <v>50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6">
        <v>0</v>
      </c>
      <c r="S16" s="76">
        <v>31</v>
      </c>
      <c r="T16" s="76">
        <v>0</v>
      </c>
      <c r="U16" s="76">
        <v>0</v>
      </c>
      <c r="V16" s="76">
        <v>0</v>
      </c>
      <c r="W16" s="76">
        <v>0</v>
      </c>
      <c r="X16" s="76">
        <v>0</v>
      </c>
      <c r="Y16" s="76">
        <v>0</v>
      </c>
      <c r="Z16" s="76">
        <v>0</v>
      </c>
      <c r="AA16" s="76">
        <v>0</v>
      </c>
      <c r="AB16" s="76">
        <v>0</v>
      </c>
      <c r="AC16" s="76">
        <v>0</v>
      </c>
      <c r="AD16" s="76">
        <v>0</v>
      </c>
      <c r="AE16" s="76">
        <v>0</v>
      </c>
      <c r="AF16" s="76">
        <v>0</v>
      </c>
      <c r="AG16" s="76">
        <v>0</v>
      </c>
      <c r="AH16" s="76">
        <v>0</v>
      </c>
      <c r="AI16" s="76">
        <v>0</v>
      </c>
      <c r="AJ16" s="76">
        <v>0</v>
      </c>
      <c r="AK16" s="76">
        <v>0</v>
      </c>
      <c r="AL16" s="76">
        <v>0</v>
      </c>
      <c r="AM16" s="76">
        <v>0</v>
      </c>
      <c r="AN16" s="76">
        <v>0</v>
      </c>
      <c r="AO16" s="76">
        <v>0</v>
      </c>
      <c r="AP16" s="76">
        <v>0</v>
      </c>
      <c r="AQ16" s="76">
        <v>0</v>
      </c>
      <c r="AR16" s="76">
        <v>0</v>
      </c>
      <c r="AS16" s="76">
        <v>0</v>
      </c>
      <c r="AT16" s="76">
        <v>0</v>
      </c>
      <c r="AU16" s="76">
        <v>0</v>
      </c>
      <c r="AV16" s="76">
        <v>0</v>
      </c>
      <c r="AW16" s="76">
        <v>0</v>
      </c>
      <c r="AX16" s="76">
        <v>0</v>
      </c>
      <c r="AY16" s="76">
        <v>0</v>
      </c>
      <c r="AZ16" s="76">
        <v>0</v>
      </c>
      <c r="BA16" s="76">
        <v>0</v>
      </c>
      <c r="BB16" s="76">
        <v>0</v>
      </c>
      <c r="BC16" s="76">
        <v>0</v>
      </c>
      <c r="BD16" s="76">
        <v>0</v>
      </c>
      <c r="BE16" s="76">
        <v>0</v>
      </c>
      <c r="BF16" s="76">
        <v>0</v>
      </c>
      <c r="BG16" s="76">
        <v>0</v>
      </c>
      <c r="BH16" s="76">
        <v>0</v>
      </c>
      <c r="BI16" s="76">
        <v>0</v>
      </c>
      <c r="BJ16" s="76">
        <v>0</v>
      </c>
      <c r="BK16" s="76">
        <v>0</v>
      </c>
      <c r="BL16" s="76">
        <v>0</v>
      </c>
      <c r="BM16" s="76">
        <v>0</v>
      </c>
      <c r="BN16" s="76">
        <v>0</v>
      </c>
      <c r="BO16" s="76">
        <v>0</v>
      </c>
      <c r="BP16" s="76">
        <v>0</v>
      </c>
      <c r="BQ16" s="76">
        <v>0</v>
      </c>
      <c r="BR16" s="76">
        <v>0</v>
      </c>
      <c r="BS16" s="76">
        <v>0</v>
      </c>
      <c r="BT16" s="76">
        <v>0</v>
      </c>
      <c r="BU16" s="76">
        <v>0</v>
      </c>
      <c r="BV16" s="76">
        <v>0</v>
      </c>
      <c r="BW16" s="76">
        <v>0</v>
      </c>
      <c r="BX16" s="76">
        <v>0</v>
      </c>
      <c r="BY16" s="76">
        <v>0</v>
      </c>
      <c r="BZ16" s="76">
        <v>0</v>
      </c>
    </row>
    <row r="17" spans="1:78" x14ac:dyDescent="0.2">
      <c r="A17" s="62" t="s">
        <v>239</v>
      </c>
      <c r="B17" s="62" t="s">
        <v>9</v>
      </c>
      <c r="C17" s="62" t="s">
        <v>968</v>
      </c>
      <c r="D17" s="62" t="s">
        <v>231</v>
      </c>
      <c r="E17" s="76">
        <f>IF(B17="","",VLOOKUP(B17,dagsoorttabel1,2,FALSE))</f>
        <v>1</v>
      </c>
      <c r="F17" s="76">
        <v>1</v>
      </c>
      <c r="G17" s="76">
        <f>IF(prodnorm44&gt;0,1/ROUND(prodnorm44,4),0)</f>
        <v>0</v>
      </c>
      <c r="H17" s="66">
        <f>ROUND(uurtarief44,2)</f>
        <v>0</v>
      </c>
      <c r="I17" s="76">
        <v>14.8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  <c r="P17" s="76">
        <v>0</v>
      </c>
      <c r="Q17" s="76">
        <v>0</v>
      </c>
      <c r="R17" s="76">
        <v>0</v>
      </c>
      <c r="S17" s="76">
        <v>0</v>
      </c>
      <c r="T17" s="76">
        <v>0</v>
      </c>
      <c r="U17" s="76">
        <v>0</v>
      </c>
      <c r="V17" s="76">
        <v>0</v>
      </c>
      <c r="W17" s="76">
        <v>0</v>
      </c>
      <c r="X17" s="76">
        <v>0</v>
      </c>
      <c r="Y17" s="76">
        <v>0</v>
      </c>
      <c r="Z17" s="76">
        <v>0</v>
      </c>
      <c r="AA17" s="76">
        <v>0</v>
      </c>
      <c r="AB17" s="76">
        <v>0</v>
      </c>
      <c r="AC17" s="76">
        <v>0</v>
      </c>
      <c r="AD17" s="76">
        <v>0</v>
      </c>
      <c r="AE17" s="76">
        <v>0</v>
      </c>
      <c r="AF17" s="76">
        <v>0</v>
      </c>
      <c r="AG17" s="76">
        <v>0</v>
      </c>
      <c r="AH17" s="76">
        <v>0</v>
      </c>
      <c r="AI17" s="76">
        <v>0</v>
      </c>
      <c r="AJ17" s="76">
        <v>0</v>
      </c>
      <c r="AK17" s="76">
        <v>0</v>
      </c>
      <c r="AL17" s="76">
        <v>0</v>
      </c>
      <c r="AM17" s="76">
        <v>0</v>
      </c>
      <c r="AN17" s="76">
        <v>0</v>
      </c>
      <c r="AO17" s="76">
        <v>0</v>
      </c>
      <c r="AP17" s="76">
        <v>0</v>
      </c>
      <c r="AQ17" s="76">
        <v>0</v>
      </c>
      <c r="AR17" s="76">
        <v>0</v>
      </c>
      <c r="AS17" s="76">
        <v>0</v>
      </c>
      <c r="AT17" s="76">
        <v>0</v>
      </c>
      <c r="AU17" s="76">
        <v>0</v>
      </c>
      <c r="AV17" s="76">
        <v>0</v>
      </c>
      <c r="AW17" s="76">
        <v>0</v>
      </c>
      <c r="AX17" s="76">
        <v>0</v>
      </c>
      <c r="AY17" s="76">
        <v>0</v>
      </c>
      <c r="AZ17" s="76">
        <v>0</v>
      </c>
      <c r="BA17" s="76">
        <v>0</v>
      </c>
      <c r="BB17" s="76">
        <v>0</v>
      </c>
      <c r="BC17" s="76">
        <v>0</v>
      </c>
      <c r="BD17" s="76">
        <v>0</v>
      </c>
      <c r="BE17" s="76">
        <v>0</v>
      </c>
      <c r="BF17" s="76">
        <v>0</v>
      </c>
      <c r="BG17" s="76">
        <v>0</v>
      </c>
      <c r="BH17" s="76">
        <v>0</v>
      </c>
      <c r="BI17" s="76">
        <v>0</v>
      </c>
      <c r="BJ17" s="76">
        <v>0</v>
      </c>
      <c r="BK17" s="76">
        <v>0</v>
      </c>
      <c r="BL17" s="76">
        <v>0</v>
      </c>
      <c r="BM17" s="76">
        <v>0</v>
      </c>
      <c r="BN17" s="76">
        <v>0</v>
      </c>
      <c r="BO17" s="76">
        <v>0</v>
      </c>
      <c r="BP17" s="76">
        <v>0</v>
      </c>
      <c r="BQ17" s="76">
        <v>0</v>
      </c>
      <c r="BR17" s="76">
        <v>0</v>
      </c>
      <c r="BS17" s="76">
        <v>0</v>
      </c>
      <c r="BT17" s="76">
        <v>0</v>
      </c>
      <c r="BU17" s="76">
        <v>0</v>
      </c>
      <c r="BV17" s="76">
        <v>0</v>
      </c>
      <c r="BW17" s="76">
        <v>0</v>
      </c>
      <c r="BX17" s="76">
        <v>0</v>
      </c>
      <c r="BY17" s="76">
        <v>0</v>
      </c>
      <c r="BZ17" s="76">
        <v>0</v>
      </c>
    </row>
    <row r="18" spans="1:78" x14ac:dyDescent="0.2">
      <c r="A18" s="62" t="s">
        <v>241</v>
      </c>
      <c r="B18" s="62" t="s">
        <v>12</v>
      </c>
      <c r="C18" s="62" t="s">
        <v>968</v>
      </c>
      <c r="D18" s="62" t="s">
        <v>231</v>
      </c>
      <c r="E18" s="76">
        <f>IF(B18="","",VLOOKUP(B18,dagsoorttabel1,2,FALSE))</f>
        <v>0.4</v>
      </c>
      <c r="F18" s="76">
        <v>1</v>
      </c>
      <c r="G18" s="76">
        <f>IF(prodnorm45&gt;0,1/ROUND(prodnorm45,4),0)</f>
        <v>0</v>
      </c>
      <c r="H18" s="66">
        <f>ROUND(uurtarief45,2)</f>
        <v>0</v>
      </c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  <c r="P18" s="76">
        <v>0</v>
      </c>
      <c r="Q18" s="76">
        <v>0</v>
      </c>
      <c r="R18" s="76">
        <v>0</v>
      </c>
      <c r="S18" s="76">
        <v>0</v>
      </c>
      <c r="T18" s="76">
        <v>42</v>
      </c>
      <c r="U18" s="76">
        <v>0</v>
      </c>
      <c r="V18" s="76">
        <v>0</v>
      </c>
      <c r="W18" s="76">
        <v>0</v>
      </c>
      <c r="X18" s="76">
        <v>0</v>
      </c>
      <c r="Y18" s="76">
        <v>0</v>
      </c>
      <c r="Z18" s="76">
        <v>0</v>
      </c>
      <c r="AA18" s="76">
        <v>0</v>
      </c>
      <c r="AB18" s="76">
        <v>0</v>
      </c>
      <c r="AC18" s="76">
        <v>0</v>
      </c>
      <c r="AD18" s="76">
        <v>0</v>
      </c>
      <c r="AE18" s="76">
        <v>0</v>
      </c>
      <c r="AF18" s="76">
        <v>0</v>
      </c>
      <c r="AG18" s="76">
        <v>0</v>
      </c>
      <c r="AH18" s="76">
        <v>0</v>
      </c>
      <c r="AI18" s="76">
        <v>0</v>
      </c>
      <c r="AJ18" s="76">
        <v>0</v>
      </c>
      <c r="AK18" s="76">
        <v>0</v>
      </c>
      <c r="AL18" s="76">
        <v>0</v>
      </c>
      <c r="AM18" s="76">
        <v>0</v>
      </c>
      <c r="AN18" s="76">
        <v>0</v>
      </c>
      <c r="AO18" s="76">
        <v>0</v>
      </c>
      <c r="AP18" s="76">
        <v>82.6</v>
      </c>
      <c r="AQ18" s="76">
        <v>0</v>
      </c>
      <c r="AR18" s="76">
        <v>26.3</v>
      </c>
      <c r="AS18" s="76">
        <v>81.799999999999983</v>
      </c>
      <c r="AT18" s="76">
        <v>0</v>
      </c>
      <c r="AU18" s="76">
        <v>0</v>
      </c>
      <c r="AV18" s="76">
        <v>0</v>
      </c>
      <c r="AW18" s="76">
        <v>0</v>
      </c>
      <c r="AX18" s="76">
        <v>0</v>
      </c>
      <c r="AY18" s="76">
        <v>0</v>
      </c>
      <c r="AZ18" s="76">
        <v>0</v>
      </c>
      <c r="BA18" s="76">
        <v>0</v>
      </c>
      <c r="BB18" s="76">
        <v>0</v>
      </c>
      <c r="BC18" s="76">
        <v>0</v>
      </c>
      <c r="BD18" s="76">
        <v>0</v>
      </c>
      <c r="BE18" s="76">
        <v>0</v>
      </c>
      <c r="BF18" s="76">
        <v>0</v>
      </c>
      <c r="BG18" s="76">
        <v>0</v>
      </c>
      <c r="BH18" s="76">
        <v>0</v>
      </c>
      <c r="BI18" s="76">
        <v>0</v>
      </c>
      <c r="BJ18" s="76">
        <v>0</v>
      </c>
      <c r="BK18" s="76">
        <v>0</v>
      </c>
      <c r="BL18" s="76">
        <v>0</v>
      </c>
      <c r="BM18" s="76">
        <v>0</v>
      </c>
      <c r="BN18" s="76">
        <v>0</v>
      </c>
      <c r="BO18" s="76">
        <v>0</v>
      </c>
      <c r="BP18" s="76">
        <v>0</v>
      </c>
      <c r="BQ18" s="76">
        <v>0</v>
      </c>
      <c r="BR18" s="76">
        <v>0</v>
      </c>
      <c r="BS18" s="76">
        <v>0</v>
      </c>
      <c r="BT18" s="76">
        <v>0</v>
      </c>
      <c r="BU18" s="76">
        <v>0</v>
      </c>
      <c r="BV18" s="76">
        <v>0</v>
      </c>
      <c r="BW18" s="76">
        <v>0</v>
      </c>
      <c r="BX18" s="76">
        <v>0</v>
      </c>
      <c r="BY18" s="76">
        <v>0</v>
      </c>
      <c r="BZ18" s="76">
        <v>0</v>
      </c>
    </row>
    <row r="19" spans="1:78" x14ac:dyDescent="0.2">
      <c r="A19" s="62" t="s">
        <v>241</v>
      </c>
      <c r="B19" s="62" t="s">
        <v>11</v>
      </c>
      <c r="C19" s="62" t="s">
        <v>968</v>
      </c>
      <c r="D19" s="62" t="s">
        <v>231</v>
      </c>
      <c r="E19" s="76">
        <f>IF(B19="","",VLOOKUP(B19,dagsoorttabel1,2,FALSE))</f>
        <v>0.6</v>
      </c>
      <c r="F19" s="76">
        <v>1</v>
      </c>
      <c r="G19" s="76">
        <f>IF(prodnorm46&gt;0,1/ROUND(prodnorm46,4),0)</f>
        <v>0</v>
      </c>
      <c r="H19" s="66">
        <f>ROUND(uurtarief46,2)</f>
        <v>0</v>
      </c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  <c r="P19" s="76">
        <v>0</v>
      </c>
      <c r="Q19" s="76">
        <v>0</v>
      </c>
      <c r="R19" s="76">
        <v>0</v>
      </c>
      <c r="S19" s="76">
        <v>0</v>
      </c>
      <c r="T19" s="76">
        <v>43</v>
      </c>
      <c r="U19" s="76">
        <v>0</v>
      </c>
      <c r="V19" s="76">
        <v>0</v>
      </c>
      <c r="W19" s="76">
        <v>0</v>
      </c>
      <c r="X19" s="76">
        <v>0</v>
      </c>
      <c r="Y19" s="76">
        <v>0</v>
      </c>
      <c r="Z19" s="76">
        <v>0</v>
      </c>
      <c r="AA19" s="76">
        <v>10.6</v>
      </c>
      <c r="AB19" s="76">
        <v>0</v>
      </c>
      <c r="AC19" s="76">
        <v>45.6</v>
      </c>
      <c r="AD19" s="76">
        <v>0</v>
      </c>
      <c r="AE19" s="76">
        <v>0</v>
      </c>
      <c r="AF19" s="76">
        <v>0</v>
      </c>
      <c r="AG19" s="76">
        <v>0</v>
      </c>
      <c r="AH19" s="76">
        <v>0</v>
      </c>
      <c r="AI19" s="76">
        <v>0</v>
      </c>
      <c r="AJ19" s="76">
        <v>0</v>
      </c>
      <c r="AK19" s="76">
        <v>0</v>
      </c>
      <c r="AL19" s="76">
        <v>0</v>
      </c>
      <c r="AM19" s="76">
        <v>0</v>
      </c>
      <c r="AN19" s="76">
        <v>0</v>
      </c>
      <c r="AO19" s="76">
        <v>0</v>
      </c>
      <c r="AP19" s="76">
        <v>0</v>
      </c>
      <c r="AQ19" s="76">
        <v>0</v>
      </c>
      <c r="AR19" s="76">
        <v>0</v>
      </c>
      <c r="AS19" s="76">
        <v>0</v>
      </c>
      <c r="AT19" s="76">
        <v>0</v>
      </c>
      <c r="AU19" s="76">
        <v>88.4</v>
      </c>
      <c r="AV19" s="76">
        <v>0</v>
      </c>
      <c r="AW19" s="76">
        <v>0</v>
      </c>
      <c r="AX19" s="76">
        <v>0</v>
      </c>
      <c r="AY19" s="76">
        <v>0</v>
      </c>
      <c r="AZ19" s="76">
        <v>0</v>
      </c>
      <c r="BA19" s="76">
        <v>0</v>
      </c>
      <c r="BB19" s="76">
        <v>0</v>
      </c>
      <c r="BC19" s="76">
        <v>0</v>
      </c>
      <c r="BD19" s="76">
        <v>0</v>
      </c>
      <c r="BE19" s="76">
        <v>0</v>
      </c>
      <c r="BF19" s="76">
        <v>0</v>
      </c>
      <c r="BG19" s="76">
        <v>0</v>
      </c>
      <c r="BH19" s="76">
        <v>0</v>
      </c>
      <c r="BI19" s="76">
        <v>0</v>
      </c>
      <c r="BJ19" s="76">
        <v>0</v>
      </c>
      <c r="BK19" s="76">
        <v>0</v>
      </c>
      <c r="BL19" s="76">
        <v>0</v>
      </c>
      <c r="BM19" s="76">
        <v>0</v>
      </c>
      <c r="BN19" s="76">
        <v>0</v>
      </c>
      <c r="BO19" s="76">
        <v>0</v>
      </c>
      <c r="BP19" s="76">
        <v>0</v>
      </c>
      <c r="BQ19" s="76">
        <v>0</v>
      </c>
      <c r="BR19" s="76">
        <v>0</v>
      </c>
      <c r="BS19" s="76">
        <v>0</v>
      </c>
      <c r="BT19" s="76">
        <v>0</v>
      </c>
      <c r="BU19" s="76">
        <v>0</v>
      </c>
      <c r="BV19" s="76">
        <v>0</v>
      </c>
      <c r="BW19" s="76">
        <v>0</v>
      </c>
      <c r="BX19" s="76">
        <v>0</v>
      </c>
      <c r="BY19" s="76">
        <v>0</v>
      </c>
      <c r="BZ19" s="76">
        <v>0</v>
      </c>
    </row>
    <row r="20" spans="1:78" x14ac:dyDescent="0.2">
      <c r="A20" s="62" t="s">
        <v>241</v>
      </c>
      <c r="B20" s="62" t="s">
        <v>9</v>
      </c>
      <c r="C20" s="62" t="s">
        <v>968</v>
      </c>
      <c r="D20" s="62" t="s">
        <v>231</v>
      </c>
      <c r="E20" s="76">
        <f>IF(B20="","",VLOOKUP(B20,dagsoorttabel1,2,FALSE))</f>
        <v>1</v>
      </c>
      <c r="F20" s="76">
        <v>1</v>
      </c>
      <c r="G20" s="76">
        <f>IF(prodnorm47&gt;0,1/ROUND(prodnorm47,4),0)</f>
        <v>0</v>
      </c>
      <c r="H20" s="66">
        <f>ROUND(uurtarief47,2)</f>
        <v>0</v>
      </c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  <c r="P20" s="76">
        <v>0</v>
      </c>
      <c r="Q20" s="76">
        <v>0</v>
      </c>
      <c r="R20" s="76">
        <v>0</v>
      </c>
      <c r="S20" s="76">
        <v>105.8</v>
      </c>
      <c r="T20" s="76">
        <v>0</v>
      </c>
      <c r="U20" s="76">
        <v>0</v>
      </c>
      <c r="V20" s="76">
        <v>0</v>
      </c>
      <c r="W20" s="76">
        <v>0</v>
      </c>
      <c r="X20" s="76">
        <v>0</v>
      </c>
      <c r="Y20" s="76">
        <v>0</v>
      </c>
      <c r="Z20" s="76">
        <v>0</v>
      </c>
      <c r="AA20" s="76">
        <v>0</v>
      </c>
      <c r="AB20" s="76">
        <v>0</v>
      </c>
      <c r="AC20" s="76">
        <v>0</v>
      </c>
      <c r="AD20" s="76">
        <v>0</v>
      </c>
      <c r="AE20" s="76">
        <v>0</v>
      </c>
      <c r="AF20" s="76">
        <v>0</v>
      </c>
      <c r="AG20" s="76">
        <v>0</v>
      </c>
      <c r="AH20" s="76">
        <v>0</v>
      </c>
      <c r="AI20" s="76">
        <v>0</v>
      </c>
      <c r="AJ20" s="76">
        <v>0</v>
      </c>
      <c r="AK20" s="76">
        <v>0</v>
      </c>
      <c r="AL20" s="76">
        <v>0</v>
      </c>
      <c r="AM20" s="76">
        <v>0</v>
      </c>
      <c r="AN20" s="76">
        <v>0</v>
      </c>
      <c r="AO20" s="76">
        <v>0</v>
      </c>
      <c r="AP20" s="76">
        <v>0</v>
      </c>
      <c r="AQ20" s="76">
        <v>0</v>
      </c>
      <c r="AR20" s="76">
        <v>0</v>
      </c>
      <c r="AS20" s="76">
        <v>0</v>
      </c>
      <c r="AT20" s="76">
        <v>0</v>
      </c>
      <c r="AU20" s="76">
        <v>0</v>
      </c>
      <c r="AV20" s="76">
        <v>0</v>
      </c>
      <c r="AW20" s="76">
        <v>0</v>
      </c>
      <c r="AX20" s="76">
        <v>0</v>
      </c>
      <c r="AY20" s="76">
        <v>0</v>
      </c>
      <c r="AZ20" s="76">
        <v>0</v>
      </c>
      <c r="BA20" s="76">
        <v>0</v>
      </c>
      <c r="BB20" s="76">
        <v>0</v>
      </c>
      <c r="BC20" s="76">
        <v>0</v>
      </c>
      <c r="BD20" s="76">
        <v>0</v>
      </c>
      <c r="BE20" s="76">
        <v>0</v>
      </c>
      <c r="BF20" s="76">
        <v>0</v>
      </c>
      <c r="BG20" s="76">
        <v>0</v>
      </c>
      <c r="BH20" s="76">
        <v>0</v>
      </c>
      <c r="BI20" s="76">
        <v>0</v>
      </c>
      <c r="BJ20" s="76">
        <v>0</v>
      </c>
      <c r="BK20" s="76">
        <v>0</v>
      </c>
      <c r="BL20" s="76">
        <v>0</v>
      </c>
      <c r="BM20" s="76">
        <v>0</v>
      </c>
      <c r="BN20" s="76">
        <v>0</v>
      </c>
      <c r="BO20" s="76">
        <v>0</v>
      </c>
      <c r="BP20" s="76">
        <v>0</v>
      </c>
      <c r="BQ20" s="76">
        <v>0</v>
      </c>
      <c r="BR20" s="76">
        <v>0</v>
      </c>
      <c r="BS20" s="76">
        <v>0</v>
      </c>
      <c r="BT20" s="76">
        <v>0</v>
      </c>
      <c r="BU20" s="76">
        <v>0</v>
      </c>
      <c r="BV20" s="76">
        <v>0</v>
      </c>
      <c r="BW20" s="76">
        <v>0</v>
      </c>
      <c r="BX20" s="76">
        <v>0</v>
      </c>
      <c r="BY20" s="76">
        <v>0</v>
      </c>
      <c r="BZ20" s="76">
        <v>0</v>
      </c>
    </row>
    <row r="21" spans="1:78" x14ac:dyDescent="0.2">
      <c r="A21" s="62" t="s">
        <v>243</v>
      </c>
      <c r="B21" s="62" t="s">
        <v>13</v>
      </c>
      <c r="C21" s="62" t="s">
        <v>968</v>
      </c>
      <c r="D21" s="62" t="s">
        <v>231</v>
      </c>
      <c r="E21" s="76">
        <f>IF(B21="","",VLOOKUP(B21,dagsoorttabel1,2,FALSE))</f>
        <v>0.2</v>
      </c>
      <c r="F21" s="76">
        <v>1</v>
      </c>
      <c r="G21" s="76">
        <f>IF(prodnorm48&gt;0,1/ROUND(prodnorm48,4),0)</f>
        <v>0</v>
      </c>
      <c r="H21" s="66">
        <f>ROUND(uurtarief48,2)</f>
        <v>0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6">
        <v>0</v>
      </c>
      <c r="S21" s="76">
        <v>0</v>
      </c>
      <c r="T21" s="76">
        <v>0</v>
      </c>
      <c r="U21" s="76">
        <v>0</v>
      </c>
      <c r="V21" s="76">
        <v>0</v>
      </c>
      <c r="W21" s="76">
        <v>0</v>
      </c>
      <c r="X21" s="76">
        <v>0</v>
      </c>
      <c r="Y21" s="76">
        <v>0</v>
      </c>
      <c r="Z21" s="76">
        <v>0</v>
      </c>
      <c r="AA21" s="76">
        <v>0</v>
      </c>
      <c r="AB21" s="76">
        <v>0</v>
      </c>
      <c r="AC21" s="76">
        <v>0</v>
      </c>
      <c r="AD21" s="76">
        <v>0</v>
      </c>
      <c r="AE21" s="76">
        <v>93.25</v>
      </c>
      <c r="AF21" s="76">
        <v>0</v>
      </c>
      <c r="AG21" s="76">
        <v>0</v>
      </c>
      <c r="AH21" s="76">
        <v>0</v>
      </c>
      <c r="AI21" s="76">
        <v>0</v>
      </c>
      <c r="AJ21" s="76">
        <v>0</v>
      </c>
      <c r="AK21" s="76">
        <v>0</v>
      </c>
      <c r="AL21" s="76">
        <v>0</v>
      </c>
      <c r="AM21" s="76">
        <v>0</v>
      </c>
      <c r="AN21" s="76">
        <v>0</v>
      </c>
      <c r="AO21" s="76">
        <v>0</v>
      </c>
      <c r="AP21" s="76">
        <v>0</v>
      </c>
      <c r="AQ21" s="76">
        <v>0</v>
      </c>
      <c r="AR21" s="76">
        <v>0</v>
      </c>
      <c r="AS21" s="76">
        <v>0</v>
      </c>
      <c r="AT21" s="76">
        <v>0</v>
      </c>
      <c r="AU21" s="76">
        <v>0</v>
      </c>
      <c r="AV21" s="76">
        <v>0</v>
      </c>
      <c r="AW21" s="76">
        <v>0</v>
      </c>
      <c r="AX21" s="76">
        <v>0</v>
      </c>
      <c r="AY21" s="76">
        <v>0</v>
      </c>
      <c r="AZ21" s="76">
        <v>0</v>
      </c>
      <c r="BA21" s="76">
        <v>0</v>
      </c>
      <c r="BB21" s="76">
        <v>0</v>
      </c>
      <c r="BC21" s="76">
        <v>0</v>
      </c>
      <c r="BD21" s="76">
        <v>0</v>
      </c>
      <c r="BE21" s="76">
        <v>0</v>
      </c>
      <c r="BF21" s="76">
        <v>0</v>
      </c>
      <c r="BG21" s="76">
        <v>0</v>
      </c>
      <c r="BH21" s="76">
        <v>0</v>
      </c>
      <c r="BI21" s="76">
        <v>0</v>
      </c>
      <c r="BJ21" s="76">
        <v>0</v>
      </c>
      <c r="BK21" s="76">
        <v>0</v>
      </c>
      <c r="BL21" s="76">
        <v>0</v>
      </c>
      <c r="BM21" s="76">
        <v>0</v>
      </c>
      <c r="BN21" s="76">
        <v>0</v>
      </c>
      <c r="BO21" s="76">
        <v>0</v>
      </c>
      <c r="BP21" s="76">
        <v>0</v>
      </c>
      <c r="BQ21" s="76">
        <v>0</v>
      </c>
      <c r="BR21" s="76">
        <v>0</v>
      </c>
      <c r="BS21" s="76">
        <v>0</v>
      </c>
      <c r="BT21" s="76">
        <v>0</v>
      </c>
      <c r="BU21" s="76">
        <v>0</v>
      </c>
      <c r="BV21" s="76">
        <v>0</v>
      </c>
      <c r="BW21" s="76">
        <v>0</v>
      </c>
      <c r="BX21" s="76">
        <v>0</v>
      </c>
      <c r="BY21" s="76">
        <v>0</v>
      </c>
      <c r="BZ21" s="76">
        <v>0</v>
      </c>
    </row>
    <row r="22" spans="1:78" x14ac:dyDescent="0.2">
      <c r="A22" s="62" t="s">
        <v>243</v>
      </c>
      <c r="B22" s="62" t="s">
        <v>11</v>
      </c>
      <c r="C22" s="62" t="s">
        <v>968</v>
      </c>
      <c r="D22" s="62" t="s">
        <v>231</v>
      </c>
      <c r="E22" s="76">
        <f>IF(B22="","",VLOOKUP(B22,dagsoorttabel1,2,FALSE))</f>
        <v>0.6</v>
      </c>
      <c r="F22" s="76">
        <v>1</v>
      </c>
      <c r="G22" s="76">
        <f>IF(prodnorm49&gt;0,1/ROUND(prodnorm49,4),0)</f>
        <v>0</v>
      </c>
      <c r="H22" s="66">
        <f>ROUND(uurtarief49,2)</f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  <c r="P22" s="76">
        <v>0</v>
      </c>
      <c r="Q22" s="76">
        <v>0</v>
      </c>
      <c r="R22" s="76">
        <v>0</v>
      </c>
      <c r="S22" s="76">
        <v>0</v>
      </c>
      <c r="T22" s="76">
        <v>0</v>
      </c>
      <c r="U22" s="76">
        <v>0</v>
      </c>
      <c r="V22" s="76">
        <v>17</v>
      </c>
      <c r="W22" s="76">
        <v>0</v>
      </c>
      <c r="X22" s="76">
        <v>0</v>
      </c>
      <c r="Y22" s="76">
        <v>0</v>
      </c>
      <c r="Z22" s="76">
        <v>0</v>
      </c>
      <c r="AA22" s="76">
        <v>31.9</v>
      </c>
      <c r="AB22" s="76">
        <v>0</v>
      </c>
      <c r="AC22" s="76">
        <v>0</v>
      </c>
      <c r="AD22" s="76">
        <v>0</v>
      </c>
      <c r="AE22" s="76">
        <v>0</v>
      </c>
      <c r="AF22" s="76">
        <v>0</v>
      </c>
      <c r="AG22" s="76">
        <v>0</v>
      </c>
      <c r="AH22" s="76">
        <v>0</v>
      </c>
      <c r="AI22" s="76">
        <v>0</v>
      </c>
      <c r="AJ22" s="76">
        <v>0</v>
      </c>
      <c r="AK22" s="76">
        <v>0</v>
      </c>
      <c r="AL22" s="76">
        <v>0</v>
      </c>
      <c r="AM22" s="76">
        <v>0</v>
      </c>
      <c r="AN22" s="76">
        <v>0</v>
      </c>
      <c r="AO22" s="76">
        <v>0</v>
      </c>
      <c r="AP22" s="76">
        <v>0</v>
      </c>
      <c r="AQ22" s="76">
        <v>0</v>
      </c>
      <c r="AR22" s="76">
        <v>0</v>
      </c>
      <c r="AS22" s="76">
        <v>0</v>
      </c>
      <c r="AT22" s="76">
        <v>0</v>
      </c>
      <c r="AU22" s="76">
        <v>14.1</v>
      </c>
      <c r="AV22" s="76">
        <v>0</v>
      </c>
      <c r="AW22" s="76">
        <v>0</v>
      </c>
      <c r="AX22" s="76">
        <v>0</v>
      </c>
      <c r="AY22" s="76">
        <v>0</v>
      </c>
      <c r="AZ22" s="76">
        <v>0</v>
      </c>
      <c r="BA22" s="76">
        <v>0</v>
      </c>
      <c r="BB22" s="76">
        <v>0</v>
      </c>
      <c r="BC22" s="76">
        <v>0</v>
      </c>
      <c r="BD22" s="76">
        <v>0</v>
      </c>
      <c r="BE22" s="76">
        <v>0</v>
      </c>
      <c r="BF22" s="76">
        <v>0</v>
      </c>
      <c r="BG22" s="76">
        <v>0</v>
      </c>
      <c r="BH22" s="76">
        <v>0</v>
      </c>
      <c r="BI22" s="76">
        <v>0</v>
      </c>
      <c r="BJ22" s="76">
        <v>0</v>
      </c>
      <c r="BK22" s="76">
        <v>0</v>
      </c>
      <c r="BL22" s="76">
        <v>0</v>
      </c>
      <c r="BM22" s="76">
        <v>0</v>
      </c>
      <c r="BN22" s="76">
        <v>0</v>
      </c>
      <c r="BO22" s="76">
        <v>0</v>
      </c>
      <c r="BP22" s="76">
        <v>0</v>
      </c>
      <c r="BQ22" s="76">
        <v>0</v>
      </c>
      <c r="BR22" s="76">
        <v>0</v>
      </c>
      <c r="BS22" s="76">
        <v>0</v>
      </c>
      <c r="BT22" s="76">
        <v>0</v>
      </c>
      <c r="BU22" s="76">
        <v>0</v>
      </c>
      <c r="BV22" s="76">
        <v>0</v>
      </c>
      <c r="BW22" s="76">
        <v>0</v>
      </c>
      <c r="BX22" s="76">
        <v>0</v>
      </c>
      <c r="BY22" s="76">
        <v>0</v>
      </c>
      <c r="BZ22" s="76">
        <v>0</v>
      </c>
    </row>
    <row r="23" spans="1:78" x14ac:dyDescent="0.2">
      <c r="A23" s="62" t="s">
        <v>243</v>
      </c>
      <c r="B23" s="62" t="s">
        <v>10</v>
      </c>
      <c r="C23" s="62" t="s">
        <v>968</v>
      </c>
      <c r="D23" s="62" t="s">
        <v>231</v>
      </c>
      <c r="E23" s="76">
        <f>IF(B23="","",VLOOKUP(B23,dagsoorttabel1,2,FALSE))</f>
        <v>0.8</v>
      </c>
      <c r="F23" s="76">
        <v>1</v>
      </c>
      <c r="G23" s="76">
        <f>IF(prodnorm50&gt;0,1/ROUND(prodnorm50,4),0)</f>
        <v>0</v>
      </c>
      <c r="H23" s="66">
        <f>ROUND(uurtarief50,2)</f>
        <v>0</v>
      </c>
      <c r="I23" s="76">
        <v>27.7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  <c r="P23" s="76">
        <v>0</v>
      </c>
      <c r="Q23" s="76">
        <v>0</v>
      </c>
      <c r="R23" s="76">
        <v>0</v>
      </c>
      <c r="S23" s="76">
        <v>0</v>
      </c>
      <c r="T23" s="76">
        <v>0</v>
      </c>
      <c r="U23" s="76">
        <v>0</v>
      </c>
      <c r="V23" s="76">
        <v>0</v>
      </c>
      <c r="W23" s="76">
        <v>0</v>
      </c>
      <c r="X23" s="76">
        <v>0</v>
      </c>
      <c r="Y23" s="76">
        <v>0</v>
      </c>
      <c r="Z23" s="76">
        <v>0</v>
      </c>
      <c r="AA23" s="76">
        <v>0</v>
      </c>
      <c r="AB23" s="76">
        <v>0</v>
      </c>
      <c r="AC23" s="76">
        <v>0</v>
      </c>
      <c r="AD23" s="76">
        <v>0</v>
      </c>
      <c r="AE23" s="76">
        <v>0</v>
      </c>
      <c r="AF23" s="76">
        <v>0</v>
      </c>
      <c r="AG23" s="76">
        <v>0</v>
      </c>
      <c r="AH23" s="76">
        <v>0</v>
      </c>
      <c r="AI23" s="76">
        <v>0</v>
      </c>
      <c r="AJ23" s="76">
        <v>0</v>
      </c>
      <c r="AK23" s="76">
        <v>0</v>
      </c>
      <c r="AL23" s="76">
        <v>0</v>
      </c>
      <c r="AM23" s="76">
        <v>0</v>
      </c>
      <c r="AN23" s="76">
        <v>0</v>
      </c>
      <c r="AO23" s="76">
        <v>0</v>
      </c>
      <c r="AP23" s="76">
        <v>0</v>
      </c>
      <c r="AQ23" s="76">
        <v>0</v>
      </c>
      <c r="AR23" s="76">
        <v>0</v>
      </c>
      <c r="AS23" s="76">
        <v>0</v>
      </c>
      <c r="AT23" s="76">
        <v>0</v>
      </c>
      <c r="AU23" s="76">
        <v>0</v>
      </c>
      <c r="AV23" s="76">
        <v>0</v>
      </c>
      <c r="AW23" s="76">
        <v>0</v>
      </c>
      <c r="AX23" s="76">
        <v>0</v>
      </c>
      <c r="AY23" s="76">
        <v>0</v>
      </c>
      <c r="AZ23" s="76">
        <v>0</v>
      </c>
      <c r="BA23" s="76">
        <v>0</v>
      </c>
      <c r="BB23" s="76">
        <v>0</v>
      </c>
      <c r="BC23" s="76">
        <v>0</v>
      </c>
      <c r="BD23" s="76">
        <v>0</v>
      </c>
      <c r="BE23" s="76">
        <v>0</v>
      </c>
      <c r="BF23" s="76">
        <v>0</v>
      </c>
      <c r="BG23" s="76">
        <v>0</v>
      </c>
      <c r="BH23" s="76">
        <v>0</v>
      </c>
      <c r="BI23" s="76">
        <v>0</v>
      </c>
      <c r="BJ23" s="76">
        <v>0</v>
      </c>
      <c r="BK23" s="76">
        <v>0</v>
      </c>
      <c r="BL23" s="76">
        <v>0</v>
      </c>
      <c r="BM23" s="76">
        <v>0</v>
      </c>
      <c r="BN23" s="76">
        <v>0</v>
      </c>
      <c r="BO23" s="76">
        <v>0</v>
      </c>
      <c r="BP23" s="76">
        <v>0</v>
      </c>
      <c r="BQ23" s="76">
        <v>0</v>
      </c>
      <c r="BR23" s="76">
        <v>0</v>
      </c>
      <c r="BS23" s="76">
        <v>0</v>
      </c>
      <c r="BT23" s="76">
        <v>0</v>
      </c>
      <c r="BU23" s="76">
        <v>0</v>
      </c>
      <c r="BV23" s="76">
        <v>0</v>
      </c>
      <c r="BW23" s="76">
        <v>0</v>
      </c>
      <c r="BX23" s="76">
        <v>0</v>
      </c>
      <c r="BY23" s="76">
        <v>0</v>
      </c>
      <c r="BZ23" s="76">
        <v>0</v>
      </c>
    </row>
    <row r="24" spans="1:78" x14ac:dyDescent="0.2">
      <c r="A24" s="62" t="s">
        <v>243</v>
      </c>
      <c r="B24" s="62" t="s">
        <v>9</v>
      </c>
      <c r="C24" s="62" t="s">
        <v>968</v>
      </c>
      <c r="D24" s="62" t="s">
        <v>231</v>
      </c>
      <c r="E24" s="76">
        <f>IF(B24="","",VLOOKUP(B24,dagsoorttabel1,2,FALSE))</f>
        <v>1</v>
      </c>
      <c r="F24" s="76">
        <v>1</v>
      </c>
      <c r="G24" s="76">
        <f>IF(prodnorm51&gt;0,1/ROUND(prodnorm51,4),0)</f>
        <v>0</v>
      </c>
      <c r="H24" s="66">
        <f>ROUND(uurtarief51,2)</f>
        <v>0</v>
      </c>
      <c r="I24" s="76">
        <v>471.4</v>
      </c>
      <c r="J24" s="76">
        <v>0</v>
      </c>
      <c r="K24" s="76">
        <v>18</v>
      </c>
      <c r="L24" s="76">
        <v>0</v>
      </c>
      <c r="M24" s="76">
        <v>0</v>
      </c>
      <c r="N24" s="76">
        <v>0</v>
      </c>
      <c r="O24" s="76">
        <v>0</v>
      </c>
      <c r="P24" s="76">
        <v>0</v>
      </c>
      <c r="Q24" s="76">
        <v>0</v>
      </c>
      <c r="R24" s="76">
        <v>0</v>
      </c>
      <c r="S24" s="76">
        <v>22.4</v>
      </c>
      <c r="T24" s="76">
        <v>0</v>
      </c>
      <c r="U24" s="76">
        <v>0</v>
      </c>
      <c r="V24" s="76">
        <v>0</v>
      </c>
      <c r="W24" s="76">
        <v>0</v>
      </c>
      <c r="X24" s="76">
        <v>0</v>
      </c>
      <c r="Y24" s="76">
        <v>0</v>
      </c>
      <c r="Z24" s="76">
        <v>0</v>
      </c>
      <c r="AA24" s="76">
        <v>0</v>
      </c>
      <c r="AB24" s="76">
        <v>0</v>
      </c>
      <c r="AC24" s="76">
        <v>0</v>
      </c>
      <c r="AD24" s="76">
        <v>0</v>
      </c>
      <c r="AE24" s="76">
        <v>0</v>
      </c>
      <c r="AF24" s="76">
        <v>0</v>
      </c>
      <c r="AG24" s="76">
        <v>0</v>
      </c>
      <c r="AH24" s="76">
        <v>0</v>
      </c>
      <c r="AI24" s="76">
        <v>0</v>
      </c>
      <c r="AJ24" s="76">
        <v>0</v>
      </c>
      <c r="AK24" s="76">
        <v>0</v>
      </c>
      <c r="AL24" s="76">
        <v>0</v>
      </c>
      <c r="AM24" s="76">
        <v>0</v>
      </c>
      <c r="AN24" s="76">
        <v>0</v>
      </c>
      <c r="AO24" s="76">
        <v>0</v>
      </c>
      <c r="AP24" s="76">
        <v>0</v>
      </c>
      <c r="AQ24" s="76">
        <v>0</v>
      </c>
      <c r="AR24" s="76">
        <v>0</v>
      </c>
      <c r="AS24" s="76">
        <v>0</v>
      </c>
      <c r="AT24" s="76">
        <v>0</v>
      </c>
      <c r="AU24" s="76">
        <v>0</v>
      </c>
      <c r="AV24" s="76">
        <v>0</v>
      </c>
      <c r="AW24" s="76">
        <v>0</v>
      </c>
      <c r="AX24" s="76">
        <v>0</v>
      </c>
      <c r="AY24" s="76">
        <v>0</v>
      </c>
      <c r="AZ24" s="76">
        <v>0</v>
      </c>
      <c r="BA24" s="76">
        <v>0</v>
      </c>
      <c r="BB24" s="76">
        <v>0</v>
      </c>
      <c r="BC24" s="76">
        <v>0</v>
      </c>
      <c r="BD24" s="76">
        <v>0</v>
      </c>
      <c r="BE24" s="76">
        <v>0</v>
      </c>
      <c r="BF24" s="76">
        <v>0</v>
      </c>
      <c r="BG24" s="76">
        <v>0</v>
      </c>
      <c r="BH24" s="76">
        <v>0</v>
      </c>
      <c r="BI24" s="76">
        <v>0</v>
      </c>
      <c r="BJ24" s="76">
        <v>0</v>
      </c>
      <c r="BK24" s="76">
        <v>0</v>
      </c>
      <c r="BL24" s="76">
        <v>0</v>
      </c>
      <c r="BM24" s="76">
        <v>0</v>
      </c>
      <c r="BN24" s="76">
        <v>0</v>
      </c>
      <c r="BO24" s="76">
        <v>0</v>
      </c>
      <c r="BP24" s="76">
        <v>0</v>
      </c>
      <c r="BQ24" s="76">
        <v>0</v>
      </c>
      <c r="BR24" s="76">
        <v>0</v>
      </c>
      <c r="BS24" s="76">
        <v>0</v>
      </c>
      <c r="BT24" s="76">
        <v>0</v>
      </c>
      <c r="BU24" s="76">
        <v>0</v>
      </c>
      <c r="BV24" s="76">
        <v>0</v>
      </c>
      <c r="BW24" s="76">
        <v>0</v>
      </c>
      <c r="BX24" s="76">
        <v>0</v>
      </c>
      <c r="BY24" s="76">
        <v>0</v>
      </c>
      <c r="BZ24" s="76">
        <v>0</v>
      </c>
    </row>
    <row r="25" spans="1:78" x14ac:dyDescent="0.2">
      <c r="A25" s="62" t="s">
        <v>245</v>
      </c>
      <c r="B25" s="62" t="s">
        <v>11</v>
      </c>
      <c r="C25" s="62" t="s">
        <v>968</v>
      </c>
      <c r="D25" s="62" t="s">
        <v>231</v>
      </c>
      <c r="E25" s="76">
        <f>IF(B25="","",VLOOKUP(B25,dagsoorttabel1,2,FALSE))</f>
        <v>0.6</v>
      </c>
      <c r="F25" s="76">
        <v>1</v>
      </c>
      <c r="G25" s="76">
        <f>IF(prodnorm52&gt;0,1/ROUND(prodnorm52,4),0)</f>
        <v>0</v>
      </c>
      <c r="H25" s="66">
        <f>ROUND(uurtarief52,2)</f>
        <v>0</v>
      </c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76">
        <v>0</v>
      </c>
      <c r="V25" s="76">
        <v>0</v>
      </c>
      <c r="W25" s="76">
        <v>0</v>
      </c>
      <c r="X25" s="76">
        <v>0</v>
      </c>
      <c r="Y25" s="76">
        <v>0</v>
      </c>
      <c r="Z25" s="76">
        <v>0</v>
      </c>
      <c r="AA25" s="76">
        <v>1.6</v>
      </c>
      <c r="AB25" s="76">
        <v>0</v>
      </c>
      <c r="AC25" s="76">
        <v>0</v>
      </c>
      <c r="AD25" s="76">
        <v>0</v>
      </c>
      <c r="AE25" s="76">
        <v>0</v>
      </c>
      <c r="AF25" s="76">
        <v>0</v>
      </c>
      <c r="AG25" s="76">
        <v>0</v>
      </c>
      <c r="AH25" s="76">
        <v>0</v>
      </c>
      <c r="AI25" s="76">
        <v>0</v>
      </c>
      <c r="AJ25" s="76">
        <v>0</v>
      </c>
      <c r="AK25" s="76">
        <v>0</v>
      </c>
      <c r="AL25" s="76">
        <v>0</v>
      </c>
      <c r="AM25" s="76">
        <v>0</v>
      </c>
      <c r="AN25" s="76">
        <v>0</v>
      </c>
      <c r="AO25" s="76">
        <v>0</v>
      </c>
      <c r="AP25" s="76">
        <v>0</v>
      </c>
      <c r="AQ25" s="76">
        <v>0</v>
      </c>
      <c r="AR25" s="76">
        <v>0</v>
      </c>
      <c r="AS25" s="76">
        <v>0</v>
      </c>
      <c r="AT25" s="76">
        <v>0</v>
      </c>
      <c r="AU25" s="76">
        <v>0</v>
      </c>
      <c r="AV25" s="76">
        <v>0</v>
      </c>
      <c r="AW25" s="76">
        <v>0</v>
      </c>
      <c r="AX25" s="76">
        <v>0</v>
      </c>
      <c r="AY25" s="76">
        <v>0</v>
      </c>
      <c r="AZ25" s="76">
        <v>0</v>
      </c>
      <c r="BA25" s="76">
        <v>0</v>
      </c>
      <c r="BB25" s="76">
        <v>0</v>
      </c>
      <c r="BC25" s="76">
        <v>0</v>
      </c>
      <c r="BD25" s="76">
        <v>0</v>
      </c>
      <c r="BE25" s="76">
        <v>0</v>
      </c>
      <c r="BF25" s="76">
        <v>0</v>
      </c>
      <c r="BG25" s="76">
        <v>0</v>
      </c>
      <c r="BH25" s="76">
        <v>0</v>
      </c>
      <c r="BI25" s="76">
        <v>0</v>
      </c>
      <c r="BJ25" s="76">
        <v>0</v>
      </c>
      <c r="BK25" s="76">
        <v>0</v>
      </c>
      <c r="BL25" s="76">
        <v>0</v>
      </c>
      <c r="BM25" s="76">
        <v>0</v>
      </c>
      <c r="BN25" s="76">
        <v>0</v>
      </c>
      <c r="BO25" s="76">
        <v>0</v>
      </c>
      <c r="BP25" s="76">
        <v>0</v>
      </c>
      <c r="BQ25" s="76">
        <v>0</v>
      </c>
      <c r="BR25" s="76">
        <v>0</v>
      </c>
      <c r="BS25" s="76">
        <v>0</v>
      </c>
      <c r="BT25" s="76">
        <v>0</v>
      </c>
      <c r="BU25" s="76">
        <v>0</v>
      </c>
      <c r="BV25" s="76">
        <v>0</v>
      </c>
      <c r="BW25" s="76">
        <v>0</v>
      </c>
      <c r="BX25" s="76">
        <v>0</v>
      </c>
      <c r="BY25" s="76">
        <v>0</v>
      </c>
      <c r="BZ25" s="76">
        <v>0</v>
      </c>
    </row>
    <row r="26" spans="1:78" x14ac:dyDescent="0.2">
      <c r="A26" s="62" t="s">
        <v>245</v>
      </c>
      <c r="B26" s="62" t="s">
        <v>9</v>
      </c>
      <c r="C26" s="62" t="s">
        <v>968</v>
      </c>
      <c r="D26" s="62" t="s">
        <v>231</v>
      </c>
      <c r="E26" s="76">
        <f>IF(B26="","",VLOOKUP(B26,dagsoorttabel1,2,FALSE))</f>
        <v>1</v>
      </c>
      <c r="F26" s="76">
        <v>1</v>
      </c>
      <c r="G26" s="76">
        <f>IF(prodnorm53&gt;0,1/ROUND(prodnorm53,4),0)</f>
        <v>0</v>
      </c>
      <c r="H26" s="66">
        <f>ROUND(uurtarief53,2)</f>
        <v>0</v>
      </c>
      <c r="I26" s="76">
        <v>0</v>
      </c>
      <c r="J26" s="76">
        <v>0</v>
      </c>
      <c r="K26" s="76">
        <v>29.799999999999997</v>
      </c>
      <c r="L26" s="76">
        <v>0</v>
      </c>
      <c r="M26" s="76">
        <v>0</v>
      </c>
      <c r="N26" s="76">
        <v>0</v>
      </c>
      <c r="O26" s="76">
        <v>43</v>
      </c>
      <c r="P26" s="76">
        <v>0</v>
      </c>
      <c r="Q26" s="76">
        <v>0</v>
      </c>
      <c r="R26" s="76">
        <v>0</v>
      </c>
      <c r="S26" s="76">
        <v>0</v>
      </c>
      <c r="T26" s="76">
        <v>0</v>
      </c>
      <c r="U26" s="76">
        <v>0</v>
      </c>
      <c r="V26" s="76">
        <v>0</v>
      </c>
      <c r="W26" s="76">
        <v>0</v>
      </c>
      <c r="X26" s="76">
        <v>0</v>
      </c>
      <c r="Y26" s="76">
        <v>0</v>
      </c>
      <c r="Z26" s="76">
        <v>0</v>
      </c>
      <c r="AA26" s="76">
        <v>0</v>
      </c>
      <c r="AB26" s="76">
        <v>0</v>
      </c>
      <c r="AC26" s="76">
        <v>0</v>
      </c>
      <c r="AD26" s="76">
        <v>0</v>
      </c>
      <c r="AE26" s="76">
        <v>0</v>
      </c>
      <c r="AF26" s="76">
        <v>0</v>
      </c>
      <c r="AG26" s="76">
        <v>0</v>
      </c>
      <c r="AH26" s="76">
        <v>0</v>
      </c>
      <c r="AI26" s="76">
        <v>0</v>
      </c>
      <c r="AJ26" s="76">
        <v>0</v>
      </c>
      <c r="AK26" s="76">
        <v>0</v>
      </c>
      <c r="AL26" s="76">
        <v>0</v>
      </c>
      <c r="AM26" s="76">
        <v>0</v>
      </c>
      <c r="AN26" s="76">
        <v>0</v>
      </c>
      <c r="AO26" s="76">
        <v>0</v>
      </c>
      <c r="AP26" s="76">
        <v>0</v>
      </c>
      <c r="AQ26" s="76">
        <v>0</v>
      </c>
      <c r="AR26" s="76">
        <v>0</v>
      </c>
      <c r="AS26" s="76">
        <v>0</v>
      </c>
      <c r="AT26" s="76">
        <v>0</v>
      </c>
      <c r="AU26" s="76">
        <v>0</v>
      </c>
      <c r="AV26" s="76">
        <v>0</v>
      </c>
      <c r="AW26" s="76">
        <v>0</v>
      </c>
      <c r="AX26" s="76">
        <v>0</v>
      </c>
      <c r="AY26" s="76">
        <v>0</v>
      </c>
      <c r="AZ26" s="76">
        <v>0</v>
      </c>
      <c r="BA26" s="76">
        <v>0</v>
      </c>
      <c r="BB26" s="76">
        <v>0</v>
      </c>
      <c r="BC26" s="76">
        <v>0</v>
      </c>
      <c r="BD26" s="76">
        <v>0</v>
      </c>
      <c r="BE26" s="76">
        <v>0</v>
      </c>
      <c r="BF26" s="76">
        <v>0</v>
      </c>
      <c r="BG26" s="76">
        <v>0</v>
      </c>
      <c r="BH26" s="76">
        <v>0</v>
      </c>
      <c r="BI26" s="76">
        <v>0</v>
      </c>
      <c r="BJ26" s="76">
        <v>0</v>
      </c>
      <c r="BK26" s="76">
        <v>0</v>
      </c>
      <c r="BL26" s="76">
        <v>0</v>
      </c>
      <c r="BM26" s="76">
        <v>0</v>
      </c>
      <c r="BN26" s="76">
        <v>0</v>
      </c>
      <c r="BO26" s="76">
        <v>0</v>
      </c>
      <c r="BP26" s="76">
        <v>0</v>
      </c>
      <c r="BQ26" s="76">
        <v>0</v>
      </c>
      <c r="BR26" s="76">
        <v>0</v>
      </c>
      <c r="BS26" s="76">
        <v>0</v>
      </c>
      <c r="BT26" s="76">
        <v>0</v>
      </c>
      <c r="BU26" s="76">
        <v>0</v>
      </c>
      <c r="BV26" s="76">
        <v>0</v>
      </c>
      <c r="BW26" s="76">
        <v>0</v>
      </c>
      <c r="BX26" s="76">
        <v>0</v>
      </c>
      <c r="BY26" s="76">
        <v>0</v>
      </c>
      <c r="BZ26" s="76">
        <v>0</v>
      </c>
    </row>
    <row r="27" spans="1:78" x14ac:dyDescent="0.2">
      <c r="A27" s="62" t="s">
        <v>247</v>
      </c>
      <c r="B27" s="62" t="s">
        <v>20</v>
      </c>
      <c r="C27" s="62" t="s">
        <v>968</v>
      </c>
      <c r="D27" s="62" t="s">
        <v>231</v>
      </c>
      <c r="E27" s="76">
        <f>IF(B27="","",VLOOKUP(B27,dagsoorttabel1,2,FALSE))</f>
        <v>1.5686274509803921E-2</v>
      </c>
      <c r="F27" s="76">
        <v>1</v>
      </c>
      <c r="G27" s="76">
        <f>IF(prodnorm54&gt;0,1/ROUND(prodnorm54,4),0)</f>
        <v>0</v>
      </c>
      <c r="H27" s="66">
        <f>ROUND(uurtarief54,2)</f>
        <v>0</v>
      </c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  <c r="P27" s="76">
        <v>0</v>
      </c>
      <c r="Q27" s="76">
        <v>0</v>
      </c>
      <c r="R27" s="76">
        <v>0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6">
        <v>0</v>
      </c>
      <c r="Y27" s="76">
        <v>0</v>
      </c>
      <c r="Z27" s="76">
        <v>0</v>
      </c>
      <c r="AA27" s="76">
        <v>0</v>
      </c>
      <c r="AB27" s="76">
        <v>0</v>
      </c>
      <c r="AC27" s="76">
        <v>0</v>
      </c>
      <c r="AD27" s="76">
        <v>0</v>
      </c>
      <c r="AE27" s="76">
        <v>0</v>
      </c>
      <c r="AF27" s="76">
        <v>0</v>
      </c>
      <c r="AG27" s="76">
        <v>0</v>
      </c>
      <c r="AH27" s="76">
        <v>0</v>
      </c>
      <c r="AI27" s="76">
        <v>0</v>
      </c>
      <c r="AJ27" s="76">
        <v>0</v>
      </c>
      <c r="AK27" s="76">
        <v>123.1</v>
      </c>
      <c r="AL27" s="76">
        <v>0</v>
      </c>
      <c r="AM27" s="76">
        <v>0</v>
      </c>
      <c r="AN27" s="76">
        <v>0</v>
      </c>
      <c r="AO27" s="76">
        <v>0</v>
      </c>
      <c r="AP27" s="76">
        <v>0</v>
      </c>
      <c r="AQ27" s="76">
        <v>0</v>
      </c>
      <c r="AR27" s="76">
        <v>0</v>
      </c>
      <c r="AS27" s="76">
        <v>0</v>
      </c>
      <c r="AT27" s="76">
        <v>0</v>
      </c>
      <c r="AU27" s="76">
        <v>0</v>
      </c>
      <c r="AV27" s="76">
        <v>0</v>
      </c>
      <c r="AW27" s="76">
        <v>0</v>
      </c>
      <c r="AX27" s="76">
        <v>0</v>
      </c>
      <c r="AY27" s="76">
        <v>0</v>
      </c>
      <c r="AZ27" s="76">
        <v>0</v>
      </c>
      <c r="BA27" s="76">
        <v>0</v>
      </c>
      <c r="BB27" s="76">
        <v>0</v>
      </c>
      <c r="BC27" s="76">
        <v>0</v>
      </c>
      <c r="BD27" s="76">
        <v>0</v>
      </c>
      <c r="BE27" s="76">
        <v>0</v>
      </c>
      <c r="BF27" s="76">
        <v>0</v>
      </c>
      <c r="BG27" s="76">
        <v>0</v>
      </c>
      <c r="BH27" s="76">
        <v>0</v>
      </c>
      <c r="BI27" s="76">
        <v>0</v>
      </c>
      <c r="BJ27" s="76">
        <v>0</v>
      </c>
      <c r="BK27" s="76">
        <v>0</v>
      </c>
      <c r="BL27" s="76">
        <v>0</v>
      </c>
      <c r="BM27" s="76">
        <v>0</v>
      </c>
      <c r="BN27" s="76">
        <v>0</v>
      </c>
      <c r="BO27" s="76">
        <v>0</v>
      </c>
      <c r="BP27" s="76">
        <v>0</v>
      </c>
      <c r="BQ27" s="76">
        <v>0</v>
      </c>
      <c r="BR27" s="76">
        <v>0</v>
      </c>
      <c r="BS27" s="76">
        <v>0</v>
      </c>
      <c r="BT27" s="76">
        <v>0</v>
      </c>
      <c r="BU27" s="76">
        <v>0</v>
      </c>
      <c r="BV27" s="76">
        <v>0</v>
      </c>
      <c r="BW27" s="76">
        <v>0</v>
      </c>
      <c r="BX27" s="76">
        <v>0</v>
      </c>
      <c r="BY27" s="76">
        <v>0</v>
      </c>
      <c r="BZ27" s="76">
        <v>0</v>
      </c>
    </row>
    <row r="28" spans="1:78" x14ac:dyDescent="0.2">
      <c r="A28" s="62" t="s">
        <v>249</v>
      </c>
      <c r="B28" s="62" t="s">
        <v>13</v>
      </c>
      <c r="C28" s="62" t="s">
        <v>968</v>
      </c>
      <c r="D28" s="62" t="s">
        <v>231</v>
      </c>
      <c r="E28" s="76">
        <f>IF(B28="","",VLOOKUP(B28,dagsoorttabel1,2,FALSE))</f>
        <v>0.2</v>
      </c>
      <c r="F28" s="76">
        <v>1</v>
      </c>
      <c r="G28" s="76">
        <f>IF(prodnorm55&gt;0,1/ROUND(prodnorm55,4),0)</f>
        <v>0</v>
      </c>
      <c r="H28" s="66">
        <f>ROUND(uurtarief55,2)</f>
        <v>0</v>
      </c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  <c r="P28" s="76">
        <v>7.5</v>
      </c>
      <c r="Q28" s="76">
        <v>19</v>
      </c>
      <c r="R28" s="76">
        <v>0</v>
      </c>
      <c r="S28" s="76">
        <v>0</v>
      </c>
      <c r="T28" s="76">
        <v>0</v>
      </c>
      <c r="U28" s="76">
        <v>0</v>
      </c>
      <c r="V28" s="76">
        <v>0</v>
      </c>
      <c r="W28" s="76">
        <v>29</v>
      </c>
      <c r="X28" s="76">
        <v>0</v>
      </c>
      <c r="Y28" s="76">
        <v>0</v>
      </c>
      <c r="Z28" s="76">
        <v>0</v>
      </c>
      <c r="AA28" s="76">
        <v>0</v>
      </c>
      <c r="AB28" s="76">
        <v>0</v>
      </c>
      <c r="AC28" s="76">
        <v>0</v>
      </c>
      <c r="AD28" s="76">
        <v>8.5</v>
      </c>
      <c r="AE28" s="76">
        <v>0</v>
      </c>
      <c r="AF28" s="76">
        <v>0</v>
      </c>
      <c r="AG28" s="76">
        <v>0</v>
      </c>
      <c r="AH28" s="76">
        <v>0</v>
      </c>
      <c r="AI28" s="76">
        <v>0</v>
      </c>
      <c r="AJ28" s="76">
        <v>0</v>
      </c>
      <c r="AK28" s="76">
        <v>0</v>
      </c>
      <c r="AL28" s="76">
        <v>0</v>
      </c>
      <c r="AM28" s="76">
        <v>0</v>
      </c>
      <c r="AN28" s="76">
        <v>0</v>
      </c>
      <c r="AO28" s="76">
        <v>0</v>
      </c>
      <c r="AP28" s="76">
        <v>0</v>
      </c>
      <c r="AQ28" s="76">
        <v>0</v>
      </c>
      <c r="AR28" s="76">
        <v>0</v>
      </c>
      <c r="AS28" s="76">
        <v>0</v>
      </c>
      <c r="AT28" s="76">
        <v>0</v>
      </c>
      <c r="AU28" s="76">
        <v>0</v>
      </c>
      <c r="AV28" s="76">
        <v>0</v>
      </c>
      <c r="AW28" s="76">
        <v>0</v>
      </c>
      <c r="AX28" s="76">
        <v>0</v>
      </c>
      <c r="AY28" s="76">
        <v>0</v>
      </c>
      <c r="AZ28" s="76">
        <v>0</v>
      </c>
      <c r="BA28" s="76">
        <v>0</v>
      </c>
      <c r="BB28" s="76">
        <v>0</v>
      </c>
      <c r="BC28" s="76">
        <v>0</v>
      </c>
      <c r="BD28" s="76">
        <v>0</v>
      </c>
      <c r="BE28" s="76">
        <v>0</v>
      </c>
      <c r="BF28" s="76">
        <v>0</v>
      </c>
      <c r="BG28" s="76">
        <v>0</v>
      </c>
      <c r="BH28" s="76">
        <v>0</v>
      </c>
      <c r="BI28" s="76">
        <v>0</v>
      </c>
      <c r="BJ28" s="76">
        <v>0</v>
      </c>
      <c r="BK28" s="76">
        <v>0</v>
      </c>
      <c r="BL28" s="76">
        <v>0</v>
      </c>
      <c r="BM28" s="76">
        <v>0</v>
      </c>
      <c r="BN28" s="76">
        <v>0</v>
      </c>
      <c r="BO28" s="76">
        <v>0</v>
      </c>
      <c r="BP28" s="76">
        <v>0</v>
      </c>
      <c r="BQ28" s="76">
        <v>0</v>
      </c>
      <c r="BR28" s="76">
        <v>0</v>
      </c>
      <c r="BS28" s="76">
        <v>0</v>
      </c>
      <c r="BT28" s="76">
        <v>0</v>
      </c>
      <c r="BU28" s="76">
        <v>0</v>
      </c>
      <c r="BV28" s="76">
        <v>0</v>
      </c>
      <c r="BW28" s="76">
        <v>0</v>
      </c>
      <c r="BX28" s="76">
        <v>0</v>
      </c>
      <c r="BY28" s="76">
        <v>0</v>
      </c>
      <c r="BZ28" s="76">
        <v>0</v>
      </c>
    </row>
    <row r="29" spans="1:78" x14ac:dyDescent="0.2">
      <c r="A29" s="62" t="s">
        <v>249</v>
      </c>
      <c r="B29" s="62" t="s">
        <v>12</v>
      </c>
      <c r="C29" s="62" t="s">
        <v>968</v>
      </c>
      <c r="D29" s="62" t="s">
        <v>231</v>
      </c>
      <c r="E29" s="76">
        <f>IF(B29="","",VLOOKUP(B29,dagsoorttabel1,2,FALSE))</f>
        <v>0.4</v>
      </c>
      <c r="F29" s="76">
        <v>1</v>
      </c>
      <c r="G29" s="76">
        <f>IF(prodnorm56&gt;0,1/ROUND(prodnorm56,4),0)</f>
        <v>0</v>
      </c>
      <c r="H29" s="66">
        <f>ROUND(uurtarief56,2)</f>
        <v>0</v>
      </c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  <c r="P29" s="76">
        <v>0</v>
      </c>
      <c r="Q29" s="76">
        <v>0</v>
      </c>
      <c r="R29" s="76">
        <v>0</v>
      </c>
      <c r="S29" s="76">
        <v>0</v>
      </c>
      <c r="T29" s="76">
        <v>0</v>
      </c>
      <c r="U29" s="76">
        <v>14</v>
      </c>
      <c r="V29" s="76">
        <v>0</v>
      </c>
      <c r="W29" s="76">
        <v>0</v>
      </c>
      <c r="X29" s="76">
        <v>0</v>
      </c>
      <c r="Y29" s="76">
        <v>0</v>
      </c>
      <c r="Z29" s="76">
        <v>0</v>
      </c>
      <c r="AA29" s="76">
        <v>0</v>
      </c>
      <c r="AB29" s="76">
        <v>0</v>
      </c>
      <c r="AC29" s="76">
        <v>0</v>
      </c>
      <c r="AD29" s="76">
        <v>0</v>
      </c>
      <c r="AE29" s="76">
        <v>0</v>
      </c>
      <c r="AF29" s="76">
        <v>0</v>
      </c>
      <c r="AG29" s="76">
        <v>0</v>
      </c>
      <c r="AH29" s="76">
        <v>0</v>
      </c>
      <c r="AI29" s="76">
        <v>0</v>
      </c>
      <c r="AJ29" s="76">
        <v>0</v>
      </c>
      <c r="AK29" s="76">
        <v>0</v>
      </c>
      <c r="AL29" s="76">
        <v>0</v>
      </c>
      <c r="AM29" s="76">
        <v>0</v>
      </c>
      <c r="AN29" s="76">
        <v>0</v>
      </c>
      <c r="AO29" s="76">
        <v>0</v>
      </c>
      <c r="AP29" s="76">
        <v>0</v>
      </c>
      <c r="AQ29" s="76">
        <v>0</v>
      </c>
      <c r="AR29" s="76">
        <v>0</v>
      </c>
      <c r="AS29" s="76">
        <v>0</v>
      </c>
      <c r="AT29" s="76">
        <v>0</v>
      </c>
      <c r="AU29" s="76">
        <v>0</v>
      </c>
      <c r="AV29" s="76">
        <v>0</v>
      </c>
      <c r="AW29" s="76">
        <v>0</v>
      </c>
      <c r="AX29" s="76">
        <v>0</v>
      </c>
      <c r="AY29" s="76">
        <v>0</v>
      </c>
      <c r="AZ29" s="76">
        <v>0</v>
      </c>
      <c r="BA29" s="76">
        <v>0</v>
      </c>
      <c r="BB29" s="76">
        <v>0</v>
      </c>
      <c r="BC29" s="76">
        <v>0</v>
      </c>
      <c r="BD29" s="76">
        <v>0</v>
      </c>
      <c r="BE29" s="76">
        <v>0</v>
      </c>
      <c r="BF29" s="76">
        <v>0</v>
      </c>
      <c r="BG29" s="76">
        <v>0</v>
      </c>
      <c r="BH29" s="76">
        <v>0</v>
      </c>
      <c r="BI29" s="76">
        <v>0</v>
      </c>
      <c r="BJ29" s="76">
        <v>0</v>
      </c>
      <c r="BK29" s="76">
        <v>0</v>
      </c>
      <c r="BL29" s="76">
        <v>0</v>
      </c>
      <c r="BM29" s="76">
        <v>0</v>
      </c>
      <c r="BN29" s="76">
        <v>0</v>
      </c>
      <c r="BO29" s="76">
        <v>0</v>
      </c>
      <c r="BP29" s="76">
        <v>0</v>
      </c>
      <c r="BQ29" s="76">
        <v>0</v>
      </c>
      <c r="BR29" s="76">
        <v>0</v>
      </c>
      <c r="BS29" s="76">
        <v>0</v>
      </c>
      <c r="BT29" s="76">
        <v>0</v>
      </c>
      <c r="BU29" s="76">
        <v>0</v>
      </c>
      <c r="BV29" s="76">
        <v>0</v>
      </c>
      <c r="BW29" s="76">
        <v>0</v>
      </c>
      <c r="BX29" s="76">
        <v>0</v>
      </c>
      <c r="BY29" s="76">
        <v>0</v>
      </c>
      <c r="BZ29" s="76">
        <v>0</v>
      </c>
    </row>
    <row r="30" spans="1:78" x14ac:dyDescent="0.2">
      <c r="A30" s="62" t="s">
        <v>249</v>
      </c>
      <c r="B30" s="62" t="s">
        <v>11</v>
      </c>
      <c r="C30" s="62" t="s">
        <v>968</v>
      </c>
      <c r="D30" s="62" t="s">
        <v>231</v>
      </c>
      <c r="E30" s="76">
        <f>IF(B30="","",VLOOKUP(B30,dagsoorttabel1,2,FALSE))</f>
        <v>0.6</v>
      </c>
      <c r="F30" s="76">
        <v>1</v>
      </c>
      <c r="G30" s="76">
        <f>IF(prodnorm57&gt;0,1/ROUND(prodnorm57,4),0)</f>
        <v>0</v>
      </c>
      <c r="H30" s="66">
        <f>ROUND(uurtarief57,2)</f>
        <v>0</v>
      </c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  <c r="P30" s="76">
        <v>0</v>
      </c>
      <c r="Q30" s="76">
        <v>0</v>
      </c>
      <c r="R30" s="76">
        <v>0</v>
      </c>
      <c r="S30" s="76">
        <v>0</v>
      </c>
      <c r="T30" s="76">
        <v>15</v>
      </c>
      <c r="U30" s="76">
        <v>0</v>
      </c>
      <c r="V30" s="76">
        <v>6</v>
      </c>
      <c r="W30" s="76">
        <v>0</v>
      </c>
      <c r="X30" s="76">
        <v>0</v>
      </c>
      <c r="Y30" s="76">
        <v>11.1</v>
      </c>
      <c r="Z30" s="76">
        <v>9.8000000000000007</v>
      </c>
      <c r="AA30" s="76">
        <v>0</v>
      </c>
      <c r="AB30" s="76">
        <v>15.96</v>
      </c>
      <c r="AC30" s="76">
        <v>27.7</v>
      </c>
      <c r="AD30" s="76">
        <v>0</v>
      </c>
      <c r="AE30" s="76">
        <v>0</v>
      </c>
      <c r="AF30" s="76">
        <v>0</v>
      </c>
      <c r="AG30" s="76">
        <v>0</v>
      </c>
      <c r="AH30" s="76">
        <v>0</v>
      </c>
      <c r="AI30" s="76">
        <v>0</v>
      </c>
      <c r="AJ30" s="76">
        <v>0</v>
      </c>
      <c r="AK30" s="76">
        <v>0</v>
      </c>
      <c r="AL30" s="76">
        <v>0</v>
      </c>
      <c r="AM30" s="76">
        <v>0</v>
      </c>
      <c r="AN30" s="76">
        <v>0</v>
      </c>
      <c r="AO30" s="76">
        <v>0</v>
      </c>
      <c r="AP30" s="76">
        <v>0</v>
      </c>
      <c r="AQ30" s="76">
        <v>0</v>
      </c>
      <c r="AR30" s="76">
        <v>0</v>
      </c>
      <c r="AS30" s="76">
        <v>0</v>
      </c>
      <c r="AT30" s="76">
        <v>0</v>
      </c>
      <c r="AU30" s="76">
        <v>0</v>
      </c>
      <c r="AV30" s="76">
        <v>0</v>
      </c>
      <c r="AW30" s="76">
        <v>0</v>
      </c>
      <c r="AX30" s="76">
        <v>0</v>
      </c>
      <c r="AY30" s="76">
        <v>0</v>
      </c>
      <c r="AZ30" s="76">
        <v>0</v>
      </c>
      <c r="BA30" s="76">
        <v>0</v>
      </c>
      <c r="BB30" s="76">
        <v>0</v>
      </c>
      <c r="BC30" s="76">
        <v>0</v>
      </c>
      <c r="BD30" s="76">
        <v>0</v>
      </c>
      <c r="BE30" s="76">
        <v>0</v>
      </c>
      <c r="BF30" s="76">
        <v>0</v>
      </c>
      <c r="BG30" s="76">
        <v>0</v>
      </c>
      <c r="BH30" s="76">
        <v>0</v>
      </c>
      <c r="BI30" s="76">
        <v>0</v>
      </c>
      <c r="BJ30" s="76">
        <v>0</v>
      </c>
      <c r="BK30" s="76">
        <v>0</v>
      </c>
      <c r="BL30" s="76">
        <v>0</v>
      </c>
      <c r="BM30" s="76">
        <v>0</v>
      </c>
      <c r="BN30" s="76">
        <v>0</v>
      </c>
      <c r="BO30" s="76">
        <v>0</v>
      </c>
      <c r="BP30" s="76">
        <v>0</v>
      </c>
      <c r="BQ30" s="76">
        <v>0</v>
      </c>
      <c r="BR30" s="76">
        <v>0</v>
      </c>
      <c r="BS30" s="76">
        <v>0</v>
      </c>
      <c r="BT30" s="76">
        <v>0</v>
      </c>
      <c r="BU30" s="76">
        <v>0</v>
      </c>
      <c r="BV30" s="76">
        <v>0</v>
      </c>
      <c r="BW30" s="76">
        <v>0</v>
      </c>
      <c r="BX30" s="76">
        <v>0</v>
      </c>
      <c r="BY30" s="76">
        <v>0</v>
      </c>
      <c r="BZ30" s="76">
        <v>0</v>
      </c>
    </row>
    <row r="31" spans="1:78" x14ac:dyDescent="0.2">
      <c r="A31" s="62" t="s">
        <v>249</v>
      </c>
      <c r="B31" s="62" t="s">
        <v>9</v>
      </c>
      <c r="C31" s="62" t="s">
        <v>968</v>
      </c>
      <c r="D31" s="62" t="s">
        <v>231</v>
      </c>
      <c r="E31" s="76">
        <f>IF(B31="","",VLOOKUP(B31,dagsoorttabel1,2,FALSE))</f>
        <v>1</v>
      </c>
      <c r="F31" s="76">
        <v>1</v>
      </c>
      <c r="G31" s="76">
        <f>IF(prodnorm58&gt;0,1/ROUND(prodnorm58,4),0)</f>
        <v>0</v>
      </c>
      <c r="H31" s="66">
        <f>ROUND(uurtarief58,2)</f>
        <v>0</v>
      </c>
      <c r="I31" s="76">
        <v>0</v>
      </c>
      <c r="J31" s="76">
        <v>0</v>
      </c>
      <c r="K31" s="76">
        <v>0</v>
      </c>
      <c r="L31" s="76">
        <v>26</v>
      </c>
      <c r="M31" s="76">
        <v>0</v>
      </c>
      <c r="N31" s="76">
        <v>0</v>
      </c>
      <c r="O31" s="76">
        <v>0</v>
      </c>
      <c r="P31" s="76">
        <v>0</v>
      </c>
      <c r="Q31" s="76">
        <v>0</v>
      </c>
      <c r="R31" s="76">
        <v>17.899999999999999</v>
      </c>
      <c r="S31" s="76">
        <v>0</v>
      </c>
      <c r="T31" s="76">
        <v>0</v>
      </c>
      <c r="U31" s="76">
        <v>0</v>
      </c>
      <c r="V31" s="76">
        <v>0</v>
      </c>
      <c r="W31" s="76">
        <v>0</v>
      </c>
      <c r="X31" s="76">
        <v>0</v>
      </c>
      <c r="Y31" s="76">
        <v>0</v>
      </c>
      <c r="Z31" s="76">
        <v>0</v>
      </c>
      <c r="AA31" s="76">
        <v>0</v>
      </c>
      <c r="AB31" s="76">
        <v>0</v>
      </c>
      <c r="AC31" s="76">
        <v>0</v>
      </c>
      <c r="AD31" s="76">
        <v>0</v>
      </c>
      <c r="AE31" s="76">
        <v>0</v>
      </c>
      <c r="AF31" s="76">
        <v>0</v>
      </c>
      <c r="AG31" s="76">
        <v>0</v>
      </c>
      <c r="AH31" s="76">
        <v>0</v>
      </c>
      <c r="AI31" s="76">
        <v>0</v>
      </c>
      <c r="AJ31" s="76">
        <v>0</v>
      </c>
      <c r="AK31" s="76">
        <v>0</v>
      </c>
      <c r="AL31" s="76">
        <v>0</v>
      </c>
      <c r="AM31" s="76">
        <v>0</v>
      </c>
      <c r="AN31" s="76">
        <v>0</v>
      </c>
      <c r="AO31" s="76">
        <v>0</v>
      </c>
      <c r="AP31" s="76">
        <v>0</v>
      </c>
      <c r="AQ31" s="76">
        <v>0</v>
      </c>
      <c r="AR31" s="76">
        <v>0</v>
      </c>
      <c r="AS31" s="76">
        <v>0</v>
      </c>
      <c r="AT31" s="76">
        <v>0</v>
      </c>
      <c r="AU31" s="76">
        <v>0</v>
      </c>
      <c r="AV31" s="76">
        <v>0</v>
      </c>
      <c r="AW31" s="76">
        <v>0</v>
      </c>
      <c r="AX31" s="76">
        <v>0</v>
      </c>
      <c r="AY31" s="76">
        <v>0</v>
      </c>
      <c r="AZ31" s="76">
        <v>0</v>
      </c>
      <c r="BA31" s="76">
        <v>0</v>
      </c>
      <c r="BB31" s="76">
        <v>0</v>
      </c>
      <c r="BC31" s="76">
        <v>0</v>
      </c>
      <c r="BD31" s="76">
        <v>0</v>
      </c>
      <c r="BE31" s="76">
        <v>0</v>
      </c>
      <c r="BF31" s="76">
        <v>0</v>
      </c>
      <c r="BG31" s="76">
        <v>0</v>
      </c>
      <c r="BH31" s="76">
        <v>0</v>
      </c>
      <c r="BI31" s="76">
        <v>0</v>
      </c>
      <c r="BJ31" s="76">
        <v>0</v>
      </c>
      <c r="BK31" s="76">
        <v>0</v>
      </c>
      <c r="BL31" s="76">
        <v>0</v>
      </c>
      <c r="BM31" s="76">
        <v>0</v>
      </c>
      <c r="BN31" s="76">
        <v>0</v>
      </c>
      <c r="BO31" s="76">
        <v>0</v>
      </c>
      <c r="BP31" s="76">
        <v>0</v>
      </c>
      <c r="BQ31" s="76">
        <v>0</v>
      </c>
      <c r="BR31" s="76">
        <v>0</v>
      </c>
      <c r="BS31" s="76">
        <v>0</v>
      </c>
      <c r="BT31" s="76">
        <v>0</v>
      </c>
      <c r="BU31" s="76">
        <v>0</v>
      </c>
      <c r="BV31" s="76">
        <v>0</v>
      </c>
      <c r="BW31" s="76">
        <v>0</v>
      </c>
      <c r="BX31" s="76">
        <v>0</v>
      </c>
      <c r="BY31" s="76">
        <v>0</v>
      </c>
      <c r="BZ31" s="76">
        <v>0</v>
      </c>
    </row>
    <row r="32" spans="1:78" x14ac:dyDescent="0.2">
      <c r="A32" s="62" t="s">
        <v>251</v>
      </c>
      <c r="B32" s="62" t="s">
        <v>15</v>
      </c>
      <c r="C32" s="62" t="s">
        <v>968</v>
      </c>
      <c r="D32" s="62" t="s">
        <v>231</v>
      </c>
      <c r="E32" s="76">
        <f>IF(B32="","",VLOOKUP(B32,dagsoorttabel1,2,FALSE))</f>
        <v>4.7058823529411764E-2</v>
      </c>
      <c r="F32" s="76">
        <v>1</v>
      </c>
      <c r="G32" s="76">
        <f>IF(prodnorm59&gt;0,1/ROUND(prodnorm59,4),0)</f>
        <v>0</v>
      </c>
      <c r="H32" s="66">
        <f>ROUND(uurtarief59,2)</f>
        <v>0</v>
      </c>
      <c r="I32" s="76">
        <v>0</v>
      </c>
      <c r="J32" s="76">
        <v>0</v>
      </c>
      <c r="K32" s="76">
        <v>7.2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6">
        <v>0</v>
      </c>
      <c r="S32" s="76">
        <v>0</v>
      </c>
      <c r="T32" s="76">
        <v>0</v>
      </c>
      <c r="U32" s="76">
        <v>0</v>
      </c>
      <c r="V32" s="76">
        <v>0</v>
      </c>
      <c r="W32" s="76">
        <v>0</v>
      </c>
      <c r="X32" s="76">
        <v>0</v>
      </c>
      <c r="Y32" s="76">
        <v>0</v>
      </c>
      <c r="Z32" s="76">
        <v>2.2000000000000002</v>
      </c>
      <c r="AA32" s="76">
        <v>17</v>
      </c>
      <c r="AB32" s="76">
        <v>0</v>
      </c>
      <c r="AC32" s="76">
        <v>6.9</v>
      </c>
      <c r="AD32" s="76">
        <v>0</v>
      </c>
      <c r="AE32" s="76">
        <v>0</v>
      </c>
      <c r="AF32" s="76">
        <v>0</v>
      </c>
      <c r="AG32" s="76">
        <v>0</v>
      </c>
      <c r="AH32" s="76">
        <v>0</v>
      </c>
      <c r="AI32" s="76">
        <v>0</v>
      </c>
      <c r="AJ32" s="76">
        <v>0</v>
      </c>
      <c r="AK32" s="76">
        <v>0</v>
      </c>
      <c r="AL32" s="76">
        <v>0</v>
      </c>
      <c r="AM32" s="76">
        <v>0</v>
      </c>
      <c r="AN32" s="76">
        <v>0</v>
      </c>
      <c r="AO32" s="76">
        <v>0</v>
      </c>
      <c r="AP32" s="76">
        <v>0</v>
      </c>
      <c r="AQ32" s="76">
        <v>0</v>
      </c>
      <c r="AR32" s="76">
        <v>0</v>
      </c>
      <c r="AS32" s="76">
        <v>0</v>
      </c>
      <c r="AT32" s="76">
        <v>0</v>
      </c>
      <c r="AU32" s="76">
        <v>0</v>
      </c>
      <c r="AV32" s="76">
        <v>0</v>
      </c>
      <c r="AW32" s="76">
        <v>0</v>
      </c>
      <c r="AX32" s="76">
        <v>0</v>
      </c>
      <c r="AY32" s="76">
        <v>0</v>
      </c>
      <c r="AZ32" s="76">
        <v>0</v>
      </c>
      <c r="BA32" s="76">
        <v>0</v>
      </c>
      <c r="BB32" s="76">
        <v>0</v>
      </c>
      <c r="BC32" s="76">
        <v>0</v>
      </c>
      <c r="BD32" s="76">
        <v>0</v>
      </c>
      <c r="BE32" s="76">
        <v>0</v>
      </c>
      <c r="BF32" s="76">
        <v>0</v>
      </c>
      <c r="BG32" s="76">
        <v>0</v>
      </c>
      <c r="BH32" s="76">
        <v>0</v>
      </c>
      <c r="BI32" s="76">
        <v>0</v>
      </c>
      <c r="BJ32" s="76">
        <v>0</v>
      </c>
      <c r="BK32" s="76">
        <v>0</v>
      </c>
      <c r="BL32" s="76">
        <v>0</v>
      </c>
      <c r="BM32" s="76">
        <v>0</v>
      </c>
      <c r="BN32" s="76">
        <v>0</v>
      </c>
      <c r="BO32" s="76">
        <v>0</v>
      </c>
      <c r="BP32" s="76">
        <v>0</v>
      </c>
      <c r="BQ32" s="76">
        <v>0</v>
      </c>
      <c r="BR32" s="76">
        <v>0</v>
      </c>
      <c r="BS32" s="76">
        <v>0</v>
      </c>
      <c r="BT32" s="76">
        <v>0</v>
      </c>
      <c r="BU32" s="76">
        <v>0</v>
      </c>
      <c r="BV32" s="76">
        <v>0</v>
      </c>
      <c r="BW32" s="76">
        <v>0</v>
      </c>
      <c r="BX32" s="76">
        <v>0</v>
      </c>
      <c r="BY32" s="76">
        <v>0</v>
      </c>
      <c r="BZ32" s="76">
        <v>0</v>
      </c>
    </row>
    <row r="33" spans="1:78" x14ac:dyDescent="0.2">
      <c r="A33" s="62" t="s">
        <v>251</v>
      </c>
      <c r="B33" s="62" t="s">
        <v>14</v>
      </c>
      <c r="C33" s="62" t="s">
        <v>968</v>
      </c>
      <c r="D33" s="62" t="s">
        <v>231</v>
      </c>
      <c r="E33" s="76">
        <f>IF(B33="","",VLOOKUP(B33,dagsoorttabel1,2,FALSE))</f>
        <v>0.10196078431372549</v>
      </c>
      <c r="F33" s="76">
        <v>1</v>
      </c>
      <c r="G33" s="76">
        <f>IF(prodnorm60&gt;0,1/ROUND(prodnorm60,4),0)</f>
        <v>0</v>
      </c>
      <c r="H33" s="66">
        <f>ROUND(uurtarief60,2)</f>
        <v>0</v>
      </c>
      <c r="I33" s="76">
        <v>0</v>
      </c>
      <c r="J33" s="76">
        <v>0</v>
      </c>
      <c r="K33" s="76">
        <v>0</v>
      </c>
      <c r="L33" s="76">
        <v>0</v>
      </c>
      <c r="M33" s="76">
        <v>0</v>
      </c>
      <c r="N33" s="76">
        <v>0</v>
      </c>
      <c r="O33" s="76">
        <v>0</v>
      </c>
      <c r="P33" s="76">
        <v>0</v>
      </c>
      <c r="Q33" s="76">
        <v>0</v>
      </c>
      <c r="R33" s="76">
        <v>0</v>
      </c>
      <c r="S33" s="76">
        <v>0</v>
      </c>
      <c r="T33" s="76">
        <v>0</v>
      </c>
      <c r="U33" s="76">
        <v>0</v>
      </c>
      <c r="V33" s="76">
        <v>0</v>
      </c>
      <c r="W33" s="76">
        <v>0</v>
      </c>
      <c r="X33" s="76">
        <v>0</v>
      </c>
      <c r="Y33" s="76">
        <v>0</v>
      </c>
      <c r="Z33" s="76">
        <v>0</v>
      </c>
      <c r="AA33" s="76">
        <v>0</v>
      </c>
      <c r="AB33" s="76">
        <v>0</v>
      </c>
      <c r="AC33" s="76">
        <v>0</v>
      </c>
      <c r="AD33" s="76">
        <v>0</v>
      </c>
      <c r="AE33" s="76">
        <v>0</v>
      </c>
      <c r="AF33" s="76">
        <v>0</v>
      </c>
      <c r="AG33" s="76">
        <v>0</v>
      </c>
      <c r="AH33" s="76">
        <v>0</v>
      </c>
      <c r="AI33" s="76">
        <v>0</v>
      </c>
      <c r="AJ33" s="76">
        <v>0</v>
      </c>
      <c r="AK33" s="76">
        <v>0</v>
      </c>
      <c r="AL33" s="76">
        <v>0</v>
      </c>
      <c r="AM33" s="76">
        <v>0</v>
      </c>
      <c r="AN33" s="76">
        <v>0</v>
      </c>
      <c r="AO33" s="76">
        <v>20</v>
      </c>
      <c r="AP33" s="76">
        <v>0</v>
      </c>
      <c r="AQ33" s="76">
        <v>0</v>
      </c>
      <c r="AR33" s="76">
        <v>0</v>
      </c>
      <c r="AS33" s="76">
        <v>0</v>
      </c>
      <c r="AT33" s="76">
        <v>0</v>
      </c>
      <c r="AU33" s="76">
        <v>0</v>
      </c>
      <c r="AV33" s="76">
        <v>0</v>
      </c>
      <c r="AW33" s="76">
        <v>0</v>
      </c>
      <c r="AX33" s="76">
        <v>0</v>
      </c>
      <c r="AY33" s="76">
        <v>0</v>
      </c>
      <c r="AZ33" s="76">
        <v>0</v>
      </c>
      <c r="BA33" s="76">
        <v>0</v>
      </c>
      <c r="BB33" s="76">
        <v>0</v>
      </c>
      <c r="BC33" s="76">
        <v>0</v>
      </c>
      <c r="BD33" s="76">
        <v>0</v>
      </c>
      <c r="BE33" s="76">
        <v>0</v>
      </c>
      <c r="BF33" s="76">
        <v>0</v>
      </c>
      <c r="BG33" s="76">
        <v>0</v>
      </c>
      <c r="BH33" s="76">
        <v>0</v>
      </c>
      <c r="BI33" s="76">
        <v>0</v>
      </c>
      <c r="BJ33" s="76">
        <v>0</v>
      </c>
      <c r="BK33" s="76">
        <v>0</v>
      </c>
      <c r="BL33" s="76">
        <v>0</v>
      </c>
      <c r="BM33" s="76">
        <v>0</v>
      </c>
      <c r="BN33" s="76">
        <v>0</v>
      </c>
      <c r="BO33" s="76">
        <v>0</v>
      </c>
      <c r="BP33" s="76">
        <v>0</v>
      </c>
      <c r="BQ33" s="76">
        <v>0</v>
      </c>
      <c r="BR33" s="76">
        <v>0</v>
      </c>
      <c r="BS33" s="76">
        <v>0</v>
      </c>
      <c r="BT33" s="76">
        <v>0</v>
      </c>
      <c r="BU33" s="76">
        <v>0</v>
      </c>
      <c r="BV33" s="76">
        <v>0</v>
      </c>
      <c r="BW33" s="76">
        <v>0</v>
      </c>
      <c r="BX33" s="76">
        <v>0</v>
      </c>
      <c r="BY33" s="76">
        <v>0</v>
      </c>
      <c r="BZ33" s="76">
        <v>0</v>
      </c>
    </row>
    <row r="34" spans="1:78" x14ac:dyDescent="0.2">
      <c r="A34" s="62" t="s">
        <v>251</v>
      </c>
      <c r="B34" s="62" t="s">
        <v>22</v>
      </c>
      <c r="C34" s="62" t="s">
        <v>968</v>
      </c>
      <c r="D34" s="62" t="s">
        <v>231</v>
      </c>
      <c r="E34" s="76">
        <f>IF(B34="","",VLOOKUP(B34,dagsoorttabel1,2,FALSE))</f>
        <v>7.8431372549019607E-3</v>
      </c>
      <c r="F34" s="76">
        <v>1</v>
      </c>
      <c r="G34" s="76">
        <f>IF(prodnorm61&gt;0,1/ROUND(prodnorm61,4),0)</f>
        <v>0</v>
      </c>
      <c r="H34" s="66">
        <f>ROUND(uurtarief61,2)</f>
        <v>0</v>
      </c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  <c r="P34" s="76">
        <v>0</v>
      </c>
      <c r="Q34" s="76">
        <v>0</v>
      </c>
      <c r="R34" s="76">
        <v>0</v>
      </c>
      <c r="S34" s="76">
        <v>0</v>
      </c>
      <c r="T34" s="76">
        <v>0</v>
      </c>
      <c r="U34" s="76">
        <v>0</v>
      </c>
      <c r="V34" s="76">
        <v>0</v>
      </c>
      <c r="W34" s="76">
        <v>0</v>
      </c>
      <c r="X34" s="76">
        <v>0</v>
      </c>
      <c r="Y34" s="76">
        <v>0</v>
      </c>
      <c r="Z34" s="76">
        <v>0</v>
      </c>
      <c r="AA34" s="76">
        <v>0</v>
      </c>
      <c r="AB34" s="76">
        <v>0</v>
      </c>
      <c r="AC34" s="76">
        <v>0</v>
      </c>
      <c r="AD34" s="76">
        <v>0</v>
      </c>
      <c r="AE34" s="76">
        <v>0</v>
      </c>
      <c r="AF34" s="76">
        <v>0</v>
      </c>
      <c r="AG34" s="76">
        <v>0</v>
      </c>
      <c r="AH34" s="76">
        <v>0</v>
      </c>
      <c r="AI34" s="76">
        <v>0</v>
      </c>
      <c r="AJ34" s="76">
        <v>0</v>
      </c>
      <c r="AK34" s="76">
        <v>0</v>
      </c>
      <c r="AL34" s="76">
        <v>0</v>
      </c>
      <c r="AM34" s="76">
        <v>0</v>
      </c>
      <c r="AN34" s="76">
        <v>0</v>
      </c>
      <c r="AO34" s="76">
        <v>0</v>
      </c>
      <c r="AP34" s="76">
        <v>0</v>
      </c>
      <c r="AQ34" s="76">
        <v>0</v>
      </c>
      <c r="AR34" s="76">
        <v>0</v>
      </c>
      <c r="AS34" s="76">
        <v>0</v>
      </c>
      <c r="AT34" s="76">
        <v>0</v>
      </c>
      <c r="AU34" s="76">
        <v>0</v>
      </c>
      <c r="AV34" s="76">
        <v>0</v>
      </c>
      <c r="AW34" s="76">
        <v>0</v>
      </c>
      <c r="AX34" s="76">
        <v>3.7</v>
      </c>
      <c r="AY34" s="76">
        <v>0</v>
      </c>
      <c r="AZ34" s="76">
        <v>0</v>
      </c>
      <c r="BA34" s="76">
        <v>0</v>
      </c>
      <c r="BB34" s="76">
        <v>0</v>
      </c>
      <c r="BC34" s="76">
        <v>0</v>
      </c>
      <c r="BD34" s="76">
        <v>0</v>
      </c>
      <c r="BE34" s="76">
        <v>0</v>
      </c>
      <c r="BF34" s="76">
        <v>0</v>
      </c>
      <c r="BG34" s="76">
        <v>0</v>
      </c>
      <c r="BH34" s="76">
        <v>0</v>
      </c>
      <c r="BI34" s="76">
        <v>0</v>
      </c>
      <c r="BJ34" s="76">
        <v>0</v>
      </c>
      <c r="BK34" s="76">
        <v>0</v>
      </c>
      <c r="BL34" s="76">
        <v>0</v>
      </c>
      <c r="BM34" s="76">
        <v>0</v>
      </c>
      <c r="BN34" s="76">
        <v>0</v>
      </c>
      <c r="BO34" s="76">
        <v>0</v>
      </c>
      <c r="BP34" s="76">
        <v>0</v>
      </c>
      <c r="BQ34" s="76">
        <v>0</v>
      </c>
      <c r="BR34" s="76">
        <v>0</v>
      </c>
      <c r="BS34" s="76">
        <v>0</v>
      </c>
      <c r="BT34" s="76">
        <v>0</v>
      </c>
      <c r="BU34" s="76">
        <v>0</v>
      </c>
      <c r="BV34" s="76">
        <v>0</v>
      </c>
      <c r="BW34" s="76">
        <v>0</v>
      </c>
      <c r="BX34" s="76">
        <v>0</v>
      </c>
      <c r="BY34" s="76">
        <v>0</v>
      </c>
      <c r="BZ34" s="76">
        <v>0</v>
      </c>
    </row>
    <row r="35" spans="1:78" x14ac:dyDescent="0.2">
      <c r="A35" s="62" t="s">
        <v>251</v>
      </c>
      <c r="B35" s="62" t="s">
        <v>12</v>
      </c>
      <c r="C35" s="62" t="s">
        <v>968</v>
      </c>
      <c r="D35" s="62" t="s">
        <v>231</v>
      </c>
      <c r="E35" s="76">
        <f>IF(B35="","",VLOOKUP(B35,dagsoorttabel1,2,FALSE))</f>
        <v>0.4</v>
      </c>
      <c r="F35" s="76">
        <v>1</v>
      </c>
      <c r="G35" s="76">
        <f>IF(prodnorm62&gt;0,1/ROUND(prodnorm62,4),0)</f>
        <v>0</v>
      </c>
      <c r="H35" s="66">
        <f>ROUND(uurtarief62,2)</f>
        <v>0</v>
      </c>
      <c r="I35" s="76">
        <v>0</v>
      </c>
      <c r="J35" s="76">
        <v>0</v>
      </c>
      <c r="K35" s="76">
        <v>0</v>
      </c>
      <c r="L35" s="76">
        <v>0</v>
      </c>
      <c r="M35" s="76">
        <v>0</v>
      </c>
      <c r="N35" s="76">
        <v>0</v>
      </c>
      <c r="O35" s="76">
        <v>0</v>
      </c>
      <c r="P35" s="76">
        <v>0</v>
      </c>
      <c r="Q35" s="76">
        <v>0</v>
      </c>
      <c r="R35" s="76">
        <v>0</v>
      </c>
      <c r="S35" s="76">
        <v>0</v>
      </c>
      <c r="T35" s="76">
        <v>0</v>
      </c>
      <c r="U35" s="76">
        <v>0</v>
      </c>
      <c r="V35" s="76">
        <v>0</v>
      </c>
      <c r="W35" s="76">
        <v>0</v>
      </c>
      <c r="X35" s="76">
        <v>0</v>
      </c>
      <c r="Y35" s="76">
        <v>0</v>
      </c>
      <c r="Z35" s="76">
        <v>0</v>
      </c>
      <c r="AA35" s="76">
        <v>0</v>
      </c>
      <c r="AB35" s="76">
        <v>0</v>
      </c>
      <c r="AC35" s="76">
        <v>0</v>
      </c>
      <c r="AD35" s="76">
        <v>0</v>
      </c>
      <c r="AE35" s="76">
        <v>0</v>
      </c>
      <c r="AF35" s="76">
        <v>0</v>
      </c>
      <c r="AG35" s="76">
        <v>0</v>
      </c>
      <c r="AH35" s="76">
        <v>0</v>
      </c>
      <c r="AI35" s="76">
        <v>0</v>
      </c>
      <c r="AJ35" s="76">
        <v>0</v>
      </c>
      <c r="AK35" s="76">
        <v>0</v>
      </c>
      <c r="AL35" s="76">
        <v>0</v>
      </c>
      <c r="AM35" s="76">
        <v>0</v>
      </c>
      <c r="AN35" s="76">
        <v>0</v>
      </c>
      <c r="AO35" s="76">
        <v>0</v>
      </c>
      <c r="AP35" s="76">
        <v>0</v>
      </c>
      <c r="AQ35" s="76">
        <v>0</v>
      </c>
      <c r="AR35" s="76">
        <v>12.55</v>
      </c>
      <c r="AS35" s="76">
        <v>0</v>
      </c>
      <c r="AT35" s="76">
        <v>0</v>
      </c>
      <c r="AU35" s="76">
        <v>0</v>
      </c>
      <c r="AV35" s="76">
        <v>0</v>
      </c>
      <c r="AW35" s="76">
        <v>0</v>
      </c>
      <c r="AX35" s="76">
        <v>0</v>
      </c>
      <c r="AY35" s="76">
        <v>0</v>
      </c>
      <c r="AZ35" s="76">
        <v>0</v>
      </c>
      <c r="BA35" s="76">
        <v>0</v>
      </c>
      <c r="BB35" s="76">
        <v>0</v>
      </c>
      <c r="BC35" s="76">
        <v>0</v>
      </c>
      <c r="BD35" s="76">
        <v>0</v>
      </c>
      <c r="BE35" s="76">
        <v>0</v>
      </c>
      <c r="BF35" s="76">
        <v>0</v>
      </c>
      <c r="BG35" s="76">
        <v>0</v>
      </c>
      <c r="BH35" s="76">
        <v>0</v>
      </c>
      <c r="BI35" s="76">
        <v>0</v>
      </c>
      <c r="BJ35" s="76">
        <v>0</v>
      </c>
      <c r="BK35" s="76">
        <v>0</v>
      </c>
      <c r="BL35" s="76">
        <v>0</v>
      </c>
      <c r="BM35" s="76">
        <v>0</v>
      </c>
      <c r="BN35" s="76">
        <v>0</v>
      </c>
      <c r="BO35" s="76">
        <v>0</v>
      </c>
      <c r="BP35" s="76">
        <v>0</v>
      </c>
      <c r="BQ35" s="76">
        <v>0</v>
      </c>
      <c r="BR35" s="76">
        <v>0</v>
      </c>
      <c r="BS35" s="76">
        <v>0</v>
      </c>
      <c r="BT35" s="76">
        <v>0</v>
      </c>
      <c r="BU35" s="76">
        <v>0</v>
      </c>
      <c r="BV35" s="76">
        <v>0</v>
      </c>
      <c r="BW35" s="76">
        <v>0</v>
      </c>
      <c r="BX35" s="76">
        <v>0</v>
      </c>
      <c r="BY35" s="76">
        <v>0</v>
      </c>
      <c r="BZ35" s="76">
        <v>0</v>
      </c>
    </row>
    <row r="36" spans="1:78" x14ac:dyDescent="0.2">
      <c r="A36" s="62" t="s">
        <v>251</v>
      </c>
      <c r="B36" s="62" t="s">
        <v>20</v>
      </c>
      <c r="C36" s="62" t="s">
        <v>968</v>
      </c>
      <c r="D36" s="62" t="s">
        <v>231</v>
      </c>
      <c r="E36" s="76">
        <f>IF(B36="","",VLOOKUP(B36,dagsoorttabel1,2,FALSE))</f>
        <v>1.5686274509803921E-2</v>
      </c>
      <c r="F36" s="76">
        <v>1</v>
      </c>
      <c r="G36" s="76">
        <f>IF(prodnorm63&gt;0,1/ROUND(prodnorm63,4),0)</f>
        <v>0</v>
      </c>
      <c r="H36" s="66">
        <f>ROUND(uurtarief63,2)</f>
        <v>0</v>
      </c>
      <c r="I36" s="76">
        <v>0</v>
      </c>
      <c r="J36" s="76">
        <v>0</v>
      </c>
      <c r="K36" s="76">
        <v>0</v>
      </c>
      <c r="L36" s="76">
        <v>0</v>
      </c>
      <c r="M36" s="76">
        <v>0</v>
      </c>
      <c r="N36" s="76">
        <v>0</v>
      </c>
      <c r="O36" s="76">
        <v>0</v>
      </c>
      <c r="P36" s="76">
        <v>0</v>
      </c>
      <c r="Q36" s="76">
        <v>0</v>
      </c>
      <c r="R36" s="76">
        <v>0</v>
      </c>
      <c r="S36" s="76">
        <v>1.8</v>
      </c>
      <c r="T36" s="76">
        <v>0</v>
      </c>
      <c r="U36" s="76">
        <v>0</v>
      </c>
      <c r="V36" s="76">
        <v>15</v>
      </c>
      <c r="W36" s="76">
        <v>0</v>
      </c>
      <c r="X36" s="76">
        <v>0</v>
      </c>
      <c r="Y36" s="76">
        <v>13.8</v>
      </c>
      <c r="Z36" s="76">
        <v>0</v>
      </c>
      <c r="AA36" s="76">
        <v>0</v>
      </c>
      <c r="AB36" s="76">
        <v>0</v>
      </c>
      <c r="AC36" s="76">
        <v>7</v>
      </c>
      <c r="AD36" s="76">
        <v>0</v>
      </c>
      <c r="AE36" s="76">
        <v>0</v>
      </c>
      <c r="AF36" s="76">
        <v>0</v>
      </c>
      <c r="AG36" s="76">
        <v>0</v>
      </c>
      <c r="AH36" s="76">
        <v>0</v>
      </c>
      <c r="AI36" s="76">
        <v>0</v>
      </c>
      <c r="AJ36" s="76">
        <v>0</v>
      </c>
      <c r="AK36" s="76">
        <v>0</v>
      </c>
      <c r="AL36" s="76">
        <v>0</v>
      </c>
      <c r="AM36" s="76">
        <v>0</v>
      </c>
      <c r="AN36" s="76">
        <v>0</v>
      </c>
      <c r="AO36" s="76">
        <v>0</v>
      </c>
      <c r="AP36" s="76">
        <v>0</v>
      </c>
      <c r="AQ36" s="76">
        <v>0</v>
      </c>
      <c r="AR36" s="76">
        <v>0</v>
      </c>
      <c r="AS36" s="76">
        <v>0</v>
      </c>
      <c r="AT36" s="76">
        <v>0</v>
      </c>
      <c r="AU36" s="76">
        <v>0</v>
      </c>
      <c r="AV36" s="76">
        <v>0</v>
      </c>
      <c r="AW36" s="76">
        <v>0</v>
      </c>
      <c r="AX36" s="76">
        <v>0</v>
      </c>
      <c r="AY36" s="76">
        <v>0</v>
      </c>
      <c r="AZ36" s="76">
        <v>0</v>
      </c>
      <c r="BA36" s="76">
        <v>0</v>
      </c>
      <c r="BB36" s="76">
        <v>0</v>
      </c>
      <c r="BC36" s="76">
        <v>0</v>
      </c>
      <c r="BD36" s="76">
        <v>5.2</v>
      </c>
      <c r="BE36" s="76">
        <v>0</v>
      </c>
      <c r="BF36" s="76">
        <v>0</v>
      </c>
      <c r="BG36" s="76">
        <v>0</v>
      </c>
      <c r="BH36" s="76">
        <v>0</v>
      </c>
      <c r="BI36" s="76">
        <v>0</v>
      </c>
      <c r="BJ36" s="76">
        <v>0</v>
      </c>
      <c r="BK36" s="76">
        <v>0</v>
      </c>
      <c r="BL36" s="76">
        <v>0</v>
      </c>
      <c r="BM36" s="76">
        <v>0</v>
      </c>
      <c r="BN36" s="76">
        <v>0</v>
      </c>
      <c r="BO36" s="76">
        <v>0</v>
      </c>
      <c r="BP36" s="76">
        <v>0</v>
      </c>
      <c r="BQ36" s="76">
        <v>0</v>
      </c>
      <c r="BR36" s="76">
        <v>0</v>
      </c>
      <c r="BS36" s="76">
        <v>0</v>
      </c>
      <c r="BT36" s="76">
        <v>0</v>
      </c>
      <c r="BU36" s="76">
        <v>0</v>
      </c>
      <c r="BV36" s="76">
        <v>0</v>
      </c>
      <c r="BW36" s="76">
        <v>0</v>
      </c>
      <c r="BX36" s="76">
        <v>0</v>
      </c>
      <c r="BY36" s="76">
        <v>0</v>
      </c>
      <c r="BZ36" s="76">
        <v>0</v>
      </c>
    </row>
    <row r="37" spans="1:78" x14ac:dyDescent="0.2">
      <c r="A37" s="62" t="s">
        <v>253</v>
      </c>
      <c r="B37" s="62" t="s">
        <v>13</v>
      </c>
      <c r="C37" s="62" t="s">
        <v>968</v>
      </c>
      <c r="D37" s="62" t="s">
        <v>231</v>
      </c>
      <c r="E37" s="76">
        <f>IF(B37="","",VLOOKUP(B37,dagsoorttabel1,2,FALSE))</f>
        <v>0.2</v>
      </c>
      <c r="F37" s="76">
        <v>1</v>
      </c>
      <c r="G37" s="76">
        <f>IF(prodnorm64&gt;0,1/ROUND(prodnorm64,4),0)</f>
        <v>0</v>
      </c>
      <c r="H37" s="66">
        <f>ROUND(uurtarief64,2)</f>
        <v>0</v>
      </c>
      <c r="I37" s="76">
        <v>0</v>
      </c>
      <c r="J37" s="76">
        <v>0</v>
      </c>
      <c r="K37" s="76">
        <v>0</v>
      </c>
      <c r="L37" s="76">
        <v>0</v>
      </c>
      <c r="M37" s="76">
        <v>0</v>
      </c>
      <c r="N37" s="76">
        <v>0</v>
      </c>
      <c r="O37" s="76">
        <v>0</v>
      </c>
      <c r="P37" s="76">
        <v>0</v>
      </c>
      <c r="Q37" s="76">
        <v>0</v>
      </c>
      <c r="R37" s="76">
        <v>0</v>
      </c>
      <c r="S37" s="76">
        <v>0</v>
      </c>
      <c r="T37" s="76">
        <v>0</v>
      </c>
      <c r="U37" s="76">
        <v>0</v>
      </c>
      <c r="V37" s="76">
        <v>0</v>
      </c>
      <c r="W37" s="76">
        <v>0</v>
      </c>
      <c r="X37" s="76">
        <v>0</v>
      </c>
      <c r="Y37" s="76">
        <v>0</v>
      </c>
      <c r="Z37" s="76">
        <v>0</v>
      </c>
      <c r="AA37" s="76">
        <v>0</v>
      </c>
      <c r="AB37" s="76">
        <v>0</v>
      </c>
      <c r="AC37" s="76">
        <v>0</v>
      </c>
      <c r="AD37" s="76">
        <v>16.5</v>
      </c>
      <c r="AE37" s="76">
        <v>0</v>
      </c>
      <c r="AF37" s="76">
        <v>0</v>
      </c>
      <c r="AG37" s="76">
        <v>0</v>
      </c>
      <c r="AH37" s="76">
        <v>0</v>
      </c>
      <c r="AI37" s="76">
        <v>0</v>
      </c>
      <c r="AJ37" s="76">
        <v>0</v>
      </c>
      <c r="AK37" s="76">
        <v>0</v>
      </c>
      <c r="AL37" s="76">
        <v>0</v>
      </c>
      <c r="AM37" s="76">
        <v>0</v>
      </c>
      <c r="AN37" s="76">
        <v>0</v>
      </c>
      <c r="AO37" s="76">
        <v>0</v>
      </c>
      <c r="AP37" s="76">
        <v>0</v>
      </c>
      <c r="AQ37" s="76">
        <v>8.6999999999999993</v>
      </c>
      <c r="AR37" s="76">
        <v>0</v>
      </c>
      <c r="AS37" s="76">
        <v>0</v>
      </c>
      <c r="AT37" s="76">
        <v>0</v>
      </c>
      <c r="AU37" s="76">
        <v>0</v>
      </c>
      <c r="AV37" s="76">
        <v>0</v>
      </c>
      <c r="AW37" s="76">
        <v>0</v>
      </c>
      <c r="AX37" s="76">
        <v>0</v>
      </c>
      <c r="AY37" s="76">
        <v>0</v>
      </c>
      <c r="AZ37" s="76">
        <v>0</v>
      </c>
      <c r="BA37" s="76">
        <v>0</v>
      </c>
      <c r="BB37" s="76">
        <v>0</v>
      </c>
      <c r="BC37" s="76">
        <v>0</v>
      </c>
      <c r="BD37" s="76">
        <v>0</v>
      </c>
      <c r="BE37" s="76">
        <v>0</v>
      </c>
      <c r="BF37" s="76">
        <v>0</v>
      </c>
      <c r="BG37" s="76">
        <v>0</v>
      </c>
      <c r="BH37" s="76">
        <v>0</v>
      </c>
      <c r="BI37" s="76">
        <v>0</v>
      </c>
      <c r="BJ37" s="76">
        <v>0</v>
      </c>
      <c r="BK37" s="76">
        <v>0</v>
      </c>
      <c r="BL37" s="76">
        <v>0</v>
      </c>
      <c r="BM37" s="76">
        <v>0</v>
      </c>
      <c r="BN37" s="76">
        <v>0</v>
      </c>
      <c r="BO37" s="76">
        <v>0</v>
      </c>
      <c r="BP37" s="76">
        <v>0</v>
      </c>
      <c r="BQ37" s="76">
        <v>0</v>
      </c>
      <c r="BR37" s="76">
        <v>0</v>
      </c>
      <c r="BS37" s="76">
        <v>0</v>
      </c>
      <c r="BT37" s="76">
        <v>0</v>
      </c>
      <c r="BU37" s="76">
        <v>0</v>
      </c>
      <c r="BV37" s="76">
        <v>0</v>
      </c>
      <c r="BW37" s="76">
        <v>0</v>
      </c>
      <c r="BX37" s="76">
        <v>0</v>
      </c>
      <c r="BY37" s="76">
        <v>0</v>
      </c>
      <c r="BZ37" s="76">
        <v>0</v>
      </c>
    </row>
    <row r="38" spans="1:78" x14ac:dyDescent="0.2">
      <c r="A38" s="62" t="s">
        <v>253</v>
      </c>
      <c r="B38" s="62" t="s">
        <v>11</v>
      </c>
      <c r="C38" s="62" t="s">
        <v>968</v>
      </c>
      <c r="D38" s="62" t="s">
        <v>231</v>
      </c>
      <c r="E38" s="76">
        <f>IF(B38="","",VLOOKUP(B38,dagsoorttabel1,2,FALSE))</f>
        <v>0.6</v>
      </c>
      <c r="F38" s="76">
        <v>1</v>
      </c>
      <c r="G38" s="76">
        <f>IF(prodnorm65&gt;0,1/ROUND(prodnorm65,4),0)</f>
        <v>0</v>
      </c>
      <c r="H38" s="66">
        <f>ROUND(uurtarief65,2)</f>
        <v>0</v>
      </c>
      <c r="I38" s="76">
        <v>0</v>
      </c>
      <c r="J38" s="76">
        <v>0</v>
      </c>
      <c r="K38" s="76">
        <v>0</v>
      </c>
      <c r="L38" s="76">
        <v>0</v>
      </c>
      <c r="M38" s="76">
        <v>0</v>
      </c>
      <c r="N38" s="76">
        <v>0</v>
      </c>
      <c r="O38" s="76">
        <v>0</v>
      </c>
      <c r="P38" s="76">
        <v>0</v>
      </c>
      <c r="Q38" s="76">
        <v>0</v>
      </c>
      <c r="R38" s="76">
        <v>0</v>
      </c>
      <c r="S38" s="76">
        <v>0</v>
      </c>
      <c r="T38" s="76">
        <v>0</v>
      </c>
      <c r="U38" s="76">
        <v>0</v>
      </c>
      <c r="V38" s="76">
        <v>0</v>
      </c>
      <c r="W38" s="76">
        <v>0</v>
      </c>
      <c r="X38" s="76">
        <v>0</v>
      </c>
      <c r="Y38" s="76">
        <v>0</v>
      </c>
      <c r="Z38" s="76">
        <v>7.4</v>
      </c>
      <c r="AA38" s="76">
        <v>37.9</v>
      </c>
      <c r="AB38" s="76">
        <v>0</v>
      </c>
      <c r="AC38" s="76">
        <v>0</v>
      </c>
      <c r="AD38" s="76">
        <v>0</v>
      </c>
      <c r="AE38" s="76">
        <v>0</v>
      </c>
      <c r="AF38" s="76">
        <v>0</v>
      </c>
      <c r="AG38" s="76">
        <v>0</v>
      </c>
      <c r="AH38" s="76">
        <v>0</v>
      </c>
      <c r="AI38" s="76">
        <v>0</v>
      </c>
      <c r="AJ38" s="76">
        <v>0</v>
      </c>
      <c r="AK38" s="76">
        <v>0</v>
      </c>
      <c r="AL38" s="76">
        <v>0</v>
      </c>
      <c r="AM38" s="76">
        <v>0</v>
      </c>
      <c r="AN38" s="76">
        <v>0</v>
      </c>
      <c r="AO38" s="76">
        <v>0</v>
      </c>
      <c r="AP38" s="76">
        <v>0</v>
      </c>
      <c r="AQ38" s="76">
        <v>0</v>
      </c>
      <c r="AR38" s="76">
        <v>0</v>
      </c>
      <c r="AS38" s="76">
        <v>0</v>
      </c>
      <c r="AT38" s="76">
        <v>0</v>
      </c>
      <c r="AU38" s="76">
        <v>2</v>
      </c>
      <c r="AV38" s="76">
        <v>0</v>
      </c>
      <c r="AW38" s="76">
        <v>0</v>
      </c>
      <c r="AX38" s="76">
        <v>0</v>
      </c>
      <c r="AY38" s="76">
        <v>0</v>
      </c>
      <c r="AZ38" s="76">
        <v>0</v>
      </c>
      <c r="BA38" s="76">
        <v>0</v>
      </c>
      <c r="BB38" s="76">
        <v>0</v>
      </c>
      <c r="BC38" s="76">
        <v>0</v>
      </c>
      <c r="BD38" s="76">
        <v>0</v>
      </c>
      <c r="BE38" s="76">
        <v>0</v>
      </c>
      <c r="BF38" s="76">
        <v>0</v>
      </c>
      <c r="BG38" s="76">
        <v>0</v>
      </c>
      <c r="BH38" s="76">
        <v>0</v>
      </c>
      <c r="BI38" s="76">
        <v>0</v>
      </c>
      <c r="BJ38" s="76">
        <v>0</v>
      </c>
      <c r="BK38" s="76">
        <v>0</v>
      </c>
      <c r="BL38" s="76">
        <v>0</v>
      </c>
      <c r="BM38" s="76">
        <v>0</v>
      </c>
      <c r="BN38" s="76">
        <v>0</v>
      </c>
      <c r="BO38" s="76">
        <v>0</v>
      </c>
      <c r="BP38" s="76">
        <v>0</v>
      </c>
      <c r="BQ38" s="76">
        <v>0</v>
      </c>
      <c r="BR38" s="76">
        <v>0</v>
      </c>
      <c r="BS38" s="76">
        <v>0</v>
      </c>
      <c r="BT38" s="76">
        <v>0</v>
      </c>
      <c r="BU38" s="76">
        <v>0</v>
      </c>
      <c r="BV38" s="76">
        <v>0</v>
      </c>
      <c r="BW38" s="76">
        <v>0</v>
      </c>
      <c r="BX38" s="76">
        <v>0</v>
      </c>
      <c r="BY38" s="76">
        <v>0</v>
      </c>
      <c r="BZ38" s="76">
        <v>0</v>
      </c>
    </row>
    <row r="39" spans="1:78" x14ac:dyDescent="0.2">
      <c r="A39" s="62" t="s">
        <v>253</v>
      </c>
      <c r="B39" s="62" t="s">
        <v>20</v>
      </c>
      <c r="C39" s="62" t="s">
        <v>968</v>
      </c>
      <c r="D39" s="62" t="s">
        <v>231</v>
      </c>
      <c r="E39" s="76">
        <f>IF(B39="","",VLOOKUP(B39,dagsoorttabel1,2,FALSE))</f>
        <v>1.5686274509803921E-2</v>
      </c>
      <c r="F39" s="76">
        <v>1</v>
      </c>
      <c r="G39" s="76">
        <f>IF(prodnorm66&gt;0,1/ROUND(prodnorm66,4),0)</f>
        <v>0</v>
      </c>
      <c r="H39" s="66">
        <f>ROUND(uurtarief66,2)</f>
        <v>0</v>
      </c>
      <c r="I39" s="76">
        <v>0</v>
      </c>
      <c r="J39" s="76">
        <v>0</v>
      </c>
      <c r="K39" s="76">
        <v>0</v>
      </c>
      <c r="L39" s="76">
        <v>0</v>
      </c>
      <c r="M39" s="76">
        <v>0</v>
      </c>
      <c r="N39" s="76">
        <v>0</v>
      </c>
      <c r="O39" s="76">
        <v>0</v>
      </c>
      <c r="P39" s="76">
        <v>0</v>
      </c>
      <c r="Q39" s="76">
        <v>0</v>
      </c>
      <c r="R39" s="76">
        <v>0</v>
      </c>
      <c r="S39" s="76">
        <v>0</v>
      </c>
      <c r="T39" s="76">
        <v>0</v>
      </c>
      <c r="U39" s="76">
        <v>0</v>
      </c>
      <c r="V39" s="76">
        <v>0</v>
      </c>
      <c r="W39" s="76">
        <v>0</v>
      </c>
      <c r="X39" s="76">
        <v>0</v>
      </c>
      <c r="Y39" s="76">
        <v>0</v>
      </c>
      <c r="Z39" s="76">
        <v>0</v>
      </c>
      <c r="AA39" s="76">
        <v>0</v>
      </c>
      <c r="AB39" s="76">
        <v>0</v>
      </c>
      <c r="AC39" s="76">
        <v>0</v>
      </c>
      <c r="AD39" s="76">
        <v>0</v>
      </c>
      <c r="AE39" s="76">
        <v>0</v>
      </c>
      <c r="AF39" s="76">
        <v>0</v>
      </c>
      <c r="AG39" s="76">
        <v>0</v>
      </c>
      <c r="AH39" s="76">
        <v>0</v>
      </c>
      <c r="AI39" s="76">
        <v>0</v>
      </c>
      <c r="AJ39" s="76">
        <v>0</v>
      </c>
      <c r="AK39" s="76">
        <v>2.5</v>
      </c>
      <c r="AL39" s="76">
        <v>0</v>
      </c>
      <c r="AM39" s="76">
        <v>0</v>
      </c>
      <c r="AN39" s="76">
        <v>0</v>
      </c>
      <c r="AO39" s="76">
        <v>0</v>
      </c>
      <c r="AP39" s="76">
        <v>0</v>
      </c>
      <c r="AQ39" s="76">
        <v>0</v>
      </c>
      <c r="AR39" s="76">
        <v>0</v>
      </c>
      <c r="AS39" s="76">
        <v>0</v>
      </c>
      <c r="AT39" s="76">
        <v>0</v>
      </c>
      <c r="AU39" s="76">
        <v>0</v>
      </c>
      <c r="AV39" s="76">
        <v>0</v>
      </c>
      <c r="AW39" s="76">
        <v>0</v>
      </c>
      <c r="AX39" s="76">
        <v>0</v>
      </c>
      <c r="AY39" s="76">
        <v>0</v>
      </c>
      <c r="AZ39" s="76">
        <v>0</v>
      </c>
      <c r="BA39" s="76">
        <v>0</v>
      </c>
      <c r="BB39" s="76">
        <v>0</v>
      </c>
      <c r="BC39" s="76">
        <v>0</v>
      </c>
      <c r="BD39" s="76">
        <v>9.8000000000000007</v>
      </c>
      <c r="BE39" s="76">
        <v>0</v>
      </c>
      <c r="BF39" s="76">
        <v>0</v>
      </c>
      <c r="BG39" s="76">
        <v>0</v>
      </c>
      <c r="BH39" s="76">
        <v>0</v>
      </c>
      <c r="BI39" s="76">
        <v>0</v>
      </c>
      <c r="BJ39" s="76">
        <v>0</v>
      </c>
      <c r="BK39" s="76">
        <v>0</v>
      </c>
      <c r="BL39" s="76">
        <v>0</v>
      </c>
      <c r="BM39" s="76">
        <v>0</v>
      </c>
      <c r="BN39" s="76">
        <v>0</v>
      </c>
      <c r="BO39" s="76">
        <v>0</v>
      </c>
      <c r="BP39" s="76">
        <v>0</v>
      </c>
      <c r="BQ39" s="76">
        <v>0</v>
      </c>
      <c r="BR39" s="76">
        <v>0</v>
      </c>
      <c r="BS39" s="76">
        <v>0</v>
      </c>
      <c r="BT39" s="76">
        <v>0</v>
      </c>
      <c r="BU39" s="76">
        <v>0</v>
      </c>
      <c r="BV39" s="76">
        <v>0</v>
      </c>
      <c r="BW39" s="76">
        <v>0</v>
      </c>
      <c r="BX39" s="76">
        <v>0</v>
      </c>
      <c r="BY39" s="76">
        <v>0</v>
      </c>
      <c r="BZ39" s="76">
        <v>0</v>
      </c>
    </row>
    <row r="40" spans="1:78" x14ac:dyDescent="0.2">
      <c r="A40" s="62" t="s">
        <v>253</v>
      </c>
      <c r="B40" s="62" t="s">
        <v>10</v>
      </c>
      <c r="C40" s="62" t="s">
        <v>968</v>
      </c>
      <c r="D40" s="62" t="s">
        <v>231</v>
      </c>
      <c r="E40" s="76">
        <f>IF(B40="","",VLOOKUP(B40,dagsoorttabel1,2,FALSE))</f>
        <v>0.8</v>
      </c>
      <c r="F40" s="76">
        <v>1</v>
      </c>
      <c r="G40" s="76">
        <f>IF(prodnorm67&gt;0,1/ROUND(prodnorm67,4),0)</f>
        <v>0</v>
      </c>
      <c r="H40" s="66">
        <f>ROUND(uurtarief67,2)</f>
        <v>0</v>
      </c>
      <c r="I40" s="76">
        <v>0</v>
      </c>
      <c r="J40" s="76">
        <v>6.3199999999999994</v>
      </c>
      <c r="K40" s="76">
        <v>0</v>
      </c>
      <c r="L40" s="76">
        <v>0</v>
      </c>
      <c r="M40" s="76">
        <v>0</v>
      </c>
      <c r="N40" s="76">
        <v>0</v>
      </c>
      <c r="O40" s="76">
        <v>0</v>
      </c>
      <c r="P40" s="76">
        <v>0</v>
      </c>
      <c r="Q40" s="76">
        <v>0</v>
      </c>
      <c r="R40" s="76">
        <v>0</v>
      </c>
      <c r="S40" s="76">
        <v>0</v>
      </c>
      <c r="T40" s="76">
        <v>0</v>
      </c>
      <c r="U40" s="76">
        <v>0</v>
      </c>
      <c r="V40" s="76">
        <v>0</v>
      </c>
      <c r="W40" s="76">
        <v>0</v>
      </c>
      <c r="X40" s="76">
        <v>0</v>
      </c>
      <c r="Y40" s="76">
        <v>0</v>
      </c>
      <c r="Z40" s="76">
        <v>0</v>
      </c>
      <c r="AA40" s="76">
        <v>0</v>
      </c>
      <c r="AB40" s="76">
        <v>0</v>
      </c>
      <c r="AC40" s="76">
        <v>0</v>
      </c>
      <c r="AD40" s="76">
        <v>0</v>
      </c>
      <c r="AE40" s="76">
        <v>0</v>
      </c>
      <c r="AF40" s="76">
        <v>0</v>
      </c>
      <c r="AG40" s="76">
        <v>0</v>
      </c>
      <c r="AH40" s="76">
        <v>0</v>
      </c>
      <c r="AI40" s="76">
        <v>0</v>
      </c>
      <c r="AJ40" s="76">
        <v>0</v>
      </c>
      <c r="AK40" s="76">
        <v>0</v>
      </c>
      <c r="AL40" s="76">
        <v>0</v>
      </c>
      <c r="AM40" s="76">
        <v>0</v>
      </c>
      <c r="AN40" s="76">
        <v>0</v>
      </c>
      <c r="AO40" s="76">
        <v>0</v>
      </c>
      <c r="AP40" s="76">
        <v>0</v>
      </c>
      <c r="AQ40" s="76">
        <v>0</v>
      </c>
      <c r="AR40" s="76">
        <v>0</v>
      </c>
      <c r="AS40" s="76">
        <v>0</v>
      </c>
      <c r="AT40" s="76">
        <v>0</v>
      </c>
      <c r="AU40" s="76">
        <v>0</v>
      </c>
      <c r="AV40" s="76">
        <v>0</v>
      </c>
      <c r="AW40" s="76">
        <v>0</v>
      </c>
      <c r="AX40" s="76">
        <v>0</v>
      </c>
      <c r="AY40" s="76">
        <v>0</v>
      </c>
      <c r="AZ40" s="76">
        <v>0</v>
      </c>
      <c r="BA40" s="76">
        <v>0</v>
      </c>
      <c r="BB40" s="76">
        <v>0</v>
      </c>
      <c r="BC40" s="76">
        <v>0</v>
      </c>
      <c r="BD40" s="76">
        <v>0</v>
      </c>
      <c r="BE40" s="76">
        <v>0</v>
      </c>
      <c r="BF40" s="76">
        <v>0</v>
      </c>
      <c r="BG40" s="76">
        <v>0</v>
      </c>
      <c r="BH40" s="76">
        <v>0</v>
      </c>
      <c r="BI40" s="76">
        <v>0</v>
      </c>
      <c r="BJ40" s="76">
        <v>0</v>
      </c>
      <c r="BK40" s="76">
        <v>0</v>
      </c>
      <c r="BL40" s="76">
        <v>0</v>
      </c>
      <c r="BM40" s="76">
        <v>0</v>
      </c>
      <c r="BN40" s="76">
        <v>0</v>
      </c>
      <c r="BO40" s="76">
        <v>0</v>
      </c>
      <c r="BP40" s="76">
        <v>0</v>
      </c>
      <c r="BQ40" s="76">
        <v>0</v>
      </c>
      <c r="BR40" s="76">
        <v>0</v>
      </c>
      <c r="BS40" s="76">
        <v>0</v>
      </c>
      <c r="BT40" s="76">
        <v>0</v>
      </c>
      <c r="BU40" s="76">
        <v>0</v>
      </c>
      <c r="BV40" s="76">
        <v>0</v>
      </c>
      <c r="BW40" s="76">
        <v>0</v>
      </c>
      <c r="BX40" s="76">
        <v>0</v>
      </c>
      <c r="BY40" s="76">
        <v>0</v>
      </c>
      <c r="BZ40" s="76">
        <v>0</v>
      </c>
    </row>
    <row r="41" spans="1:78" x14ac:dyDescent="0.2">
      <c r="A41" s="62" t="s">
        <v>253</v>
      </c>
      <c r="B41" s="62" t="s">
        <v>9</v>
      </c>
      <c r="C41" s="62" t="s">
        <v>968</v>
      </c>
      <c r="D41" s="62" t="s">
        <v>231</v>
      </c>
      <c r="E41" s="76">
        <f>IF(B41="","",VLOOKUP(B41,dagsoorttabel1,2,FALSE))</f>
        <v>1</v>
      </c>
      <c r="F41" s="76">
        <v>1</v>
      </c>
      <c r="G41" s="76">
        <f>IF(prodnorm68&gt;0,1/ROUND(prodnorm68,4),0)</f>
        <v>0</v>
      </c>
      <c r="H41" s="66">
        <f>ROUND(uurtarief68,2)</f>
        <v>0</v>
      </c>
      <c r="I41" s="76">
        <v>0</v>
      </c>
      <c r="J41" s="76">
        <v>0</v>
      </c>
      <c r="K41" s="76">
        <v>10.3</v>
      </c>
      <c r="L41" s="76">
        <v>0</v>
      </c>
      <c r="M41" s="76">
        <v>0</v>
      </c>
      <c r="N41" s="76">
        <v>0</v>
      </c>
      <c r="O41" s="76">
        <v>0</v>
      </c>
      <c r="P41" s="76">
        <v>0</v>
      </c>
      <c r="Q41" s="76">
        <v>0</v>
      </c>
      <c r="R41" s="76">
        <v>0</v>
      </c>
      <c r="S41" s="76">
        <v>7.3</v>
      </c>
      <c r="T41" s="76">
        <v>0</v>
      </c>
      <c r="U41" s="76">
        <v>0</v>
      </c>
      <c r="V41" s="76">
        <v>0</v>
      </c>
      <c r="W41" s="76">
        <v>0</v>
      </c>
      <c r="X41" s="76">
        <v>0</v>
      </c>
      <c r="Y41" s="76">
        <v>0</v>
      </c>
      <c r="Z41" s="76">
        <v>0</v>
      </c>
      <c r="AA41" s="76">
        <v>0</v>
      </c>
      <c r="AB41" s="76">
        <v>0</v>
      </c>
      <c r="AC41" s="76">
        <v>0</v>
      </c>
      <c r="AD41" s="76">
        <v>0</v>
      </c>
      <c r="AE41" s="76">
        <v>0</v>
      </c>
      <c r="AF41" s="76">
        <v>0</v>
      </c>
      <c r="AG41" s="76">
        <v>0</v>
      </c>
      <c r="AH41" s="76">
        <v>0</v>
      </c>
      <c r="AI41" s="76">
        <v>0</v>
      </c>
      <c r="AJ41" s="76">
        <v>0</v>
      </c>
      <c r="AK41" s="76">
        <v>0</v>
      </c>
      <c r="AL41" s="76">
        <v>0</v>
      </c>
      <c r="AM41" s="76">
        <v>0</v>
      </c>
      <c r="AN41" s="76">
        <v>0</v>
      </c>
      <c r="AO41" s="76">
        <v>0</v>
      </c>
      <c r="AP41" s="76">
        <v>0</v>
      </c>
      <c r="AQ41" s="76">
        <v>0</v>
      </c>
      <c r="AR41" s="76">
        <v>0</v>
      </c>
      <c r="AS41" s="76">
        <v>0</v>
      </c>
      <c r="AT41" s="76">
        <v>0</v>
      </c>
      <c r="AU41" s="76">
        <v>0</v>
      </c>
      <c r="AV41" s="76">
        <v>0</v>
      </c>
      <c r="AW41" s="76">
        <v>0</v>
      </c>
      <c r="AX41" s="76">
        <v>0</v>
      </c>
      <c r="AY41" s="76">
        <v>0</v>
      </c>
      <c r="AZ41" s="76">
        <v>0</v>
      </c>
      <c r="BA41" s="76">
        <v>0</v>
      </c>
      <c r="BB41" s="76">
        <v>0</v>
      </c>
      <c r="BC41" s="76">
        <v>0</v>
      </c>
      <c r="BD41" s="76">
        <v>0</v>
      </c>
      <c r="BE41" s="76">
        <v>0</v>
      </c>
      <c r="BF41" s="76">
        <v>0</v>
      </c>
      <c r="BG41" s="76">
        <v>0</v>
      </c>
      <c r="BH41" s="76">
        <v>0</v>
      </c>
      <c r="BI41" s="76">
        <v>0</v>
      </c>
      <c r="BJ41" s="76">
        <v>0</v>
      </c>
      <c r="BK41" s="76">
        <v>0</v>
      </c>
      <c r="BL41" s="76">
        <v>0</v>
      </c>
      <c r="BM41" s="76">
        <v>0</v>
      </c>
      <c r="BN41" s="76">
        <v>0</v>
      </c>
      <c r="BO41" s="76">
        <v>0</v>
      </c>
      <c r="BP41" s="76">
        <v>0</v>
      </c>
      <c r="BQ41" s="76">
        <v>0</v>
      </c>
      <c r="BR41" s="76">
        <v>0</v>
      </c>
      <c r="BS41" s="76">
        <v>0</v>
      </c>
      <c r="BT41" s="76">
        <v>0</v>
      </c>
      <c r="BU41" s="76">
        <v>0</v>
      </c>
      <c r="BV41" s="76">
        <v>0</v>
      </c>
      <c r="BW41" s="76">
        <v>0</v>
      </c>
      <c r="BX41" s="76">
        <v>0</v>
      </c>
      <c r="BY41" s="76">
        <v>0</v>
      </c>
      <c r="BZ41" s="76">
        <v>0</v>
      </c>
    </row>
    <row r="42" spans="1:78" x14ac:dyDescent="0.2">
      <c r="A42" s="62" t="s">
        <v>255</v>
      </c>
      <c r="B42" s="62" t="s">
        <v>13</v>
      </c>
      <c r="C42" s="62" t="s">
        <v>968</v>
      </c>
      <c r="D42" s="62" t="s">
        <v>231</v>
      </c>
      <c r="E42" s="76">
        <f>IF(B42="","",VLOOKUP(B42,dagsoorttabel1,2,FALSE))</f>
        <v>0.2</v>
      </c>
      <c r="F42" s="76">
        <v>1</v>
      </c>
      <c r="G42" s="76">
        <f>IF(prodnorm69&gt;0,1/ROUND(prodnorm69,4),0)</f>
        <v>0</v>
      </c>
      <c r="H42" s="66">
        <f>ROUND(uurtarief69,2)</f>
        <v>0</v>
      </c>
      <c r="I42" s="76">
        <v>0</v>
      </c>
      <c r="J42" s="76">
        <v>0</v>
      </c>
      <c r="K42" s="76">
        <v>0</v>
      </c>
      <c r="L42" s="76">
        <v>0</v>
      </c>
      <c r="M42" s="76">
        <v>0</v>
      </c>
      <c r="N42" s="76">
        <v>0</v>
      </c>
      <c r="O42" s="76">
        <v>0</v>
      </c>
      <c r="P42" s="76">
        <v>0</v>
      </c>
      <c r="Q42" s="76">
        <v>9</v>
      </c>
      <c r="R42" s="76">
        <v>0</v>
      </c>
      <c r="S42" s="76">
        <v>0</v>
      </c>
      <c r="T42" s="76">
        <v>0</v>
      </c>
      <c r="U42" s="76">
        <v>0</v>
      </c>
      <c r="V42" s="76">
        <v>4.4000000000000004</v>
      </c>
      <c r="W42" s="76">
        <v>0</v>
      </c>
      <c r="X42" s="76">
        <v>0</v>
      </c>
      <c r="Y42" s="76">
        <v>0</v>
      </c>
      <c r="Z42" s="76">
        <v>0</v>
      </c>
      <c r="AA42" s="76">
        <v>0</v>
      </c>
      <c r="AB42" s="76">
        <v>0</v>
      </c>
      <c r="AC42" s="76">
        <v>0</v>
      </c>
      <c r="AD42" s="76">
        <v>0</v>
      </c>
      <c r="AE42" s="76">
        <v>0</v>
      </c>
      <c r="AF42" s="76">
        <v>0</v>
      </c>
      <c r="AG42" s="76">
        <v>0</v>
      </c>
      <c r="AH42" s="76">
        <v>0</v>
      </c>
      <c r="AI42" s="76">
        <v>0</v>
      </c>
      <c r="AJ42" s="76">
        <v>0</v>
      </c>
      <c r="AK42" s="76">
        <v>0</v>
      </c>
      <c r="AL42" s="76">
        <v>0</v>
      </c>
      <c r="AM42" s="76">
        <v>0</v>
      </c>
      <c r="AN42" s="76">
        <v>0</v>
      </c>
      <c r="AO42" s="76">
        <v>0</v>
      </c>
      <c r="AP42" s="76">
        <v>0</v>
      </c>
      <c r="AQ42" s="76">
        <v>0</v>
      </c>
      <c r="AR42" s="76">
        <v>0</v>
      </c>
      <c r="AS42" s="76">
        <v>0</v>
      </c>
      <c r="AT42" s="76">
        <v>0</v>
      </c>
      <c r="AU42" s="76">
        <v>0</v>
      </c>
      <c r="AV42" s="76">
        <v>0</v>
      </c>
      <c r="AW42" s="76">
        <v>0</v>
      </c>
      <c r="AX42" s="76">
        <v>0</v>
      </c>
      <c r="AY42" s="76">
        <v>0</v>
      </c>
      <c r="AZ42" s="76">
        <v>0</v>
      </c>
      <c r="BA42" s="76">
        <v>0</v>
      </c>
      <c r="BB42" s="76">
        <v>0</v>
      </c>
      <c r="BC42" s="76">
        <v>0</v>
      </c>
      <c r="BD42" s="76">
        <v>0</v>
      </c>
      <c r="BE42" s="76">
        <v>0</v>
      </c>
      <c r="BF42" s="76">
        <v>0</v>
      </c>
      <c r="BG42" s="76">
        <v>0</v>
      </c>
      <c r="BH42" s="76">
        <v>0</v>
      </c>
      <c r="BI42" s="76">
        <v>0</v>
      </c>
      <c r="BJ42" s="76">
        <v>0</v>
      </c>
      <c r="BK42" s="76">
        <v>0</v>
      </c>
      <c r="BL42" s="76">
        <v>0</v>
      </c>
      <c r="BM42" s="76">
        <v>0</v>
      </c>
      <c r="BN42" s="76">
        <v>0</v>
      </c>
      <c r="BO42" s="76">
        <v>0</v>
      </c>
      <c r="BP42" s="76">
        <v>0</v>
      </c>
      <c r="BQ42" s="76">
        <v>0</v>
      </c>
      <c r="BR42" s="76">
        <v>0</v>
      </c>
      <c r="BS42" s="76">
        <v>0</v>
      </c>
      <c r="BT42" s="76">
        <v>0</v>
      </c>
      <c r="BU42" s="76">
        <v>0</v>
      </c>
      <c r="BV42" s="76">
        <v>0</v>
      </c>
      <c r="BW42" s="76">
        <v>0</v>
      </c>
      <c r="BX42" s="76">
        <v>0</v>
      </c>
      <c r="BY42" s="76">
        <v>0</v>
      </c>
      <c r="BZ42" s="76">
        <v>0</v>
      </c>
    </row>
    <row r="43" spans="1:78" x14ac:dyDescent="0.2">
      <c r="A43" s="62" t="s">
        <v>255</v>
      </c>
      <c r="B43" s="62" t="s">
        <v>14</v>
      </c>
      <c r="C43" s="62" t="s">
        <v>968</v>
      </c>
      <c r="D43" s="62" t="s">
        <v>231</v>
      </c>
      <c r="E43" s="76">
        <f>IF(B43="","",VLOOKUP(B43,dagsoorttabel1,2,FALSE))</f>
        <v>0.10196078431372549</v>
      </c>
      <c r="F43" s="76">
        <v>1</v>
      </c>
      <c r="G43" s="76">
        <f>IF(prodnorm70&gt;0,1/ROUND(prodnorm70,4),0)</f>
        <v>0</v>
      </c>
      <c r="H43" s="66">
        <f>ROUND(uurtarief70,2)</f>
        <v>0</v>
      </c>
      <c r="I43" s="76">
        <v>0</v>
      </c>
      <c r="J43" s="76">
        <v>0</v>
      </c>
      <c r="K43" s="76">
        <v>0</v>
      </c>
      <c r="L43" s="76">
        <v>0</v>
      </c>
      <c r="M43" s="76">
        <v>0</v>
      </c>
      <c r="N43" s="76">
        <v>0</v>
      </c>
      <c r="O43" s="76">
        <v>0</v>
      </c>
      <c r="P43" s="76">
        <v>0</v>
      </c>
      <c r="Q43" s="76">
        <v>0</v>
      </c>
      <c r="R43" s="76">
        <v>0</v>
      </c>
      <c r="S43" s="76">
        <v>0</v>
      </c>
      <c r="T43" s="76">
        <v>0</v>
      </c>
      <c r="U43" s="76">
        <v>0</v>
      </c>
      <c r="V43" s="76">
        <v>0</v>
      </c>
      <c r="W43" s="76">
        <v>0</v>
      </c>
      <c r="X43" s="76">
        <v>0</v>
      </c>
      <c r="Y43" s="76">
        <v>0</v>
      </c>
      <c r="Z43" s="76">
        <v>0</v>
      </c>
      <c r="AA43" s="76">
        <v>0</v>
      </c>
      <c r="AB43" s="76">
        <v>0</v>
      </c>
      <c r="AC43" s="76">
        <v>4.67</v>
      </c>
      <c r="AD43" s="76">
        <v>0</v>
      </c>
      <c r="AE43" s="76">
        <v>0</v>
      </c>
      <c r="AF43" s="76">
        <v>0</v>
      </c>
      <c r="AG43" s="76">
        <v>0</v>
      </c>
      <c r="AH43" s="76">
        <v>0</v>
      </c>
      <c r="AI43" s="76">
        <v>0</v>
      </c>
      <c r="AJ43" s="76">
        <v>0</v>
      </c>
      <c r="AK43" s="76">
        <v>0</v>
      </c>
      <c r="AL43" s="76">
        <v>0</v>
      </c>
      <c r="AM43" s="76">
        <v>0</v>
      </c>
      <c r="AN43" s="76">
        <v>0</v>
      </c>
      <c r="AO43" s="76">
        <v>0</v>
      </c>
      <c r="AP43" s="76">
        <v>0</v>
      </c>
      <c r="AQ43" s="76">
        <v>0</v>
      </c>
      <c r="AR43" s="76">
        <v>0</v>
      </c>
      <c r="AS43" s="76">
        <v>0</v>
      </c>
      <c r="AT43" s="76">
        <v>0</v>
      </c>
      <c r="AU43" s="76">
        <v>0</v>
      </c>
      <c r="AV43" s="76">
        <v>0</v>
      </c>
      <c r="AW43" s="76">
        <v>0</v>
      </c>
      <c r="AX43" s="76">
        <v>0</v>
      </c>
      <c r="AY43" s="76">
        <v>0</v>
      </c>
      <c r="AZ43" s="76">
        <v>0</v>
      </c>
      <c r="BA43" s="76">
        <v>0</v>
      </c>
      <c r="BB43" s="76">
        <v>0</v>
      </c>
      <c r="BC43" s="76">
        <v>0</v>
      </c>
      <c r="BD43" s="76">
        <v>0</v>
      </c>
      <c r="BE43" s="76">
        <v>0</v>
      </c>
      <c r="BF43" s="76">
        <v>0</v>
      </c>
      <c r="BG43" s="76">
        <v>0</v>
      </c>
      <c r="BH43" s="76">
        <v>0</v>
      </c>
      <c r="BI43" s="76">
        <v>0</v>
      </c>
      <c r="BJ43" s="76">
        <v>0</v>
      </c>
      <c r="BK43" s="76">
        <v>0</v>
      </c>
      <c r="BL43" s="76">
        <v>0</v>
      </c>
      <c r="BM43" s="76">
        <v>0</v>
      </c>
      <c r="BN43" s="76">
        <v>0</v>
      </c>
      <c r="BO43" s="76">
        <v>0</v>
      </c>
      <c r="BP43" s="76">
        <v>0</v>
      </c>
      <c r="BQ43" s="76">
        <v>0</v>
      </c>
      <c r="BR43" s="76">
        <v>0</v>
      </c>
      <c r="BS43" s="76">
        <v>0</v>
      </c>
      <c r="BT43" s="76">
        <v>0</v>
      </c>
      <c r="BU43" s="76">
        <v>0</v>
      </c>
      <c r="BV43" s="76">
        <v>0</v>
      </c>
      <c r="BW43" s="76">
        <v>0</v>
      </c>
      <c r="BX43" s="76">
        <v>0</v>
      </c>
      <c r="BY43" s="76">
        <v>0</v>
      </c>
      <c r="BZ43" s="76">
        <v>0</v>
      </c>
    </row>
    <row r="44" spans="1:78" x14ac:dyDescent="0.2">
      <c r="A44" s="62" t="s">
        <v>255</v>
      </c>
      <c r="B44" s="62" t="s">
        <v>22</v>
      </c>
      <c r="C44" s="62" t="s">
        <v>968</v>
      </c>
      <c r="D44" s="62" t="s">
        <v>231</v>
      </c>
      <c r="E44" s="76">
        <f>IF(B44="","",VLOOKUP(B44,dagsoorttabel1,2,FALSE))</f>
        <v>7.8431372549019607E-3</v>
      </c>
      <c r="F44" s="76">
        <v>1</v>
      </c>
      <c r="G44" s="76">
        <f>IF(prodnorm71&gt;0,1/ROUND(prodnorm71,4),0)</f>
        <v>0</v>
      </c>
      <c r="H44" s="66">
        <f>ROUND(uurtarief71,2)</f>
        <v>0</v>
      </c>
      <c r="I44" s="76">
        <v>0</v>
      </c>
      <c r="J44" s="76">
        <v>0</v>
      </c>
      <c r="K44" s="76">
        <v>0</v>
      </c>
      <c r="L44" s="76">
        <v>0</v>
      </c>
      <c r="M44" s="76">
        <v>0</v>
      </c>
      <c r="N44" s="76">
        <v>0</v>
      </c>
      <c r="O44" s="76">
        <v>0</v>
      </c>
      <c r="P44" s="76">
        <v>0</v>
      </c>
      <c r="Q44" s="76">
        <v>0</v>
      </c>
      <c r="R44" s="76">
        <v>0</v>
      </c>
      <c r="S44" s="76">
        <v>0</v>
      </c>
      <c r="T44" s="76">
        <v>0</v>
      </c>
      <c r="U44" s="76">
        <v>0</v>
      </c>
      <c r="V44" s="76">
        <v>0</v>
      </c>
      <c r="W44" s="76">
        <v>0</v>
      </c>
      <c r="X44" s="76">
        <v>0</v>
      </c>
      <c r="Y44" s="76">
        <v>0</v>
      </c>
      <c r="Z44" s="76">
        <v>0</v>
      </c>
      <c r="AA44" s="76">
        <v>0</v>
      </c>
      <c r="AB44" s="76">
        <v>0</v>
      </c>
      <c r="AC44" s="76">
        <v>0</v>
      </c>
      <c r="AD44" s="76">
        <v>0</v>
      </c>
      <c r="AE44" s="76">
        <v>0</v>
      </c>
      <c r="AF44" s="76">
        <v>0</v>
      </c>
      <c r="AG44" s="76">
        <v>0</v>
      </c>
      <c r="AH44" s="76">
        <v>0</v>
      </c>
      <c r="AI44" s="76">
        <v>0</v>
      </c>
      <c r="AJ44" s="76">
        <v>0</v>
      </c>
      <c r="AK44" s="76">
        <v>0</v>
      </c>
      <c r="AL44" s="76">
        <v>0</v>
      </c>
      <c r="AM44" s="76">
        <v>0</v>
      </c>
      <c r="AN44" s="76">
        <v>0</v>
      </c>
      <c r="AO44" s="76">
        <v>0</v>
      </c>
      <c r="AP44" s="76">
        <v>0</v>
      </c>
      <c r="AQ44" s="76">
        <v>0</v>
      </c>
      <c r="AR44" s="76">
        <v>0</v>
      </c>
      <c r="AS44" s="76">
        <v>0</v>
      </c>
      <c r="AT44" s="76">
        <v>0</v>
      </c>
      <c r="AU44" s="76">
        <v>0</v>
      </c>
      <c r="AV44" s="76">
        <v>0</v>
      </c>
      <c r="AW44" s="76">
        <v>0</v>
      </c>
      <c r="AX44" s="76">
        <v>0</v>
      </c>
      <c r="AY44" s="76">
        <v>0</v>
      </c>
      <c r="AZ44" s="76">
        <v>0</v>
      </c>
      <c r="BA44" s="76">
        <v>0</v>
      </c>
      <c r="BB44" s="76">
        <v>0</v>
      </c>
      <c r="BC44" s="76">
        <v>0</v>
      </c>
      <c r="BD44" s="76">
        <v>0</v>
      </c>
      <c r="BE44" s="76">
        <v>0</v>
      </c>
      <c r="BF44" s="76">
        <v>0</v>
      </c>
      <c r="BG44" s="76">
        <v>0</v>
      </c>
      <c r="BH44" s="76">
        <v>0</v>
      </c>
      <c r="BI44" s="76">
        <v>0</v>
      </c>
      <c r="BJ44" s="76">
        <v>0</v>
      </c>
      <c r="BK44" s="76">
        <v>0</v>
      </c>
      <c r="BL44" s="76">
        <v>0</v>
      </c>
      <c r="BM44" s="76">
        <v>0</v>
      </c>
      <c r="BN44" s="76">
        <v>0</v>
      </c>
      <c r="BO44" s="76">
        <v>0</v>
      </c>
      <c r="BP44" s="76">
        <v>0</v>
      </c>
      <c r="BQ44" s="76">
        <v>0</v>
      </c>
      <c r="BR44" s="76">
        <v>0</v>
      </c>
      <c r="BS44" s="76">
        <v>0</v>
      </c>
      <c r="BT44" s="76">
        <v>9.6</v>
      </c>
      <c r="BU44" s="76">
        <v>0</v>
      </c>
      <c r="BV44" s="76">
        <v>0</v>
      </c>
      <c r="BW44" s="76">
        <v>0</v>
      </c>
      <c r="BX44" s="76">
        <v>0</v>
      </c>
      <c r="BY44" s="76">
        <v>0</v>
      </c>
      <c r="BZ44" s="76">
        <v>0</v>
      </c>
    </row>
    <row r="45" spans="1:78" x14ac:dyDescent="0.2">
      <c r="A45" s="62" t="s">
        <v>255</v>
      </c>
      <c r="B45" s="62" t="s">
        <v>11</v>
      </c>
      <c r="C45" s="62" t="s">
        <v>968</v>
      </c>
      <c r="D45" s="62" t="s">
        <v>231</v>
      </c>
      <c r="E45" s="76">
        <f>IF(B45="","",VLOOKUP(B45,dagsoorttabel1,2,FALSE))</f>
        <v>0.6</v>
      </c>
      <c r="F45" s="76">
        <v>1</v>
      </c>
      <c r="G45" s="76">
        <f>IF(prodnorm72&gt;0,1/ROUND(prodnorm72,4),0)</f>
        <v>0</v>
      </c>
      <c r="H45" s="66">
        <f>ROUND(uurtarief72,2)</f>
        <v>0</v>
      </c>
      <c r="I45" s="76">
        <v>0</v>
      </c>
      <c r="J45" s="76">
        <v>0</v>
      </c>
      <c r="K45" s="76">
        <v>0</v>
      </c>
      <c r="L45" s="76">
        <v>0</v>
      </c>
      <c r="M45" s="76">
        <v>0</v>
      </c>
      <c r="N45" s="76">
        <v>0</v>
      </c>
      <c r="O45" s="76">
        <v>0</v>
      </c>
      <c r="P45" s="76">
        <v>0</v>
      </c>
      <c r="Q45" s="76">
        <v>0</v>
      </c>
      <c r="R45" s="76">
        <v>0</v>
      </c>
      <c r="S45" s="76">
        <v>0</v>
      </c>
      <c r="T45" s="76">
        <v>0</v>
      </c>
      <c r="U45" s="76">
        <v>0</v>
      </c>
      <c r="V45" s="76">
        <v>0</v>
      </c>
      <c r="W45" s="76">
        <v>0</v>
      </c>
      <c r="X45" s="76">
        <v>0</v>
      </c>
      <c r="Y45" s="76">
        <v>0</v>
      </c>
      <c r="Z45" s="76">
        <v>0</v>
      </c>
      <c r="AA45" s="76">
        <v>0</v>
      </c>
      <c r="AB45" s="76">
        <v>5.1599999999999993</v>
      </c>
      <c r="AC45" s="76">
        <v>0</v>
      </c>
      <c r="AD45" s="76">
        <v>0</v>
      </c>
      <c r="AE45" s="76">
        <v>0</v>
      </c>
      <c r="AF45" s="76">
        <v>0</v>
      </c>
      <c r="AG45" s="76">
        <v>0</v>
      </c>
      <c r="AH45" s="76">
        <v>0</v>
      </c>
      <c r="AI45" s="76">
        <v>0</v>
      </c>
      <c r="AJ45" s="76">
        <v>0</v>
      </c>
      <c r="AK45" s="76">
        <v>0</v>
      </c>
      <c r="AL45" s="76">
        <v>0</v>
      </c>
      <c r="AM45" s="76">
        <v>0</v>
      </c>
      <c r="AN45" s="76">
        <v>0</v>
      </c>
      <c r="AO45" s="76">
        <v>0</v>
      </c>
      <c r="AP45" s="76">
        <v>0</v>
      </c>
      <c r="AQ45" s="76">
        <v>0</v>
      </c>
      <c r="AR45" s="76">
        <v>0</v>
      </c>
      <c r="AS45" s="76">
        <v>0</v>
      </c>
      <c r="AT45" s="76">
        <v>0</v>
      </c>
      <c r="AU45" s="76">
        <v>18.5</v>
      </c>
      <c r="AV45" s="76">
        <v>0</v>
      </c>
      <c r="AW45" s="76">
        <v>0</v>
      </c>
      <c r="AX45" s="76">
        <v>0</v>
      </c>
      <c r="AY45" s="76">
        <v>0</v>
      </c>
      <c r="AZ45" s="76">
        <v>0</v>
      </c>
      <c r="BA45" s="76">
        <v>0</v>
      </c>
      <c r="BB45" s="76">
        <v>0</v>
      </c>
      <c r="BC45" s="76">
        <v>0</v>
      </c>
      <c r="BD45" s="76">
        <v>0</v>
      </c>
      <c r="BE45" s="76">
        <v>0</v>
      </c>
      <c r="BF45" s="76">
        <v>0</v>
      </c>
      <c r="BG45" s="76">
        <v>0</v>
      </c>
      <c r="BH45" s="76">
        <v>0</v>
      </c>
      <c r="BI45" s="76">
        <v>0</v>
      </c>
      <c r="BJ45" s="76">
        <v>0</v>
      </c>
      <c r="BK45" s="76">
        <v>0</v>
      </c>
      <c r="BL45" s="76">
        <v>0</v>
      </c>
      <c r="BM45" s="76">
        <v>0</v>
      </c>
      <c r="BN45" s="76">
        <v>0</v>
      </c>
      <c r="BO45" s="76">
        <v>0</v>
      </c>
      <c r="BP45" s="76">
        <v>0</v>
      </c>
      <c r="BQ45" s="76">
        <v>0</v>
      </c>
      <c r="BR45" s="76">
        <v>0</v>
      </c>
      <c r="BS45" s="76">
        <v>0</v>
      </c>
      <c r="BT45" s="76">
        <v>0</v>
      </c>
      <c r="BU45" s="76">
        <v>0</v>
      </c>
      <c r="BV45" s="76">
        <v>0</v>
      </c>
      <c r="BW45" s="76">
        <v>0</v>
      </c>
      <c r="BX45" s="76">
        <v>0</v>
      </c>
      <c r="BY45" s="76">
        <v>0</v>
      </c>
      <c r="BZ45" s="76">
        <v>0</v>
      </c>
    </row>
    <row r="46" spans="1:78" x14ac:dyDescent="0.2">
      <c r="A46" s="62" t="s">
        <v>255</v>
      </c>
      <c r="B46" s="62" t="s">
        <v>9</v>
      </c>
      <c r="C46" s="62" t="s">
        <v>968</v>
      </c>
      <c r="D46" s="62" t="s">
        <v>231</v>
      </c>
      <c r="E46" s="76">
        <f>IF(B46="","",VLOOKUP(B46,dagsoorttabel1,2,FALSE))</f>
        <v>1</v>
      </c>
      <c r="F46" s="76">
        <v>1</v>
      </c>
      <c r="G46" s="76">
        <f>IF(prodnorm73&gt;0,1/ROUND(prodnorm73,4),0)</f>
        <v>0</v>
      </c>
      <c r="H46" s="66">
        <f>ROUND(uurtarief73,2)</f>
        <v>0</v>
      </c>
      <c r="I46" s="76">
        <v>2</v>
      </c>
      <c r="J46" s="76">
        <v>0</v>
      </c>
      <c r="K46" s="76">
        <v>0</v>
      </c>
      <c r="L46" s="76">
        <v>0</v>
      </c>
      <c r="M46" s="76">
        <v>0</v>
      </c>
      <c r="N46" s="76">
        <v>0</v>
      </c>
      <c r="O46" s="76">
        <v>0</v>
      </c>
      <c r="P46" s="76">
        <v>0</v>
      </c>
      <c r="Q46" s="76">
        <v>0</v>
      </c>
      <c r="R46" s="76">
        <v>0</v>
      </c>
      <c r="S46" s="76">
        <v>0</v>
      </c>
      <c r="T46" s="76">
        <v>0</v>
      </c>
      <c r="U46" s="76">
        <v>0</v>
      </c>
      <c r="V46" s="76">
        <v>0</v>
      </c>
      <c r="W46" s="76">
        <v>0</v>
      </c>
      <c r="X46" s="76">
        <v>0</v>
      </c>
      <c r="Y46" s="76">
        <v>0</v>
      </c>
      <c r="Z46" s="76">
        <v>0</v>
      </c>
      <c r="AA46" s="76">
        <v>0</v>
      </c>
      <c r="AB46" s="76">
        <v>0</v>
      </c>
      <c r="AC46" s="76">
        <v>0</v>
      </c>
      <c r="AD46" s="76">
        <v>0</v>
      </c>
      <c r="AE46" s="76">
        <v>0</v>
      </c>
      <c r="AF46" s="76">
        <v>0</v>
      </c>
      <c r="AG46" s="76">
        <v>0</v>
      </c>
      <c r="AH46" s="76">
        <v>0</v>
      </c>
      <c r="AI46" s="76">
        <v>0</v>
      </c>
      <c r="AJ46" s="76">
        <v>0</v>
      </c>
      <c r="AK46" s="76">
        <v>0</v>
      </c>
      <c r="AL46" s="76">
        <v>0</v>
      </c>
      <c r="AM46" s="76">
        <v>0</v>
      </c>
      <c r="AN46" s="76">
        <v>0</v>
      </c>
      <c r="AO46" s="76">
        <v>0</v>
      </c>
      <c r="AP46" s="76">
        <v>0</v>
      </c>
      <c r="AQ46" s="76">
        <v>0</v>
      </c>
      <c r="AR46" s="76">
        <v>0</v>
      </c>
      <c r="AS46" s="76">
        <v>0</v>
      </c>
      <c r="AT46" s="76">
        <v>0</v>
      </c>
      <c r="AU46" s="76">
        <v>0</v>
      </c>
      <c r="AV46" s="76">
        <v>0</v>
      </c>
      <c r="AW46" s="76">
        <v>0</v>
      </c>
      <c r="AX46" s="76">
        <v>0</v>
      </c>
      <c r="AY46" s="76">
        <v>0</v>
      </c>
      <c r="AZ46" s="76">
        <v>0</v>
      </c>
      <c r="BA46" s="76">
        <v>0</v>
      </c>
      <c r="BB46" s="76">
        <v>0</v>
      </c>
      <c r="BC46" s="76">
        <v>0</v>
      </c>
      <c r="BD46" s="76">
        <v>0</v>
      </c>
      <c r="BE46" s="76">
        <v>0</v>
      </c>
      <c r="BF46" s="76">
        <v>0</v>
      </c>
      <c r="BG46" s="76">
        <v>0</v>
      </c>
      <c r="BH46" s="76">
        <v>0</v>
      </c>
      <c r="BI46" s="76">
        <v>0</v>
      </c>
      <c r="BJ46" s="76">
        <v>0</v>
      </c>
      <c r="BK46" s="76">
        <v>0</v>
      </c>
      <c r="BL46" s="76">
        <v>0</v>
      </c>
      <c r="BM46" s="76">
        <v>0</v>
      </c>
      <c r="BN46" s="76">
        <v>0</v>
      </c>
      <c r="BO46" s="76">
        <v>0</v>
      </c>
      <c r="BP46" s="76">
        <v>0</v>
      </c>
      <c r="BQ46" s="76">
        <v>0</v>
      </c>
      <c r="BR46" s="76">
        <v>0</v>
      </c>
      <c r="BS46" s="76">
        <v>0</v>
      </c>
      <c r="BT46" s="76">
        <v>0</v>
      </c>
      <c r="BU46" s="76">
        <v>0</v>
      </c>
      <c r="BV46" s="76">
        <v>0</v>
      </c>
      <c r="BW46" s="76">
        <v>0</v>
      </c>
      <c r="BX46" s="76">
        <v>0</v>
      </c>
      <c r="BY46" s="76">
        <v>0</v>
      </c>
      <c r="BZ46" s="76">
        <v>0</v>
      </c>
    </row>
    <row r="47" spans="1:78" x14ac:dyDescent="0.2">
      <c r="A47" s="62" t="s">
        <v>257</v>
      </c>
      <c r="B47" s="62" t="s">
        <v>13</v>
      </c>
      <c r="C47" s="62" t="s">
        <v>968</v>
      </c>
      <c r="D47" s="62" t="s">
        <v>231</v>
      </c>
      <c r="E47" s="76">
        <f>IF(B47="","",VLOOKUP(B47,dagsoorttabel1,2,FALSE))</f>
        <v>0.2</v>
      </c>
      <c r="F47" s="76">
        <v>1</v>
      </c>
      <c r="G47" s="76">
        <f>IF(prodnorm74&gt;0,1/ROUND(prodnorm74,4),0)</f>
        <v>0</v>
      </c>
      <c r="H47" s="66">
        <f>ROUND(uurtarief74,2)</f>
        <v>0</v>
      </c>
      <c r="I47" s="76">
        <v>0</v>
      </c>
      <c r="J47" s="76">
        <v>0</v>
      </c>
      <c r="K47" s="76">
        <v>0</v>
      </c>
      <c r="L47" s="76">
        <v>0</v>
      </c>
      <c r="M47" s="76">
        <v>0</v>
      </c>
      <c r="N47" s="76">
        <v>0</v>
      </c>
      <c r="O47" s="76">
        <v>0</v>
      </c>
      <c r="P47" s="76">
        <v>9.8000000000000007</v>
      </c>
      <c r="Q47" s="76">
        <v>0</v>
      </c>
      <c r="R47" s="76">
        <v>0</v>
      </c>
      <c r="S47" s="76">
        <v>0</v>
      </c>
      <c r="T47" s="76">
        <v>0</v>
      </c>
      <c r="U47" s="76">
        <v>0</v>
      </c>
      <c r="V47" s="76">
        <v>0</v>
      </c>
      <c r="W47" s="76">
        <v>18</v>
      </c>
      <c r="X47" s="76">
        <v>0</v>
      </c>
      <c r="Y47" s="76">
        <v>0</v>
      </c>
      <c r="Z47" s="76">
        <v>0</v>
      </c>
      <c r="AA47" s="76">
        <v>0</v>
      </c>
      <c r="AB47" s="76">
        <v>0</v>
      </c>
      <c r="AC47" s="76">
        <v>0</v>
      </c>
      <c r="AD47" s="76">
        <v>0</v>
      </c>
      <c r="AE47" s="76">
        <v>44.6</v>
      </c>
      <c r="AF47" s="76">
        <v>0</v>
      </c>
      <c r="AG47" s="76">
        <v>0</v>
      </c>
      <c r="AH47" s="76">
        <v>0</v>
      </c>
      <c r="AI47" s="76">
        <v>0</v>
      </c>
      <c r="AJ47" s="76">
        <v>0</v>
      </c>
      <c r="AK47" s="76">
        <v>0</v>
      </c>
      <c r="AL47" s="76">
        <v>0</v>
      </c>
      <c r="AM47" s="76">
        <v>0</v>
      </c>
      <c r="AN47" s="76">
        <v>0</v>
      </c>
      <c r="AO47" s="76">
        <v>0</v>
      </c>
      <c r="AP47" s="76">
        <v>0</v>
      </c>
      <c r="AQ47" s="76">
        <v>0</v>
      </c>
      <c r="AR47" s="76">
        <v>0</v>
      </c>
      <c r="AS47" s="76">
        <v>0</v>
      </c>
      <c r="AT47" s="76">
        <v>0</v>
      </c>
      <c r="AU47" s="76">
        <v>0</v>
      </c>
      <c r="AV47" s="76">
        <v>0</v>
      </c>
      <c r="AW47" s="76">
        <v>0</v>
      </c>
      <c r="AX47" s="76">
        <v>0</v>
      </c>
      <c r="AY47" s="76">
        <v>0</v>
      </c>
      <c r="AZ47" s="76">
        <v>0</v>
      </c>
      <c r="BA47" s="76">
        <v>0</v>
      </c>
      <c r="BB47" s="76">
        <v>0</v>
      </c>
      <c r="BC47" s="76">
        <v>0</v>
      </c>
      <c r="BD47" s="76">
        <v>0</v>
      </c>
      <c r="BE47" s="76">
        <v>0</v>
      </c>
      <c r="BF47" s="76">
        <v>0</v>
      </c>
      <c r="BG47" s="76">
        <v>0</v>
      </c>
      <c r="BH47" s="76">
        <v>0</v>
      </c>
      <c r="BI47" s="76">
        <v>0</v>
      </c>
      <c r="BJ47" s="76">
        <v>0</v>
      </c>
      <c r="BK47" s="76">
        <v>0</v>
      </c>
      <c r="BL47" s="76">
        <v>0</v>
      </c>
      <c r="BM47" s="76">
        <v>0</v>
      </c>
      <c r="BN47" s="76">
        <v>0</v>
      </c>
      <c r="BO47" s="76">
        <v>0</v>
      </c>
      <c r="BP47" s="76">
        <v>0</v>
      </c>
      <c r="BQ47" s="76">
        <v>0</v>
      </c>
      <c r="BR47" s="76">
        <v>0</v>
      </c>
      <c r="BS47" s="76">
        <v>0</v>
      </c>
      <c r="BT47" s="76">
        <v>0</v>
      </c>
      <c r="BU47" s="76">
        <v>0</v>
      </c>
      <c r="BV47" s="76">
        <v>0</v>
      </c>
      <c r="BW47" s="76">
        <v>0</v>
      </c>
      <c r="BX47" s="76">
        <v>0</v>
      </c>
      <c r="BY47" s="76">
        <v>0</v>
      </c>
      <c r="BZ47" s="76">
        <v>0</v>
      </c>
    </row>
    <row r="48" spans="1:78" x14ac:dyDescent="0.2">
      <c r="A48" s="62" t="s">
        <v>257</v>
      </c>
      <c r="B48" s="62" t="s">
        <v>14</v>
      </c>
      <c r="C48" s="62" t="s">
        <v>968</v>
      </c>
      <c r="D48" s="62" t="s">
        <v>231</v>
      </c>
      <c r="E48" s="76">
        <f>IF(B48="","",VLOOKUP(B48,dagsoorttabel1,2,FALSE))</f>
        <v>0.10196078431372549</v>
      </c>
      <c r="F48" s="76">
        <v>1</v>
      </c>
      <c r="G48" s="76">
        <f>IF(prodnorm75&gt;0,1/ROUND(prodnorm75,4),0)</f>
        <v>0</v>
      </c>
      <c r="H48" s="66">
        <f>ROUND(uurtarief75,2)</f>
        <v>0</v>
      </c>
      <c r="I48" s="76">
        <v>0</v>
      </c>
      <c r="J48" s="76">
        <v>0</v>
      </c>
      <c r="K48" s="76">
        <v>0</v>
      </c>
      <c r="L48" s="76">
        <v>0</v>
      </c>
      <c r="M48" s="76">
        <v>0</v>
      </c>
      <c r="N48" s="76">
        <v>0</v>
      </c>
      <c r="O48" s="76">
        <v>0</v>
      </c>
      <c r="P48" s="76">
        <v>0</v>
      </c>
      <c r="Q48" s="76">
        <v>0</v>
      </c>
      <c r="R48" s="76">
        <v>0</v>
      </c>
      <c r="S48" s="76">
        <v>0</v>
      </c>
      <c r="T48" s="76">
        <v>0</v>
      </c>
      <c r="U48" s="76">
        <v>0</v>
      </c>
      <c r="V48" s="76">
        <v>0</v>
      </c>
      <c r="W48" s="76">
        <v>0</v>
      </c>
      <c r="X48" s="76">
        <v>0</v>
      </c>
      <c r="Y48" s="76">
        <v>0</v>
      </c>
      <c r="Z48" s="76">
        <v>0</v>
      </c>
      <c r="AA48" s="76">
        <v>0</v>
      </c>
      <c r="AB48" s="76">
        <v>0</v>
      </c>
      <c r="AC48" s="76">
        <v>37.39</v>
      </c>
      <c r="AD48" s="76">
        <v>0</v>
      </c>
      <c r="AE48" s="76">
        <v>0</v>
      </c>
      <c r="AF48" s="76">
        <v>0</v>
      </c>
      <c r="AG48" s="76">
        <v>0</v>
      </c>
      <c r="AH48" s="76">
        <v>0</v>
      </c>
      <c r="AI48" s="76">
        <v>0</v>
      </c>
      <c r="AJ48" s="76">
        <v>0</v>
      </c>
      <c r="AK48" s="76">
        <v>0</v>
      </c>
      <c r="AL48" s="76">
        <v>0</v>
      </c>
      <c r="AM48" s="76">
        <v>0</v>
      </c>
      <c r="AN48" s="76">
        <v>0</v>
      </c>
      <c r="AO48" s="76">
        <v>15</v>
      </c>
      <c r="AP48" s="76">
        <v>0</v>
      </c>
      <c r="AQ48" s="76">
        <v>0</v>
      </c>
      <c r="AR48" s="76">
        <v>0</v>
      </c>
      <c r="AS48" s="76">
        <v>0</v>
      </c>
      <c r="AT48" s="76">
        <v>0</v>
      </c>
      <c r="AU48" s="76">
        <v>0</v>
      </c>
      <c r="AV48" s="76">
        <v>0</v>
      </c>
      <c r="AW48" s="76">
        <v>0</v>
      </c>
      <c r="AX48" s="76">
        <v>0</v>
      </c>
      <c r="AY48" s="76">
        <v>0</v>
      </c>
      <c r="AZ48" s="76">
        <v>0</v>
      </c>
      <c r="BA48" s="76">
        <v>0</v>
      </c>
      <c r="BB48" s="76">
        <v>0</v>
      </c>
      <c r="BC48" s="76">
        <v>0</v>
      </c>
      <c r="BD48" s="76">
        <v>0</v>
      </c>
      <c r="BE48" s="76">
        <v>0</v>
      </c>
      <c r="BF48" s="76">
        <v>0</v>
      </c>
      <c r="BG48" s="76">
        <v>0</v>
      </c>
      <c r="BH48" s="76">
        <v>0</v>
      </c>
      <c r="BI48" s="76">
        <v>0</v>
      </c>
      <c r="BJ48" s="76">
        <v>0</v>
      </c>
      <c r="BK48" s="76">
        <v>0</v>
      </c>
      <c r="BL48" s="76">
        <v>0</v>
      </c>
      <c r="BM48" s="76">
        <v>0</v>
      </c>
      <c r="BN48" s="76">
        <v>0</v>
      </c>
      <c r="BO48" s="76">
        <v>0</v>
      </c>
      <c r="BP48" s="76">
        <v>0</v>
      </c>
      <c r="BQ48" s="76">
        <v>0</v>
      </c>
      <c r="BR48" s="76">
        <v>0</v>
      </c>
      <c r="BS48" s="76">
        <v>0</v>
      </c>
      <c r="BT48" s="76">
        <v>0</v>
      </c>
      <c r="BU48" s="76">
        <v>0</v>
      </c>
      <c r="BV48" s="76">
        <v>0</v>
      </c>
      <c r="BW48" s="76">
        <v>0</v>
      </c>
      <c r="BX48" s="76">
        <v>0</v>
      </c>
      <c r="BY48" s="76">
        <v>0</v>
      </c>
      <c r="BZ48" s="76">
        <v>0</v>
      </c>
    </row>
    <row r="49" spans="1:78" x14ac:dyDescent="0.2">
      <c r="A49" s="62" t="s">
        <v>257</v>
      </c>
      <c r="B49" s="62" t="s">
        <v>12</v>
      </c>
      <c r="C49" s="62" t="s">
        <v>968</v>
      </c>
      <c r="D49" s="62" t="s">
        <v>231</v>
      </c>
      <c r="E49" s="76">
        <f>IF(B49="","",VLOOKUP(B49,dagsoorttabel1,2,FALSE))</f>
        <v>0.4</v>
      </c>
      <c r="F49" s="76">
        <v>1</v>
      </c>
      <c r="G49" s="76">
        <f>IF(prodnorm76&gt;0,1/ROUND(prodnorm76,4),0)</f>
        <v>0</v>
      </c>
      <c r="H49" s="66">
        <f>ROUND(uurtarief76,2)</f>
        <v>0</v>
      </c>
      <c r="I49" s="76">
        <v>0</v>
      </c>
      <c r="J49" s="76">
        <v>0</v>
      </c>
      <c r="K49" s="76">
        <v>0</v>
      </c>
      <c r="L49" s="76">
        <v>0</v>
      </c>
      <c r="M49" s="76">
        <v>0</v>
      </c>
      <c r="N49" s="76">
        <v>0</v>
      </c>
      <c r="O49" s="76">
        <v>0</v>
      </c>
      <c r="P49" s="76">
        <v>0</v>
      </c>
      <c r="Q49" s="76">
        <v>0</v>
      </c>
      <c r="R49" s="76">
        <v>0</v>
      </c>
      <c r="S49" s="76">
        <v>0</v>
      </c>
      <c r="T49" s="76">
        <v>0</v>
      </c>
      <c r="U49" s="76">
        <v>20.3</v>
      </c>
      <c r="V49" s="76">
        <v>0</v>
      </c>
      <c r="W49" s="76">
        <v>0</v>
      </c>
      <c r="X49" s="76">
        <v>0</v>
      </c>
      <c r="Y49" s="76">
        <v>0</v>
      </c>
      <c r="Z49" s="76">
        <v>0</v>
      </c>
      <c r="AA49" s="76">
        <v>0</v>
      </c>
      <c r="AB49" s="76">
        <v>0</v>
      </c>
      <c r="AC49" s="76">
        <v>0</v>
      </c>
      <c r="AD49" s="76">
        <v>0</v>
      </c>
      <c r="AE49" s="76">
        <v>0</v>
      </c>
      <c r="AF49" s="76">
        <v>0</v>
      </c>
      <c r="AG49" s="76">
        <v>0</v>
      </c>
      <c r="AH49" s="76">
        <v>0</v>
      </c>
      <c r="AI49" s="76">
        <v>0</v>
      </c>
      <c r="AJ49" s="76">
        <v>0</v>
      </c>
      <c r="AK49" s="76">
        <v>0</v>
      </c>
      <c r="AL49" s="76">
        <v>0</v>
      </c>
      <c r="AM49" s="76">
        <v>0</v>
      </c>
      <c r="AN49" s="76">
        <v>0</v>
      </c>
      <c r="AO49" s="76">
        <v>0</v>
      </c>
      <c r="AP49" s="76">
        <v>28.4</v>
      </c>
      <c r="AQ49" s="76">
        <v>0</v>
      </c>
      <c r="AR49" s="76">
        <v>45</v>
      </c>
      <c r="AS49" s="76">
        <v>52.6</v>
      </c>
      <c r="AT49" s="76">
        <v>0</v>
      </c>
      <c r="AU49" s="76">
        <v>0</v>
      </c>
      <c r="AV49" s="76">
        <v>0</v>
      </c>
      <c r="AW49" s="76">
        <v>0</v>
      </c>
      <c r="AX49" s="76">
        <v>0</v>
      </c>
      <c r="AY49" s="76">
        <v>0</v>
      </c>
      <c r="AZ49" s="76">
        <v>0</v>
      </c>
      <c r="BA49" s="76">
        <v>0</v>
      </c>
      <c r="BB49" s="76">
        <v>0</v>
      </c>
      <c r="BC49" s="76">
        <v>0</v>
      </c>
      <c r="BD49" s="76">
        <v>0</v>
      </c>
      <c r="BE49" s="76">
        <v>0</v>
      </c>
      <c r="BF49" s="76">
        <v>0</v>
      </c>
      <c r="BG49" s="76">
        <v>0</v>
      </c>
      <c r="BH49" s="76">
        <v>0</v>
      </c>
      <c r="BI49" s="76">
        <v>0</v>
      </c>
      <c r="BJ49" s="76">
        <v>0</v>
      </c>
      <c r="BK49" s="76">
        <v>0</v>
      </c>
      <c r="BL49" s="76">
        <v>0</v>
      </c>
      <c r="BM49" s="76">
        <v>0</v>
      </c>
      <c r="BN49" s="76">
        <v>0</v>
      </c>
      <c r="BO49" s="76">
        <v>0</v>
      </c>
      <c r="BP49" s="76">
        <v>0</v>
      </c>
      <c r="BQ49" s="76">
        <v>0</v>
      </c>
      <c r="BR49" s="76">
        <v>0</v>
      </c>
      <c r="BS49" s="76">
        <v>0</v>
      </c>
      <c r="BT49" s="76">
        <v>0</v>
      </c>
      <c r="BU49" s="76">
        <v>0</v>
      </c>
      <c r="BV49" s="76">
        <v>0</v>
      </c>
      <c r="BW49" s="76">
        <v>0</v>
      </c>
      <c r="BX49" s="76">
        <v>0</v>
      </c>
      <c r="BY49" s="76">
        <v>0</v>
      </c>
      <c r="BZ49" s="76">
        <v>0</v>
      </c>
    </row>
    <row r="50" spans="1:78" x14ac:dyDescent="0.2">
      <c r="A50" s="62" t="s">
        <v>257</v>
      </c>
      <c r="B50" s="62" t="s">
        <v>11</v>
      </c>
      <c r="C50" s="62" t="s">
        <v>968</v>
      </c>
      <c r="D50" s="62" t="s">
        <v>231</v>
      </c>
      <c r="E50" s="76">
        <f>IF(B50="","",VLOOKUP(B50,dagsoorttabel1,2,FALSE))</f>
        <v>0.6</v>
      </c>
      <c r="F50" s="76">
        <v>1</v>
      </c>
      <c r="G50" s="76">
        <f>IF(prodnorm77&gt;0,1/ROUND(prodnorm77,4),0)</f>
        <v>0</v>
      </c>
      <c r="H50" s="66">
        <f>ROUND(uurtarief77,2)</f>
        <v>0</v>
      </c>
      <c r="I50" s="76">
        <v>0</v>
      </c>
      <c r="J50" s="76">
        <v>0</v>
      </c>
      <c r="K50" s="76">
        <v>0</v>
      </c>
      <c r="L50" s="76">
        <v>0</v>
      </c>
      <c r="M50" s="76">
        <v>0</v>
      </c>
      <c r="N50" s="76">
        <v>0</v>
      </c>
      <c r="O50" s="76">
        <v>0</v>
      </c>
      <c r="P50" s="76">
        <v>0</v>
      </c>
      <c r="Q50" s="76">
        <v>0</v>
      </c>
      <c r="R50" s="76">
        <v>0</v>
      </c>
      <c r="S50" s="76">
        <v>0</v>
      </c>
      <c r="T50" s="76">
        <v>20</v>
      </c>
      <c r="U50" s="76">
        <v>0</v>
      </c>
      <c r="V50" s="76">
        <v>31</v>
      </c>
      <c r="W50" s="76">
        <v>0</v>
      </c>
      <c r="X50" s="76">
        <v>0</v>
      </c>
      <c r="Y50" s="76">
        <v>33.6</v>
      </c>
      <c r="Z50" s="76">
        <v>19.399999999999999</v>
      </c>
      <c r="AA50" s="76">
        <v>40</v>
      </c>
      <c r="AB50" s="76">
        <v>95.4</v>
      </c>
      <c r="AC50" s="76">
        <v>26</v>
      </c>
      <c r="AD50" s="76">
        <v>0</v>
      </c>
      <c r="AE50" s="76">
        <v>0</v>
      </c>
      <c r="AF50" s="76">
        <v>0</v>
      </c>
      <c r="AG50" s="76">
        <v>0</v>
      </c>
      <c r="AH50" s="76">
        <v>0</v>
      </c>
      <c r="AI50" s="76">
        <v>0</v>
      </c>
      <c r="AJ50" s="76">
        <v>0</v>
      </c>
      <c r="AK50" s="76">
        <v>0</v>
      </c>
      <c r="AL50" s="76">
        <v>0</v>
      </c>
      <c r="AM50" s="76">
        <v>0</v>
      </c>
      <c r="AN50" s="76">
        <v>0</v>
      </c>
      <c r="AO50" s="76">
        <v>0</v>
      </c>
      <c r="AP50" s="76">
        <v>0</v>
      </c>
      <c r="AQ50" s="76">
        <v>0</v>
      </c>
      <c r="AR50" s="76">
        <v>0</v>
      </c>
      <c r="AS50" s="76">
        <v>0</v>
      </c>
      <c r="AT50" s="76">
        <v>0</v>
      </c>
      <c r="AU50" s="76">
        <v>55.7</v>
      </c>
      <c r="AV50" s="76">
        <v>0</v>
      </c>
      <c r="AW50" s="76">
        <v>0</v>
      </c>
      <c r="AX50" s="76">
        <v>0</v>
      </c>
      <c r="AY50" s="76">
        <v>0</v>
      </c>
      <c r="AZ50" s="76">
        <v>0</v>
      </c>
      <c r="BA50" s="76">
        <v>0</v>
      </c>
      <c r="BB50" s="76">
        <v>0</v>
      </c>
      <c r="BC50" s="76">
        <v>0</v>
      </c>
      <c r="BD50" s="76">
        <v>0</v>
      </c>
      <c r="BE50" s="76">
        <v>0</v>
      </c>
      <c r="BF50" s="76">
        <v>0</v>
      </c>
      <c r="BG50" s="76">
        <v>0</v>
      </c>
      <c r="BH50" s="76">
        <v>0</v>
      </c>
      <c r="BI50" s="76">
        <v>0</v>
      </c>
      <c r="BJ50" s="76">
        <v>0</v>
      </c>
      <c r="BK50" s="76">
        <v>0</v>
      </c>
      <c r="BL50" s="76">
        <v>0</v>
      </c>
      <c r="BM50" s="76">
        <v>0</v>
      </c>
      <c r="BN50" s="76">
        <v>0</v>
      </c>
      <c r="BO50" s="76">
        <v>0</v>
      </c>
      <c r="BP50" s="76">
        <v>0</v>
      </c>
      <c r="BQ50" s="76">
        <v>0</v>
      </c>
      <c r="BR50" s="76">
        <v>0</v>
      </c>
      <c r="BS50" s="76">
        <v>0</v>
      </c>
      <c r="BT50" s="76">
        <v>0</v>
      </c>
      <c r="BU50" s="76">
        <v>0</v>
      </c>
      <c r="BV50" s="76">
        <v>0</v>
      </c>
      <c r="BW50" s="76">
        <v>0</v>
      </c>
      <c r="BX50" s="76">
        <v>0</v>
      </c>
      <c r="BY50" s="76">
        <v>0</v>
      </c>
      <c r="BZ50" s="76">
        <v>0</v>
      </c>
    </row>
    <row r="51" spans="1:78" x14ac:dyDescent="0.2">
      <c r="A51" s="62" t="s">
        <v>257</v>
      </c>
      <c r="B51" s="62" t="s">
        <v>20</v>
      </c>
      <c r="C51" s="62" t="s">
        <v>968</v>
      </c>
      <c r="D51" s="62" t="s">
        <v>231</v>
      </c>
      <c r="E51" s="76">
        <f>IF(B51="","",VLOOKUP(B51,dagsoorttabel1,2,FALSE))</f>
        <v>1.5686274509803921E-2</v>
      </c>
      <c r="F51" s="76">
        <v>1</v>
      </c>
      <c r="G51" s="76">
        <f>IF(prodnorm78&gt;0,1/ROUND(prodnorm78,4),0)</f>
        <v>0</v>
      </c>
      <c r="H51" s="66">
        <f>ROUND(uurtarief78,2)</f>
        <v>0</v>
      </c>
      <c r="I51" s="76">
        <v>0</v>
      </c>
      <c r="J51" s="76">
        <v>0</v>
      </c>
      <c r="K51" s="76">
        <v>0</v>
      </c>
      <c r="L51" s="76">
        <v>0</v>
      </c>
      <c r="M51" s="76">
        <v>0</v>
      </c>
      <c r="N51" s="76">
        <v>0</v>
      </c>
      <c r="O51" s="76">
        <v>0</v>
      </c>
      <c r="P51" s="76">
        <v>0</v>
      </c>
      <c r="Q51" s="76">
        <v>0</v>
      </c>
      <c r="R51" s="76">
        <v>0</v>
      </c>
      <c r="S51" s="76">
        <v>0</v>
      </c>
      <c r="T51" s="76">
        <v>0</v>
      </c>
      <c r="U51" s="76">
        <v>0</v>
      </c>
      <c r="V51" s="76">
        <v>0</v>
      </c>
      <c r="W51" s="76">
        <v>0</v>
      </c>
      <c r="X51" s="76">
        <v>0</v>
      </c>
      <c r="Y51" s="76">
        <v>0</v>
      </c>
      <c r="Z51" s="76">
        <v>0</v>
      </c>
      <c r="AA51" s="76">
        <v>0</v>
      </c>
      <c r="AB51" s="76">
        <v>0</v>
      </c>
      <c r="AC51" s="76">
        <v>0</v>
      </c>
      <c r="AD51" s="76">
        <v>0</v>
      </c>
      <c r="AE51" s="76">
        <v>0</v>
      </c>
      <c r="AF51" s="76">
        <v>0</v>
      </c>
      <c r="AG51" s="76">
        <v>0</v>
      </c>
      <c r="AH51" s="76">
        <v>0</v>
      </c>
      <c r="AI51" s="76">
        <v>0</v>
      </c>
      <c r="AJ51" s="76">
        <v>0</v>
      </c>
      <c r="AK51" s="76">
        <v>0</v>
      </c>
      <c r="AL51" s="76">
        <v>0</v>
      </c>
      <c r="AM51" s="76">
        <v>0</v>
      </c>
      <c r="AN51" s="76">
        <v>0</v>
      </c>
      <c r="AO51" s="76">
        <v>0</v>
      </c>
      <c r="AP51" s="76">
        <v>0</v>
      </c>
      <c r="AQ51" s="76">
        <v>0</v>
      </c>
      <c r="AR51" s="76">
        <v>0</v>
      </c>
      <c r="AS51" s="76">
        <v>0</v>
      </c>
      <c r="AT51" s="76">
        <v>10.8</v>
      </c>
      <c r="AU51" s="76">
        <v>0</v>
      </c>
      <c r="AV51" s="76">
        <v>0</v>
      </c>
      <c r="AW51" s="76">
        <v>0</v>
      </c>
      <c r="AX51" s="76">
        <v>0</v>
      </c>
      <c r="AY51" s="76">
        <v>0</v>
      </c>
      <c r="AZ51" s="76">
        <v>0</v>
      </c>
      <c r="BA51" s="76">
        <v>0</v>
      </c>
      <c r="BB51" s="76">
        <v>0</v>
      </c>
      <c r="BC51" s="76">
        <v>0</v>
      </c>
      <c r="BD51" s="76">
        <v>0</v>
      </c>
      <c r="BE51" s="76">
        <v>0</v>
      </c>
      <c r="BF51" s="76">
        <v>0</v>
      </c>
      <c r="BG51" s="76">
        <v>0</v>
      </c>
      <c r="BH51" s="76">
        <v>0</v>
      </c>
      <c r="BI51" s="76">
        <v>0</v>
      </c>
      <c r="BJ51" s="76">
        <v>0</v>
      </c>
      <c r="BK51" s="76">
        <v>0</v>
      </c>
      <c r="BL51" s="76">
        <v>0</v>
      </c>
      <c r="BM51" s="76">
        <v>0</v>
      </c>
      <c r="BN51" s="76">
        <v>0</v>
      </c>
      <c r="BO51" s="76">
        <v>0</v>
      </c>
      <c r="BP51" s="76">
        <v>0</v>
      </c>
      <c r="BQ51" s="76">
        <v>0</v>
      </c>
      <c r="BR51" s="76">
        <v>0</v>
      </c>
      <c r="BS51" s="76">
        <v>0</v>
      </c>
      <c r="BT51" s="76">
        <v>0</v>
      </c>
      <c r="BU51" s="76">
        <v>0</v>
      </c>
      <c r="BV51" s="76">
        <v>0</v>
      </c>
      <c r="BW51" s="76">
        <v>0</v>
      </c>
      <c r="BX51" s="76">
        <v>0</v>
      </c>
      <c r="BY51" s="76">
        <v>0</v>
      </c>
      <c r="BZ51" s="76">
        <v>0</v>
      </c>
    </row>
    <row r="52" spans="1:78" x14ac:dyDescent="0.2">
      <c r="A52" s="62" t="s">
        <v>257</v>
      </c>
      <c r="B52" s="62" t="s">
        <v>10</v>
      </c>
      <c r="C52" s="62" t="s">
        <v>968</v>
      </c>
      <c r="D52" s="62" t="s">
        <v>231</v>
      </c>
      <c r="E52" s="76">
        <f>IF(B52="","",VLOOKUP(B52,dagsoorttabel1,2,FALSE))</f>
        <v>0.8</v>
      </c>
      <c r="F52" s="76">
        <v>1</v>
      </c>
      <c r="G52" s="76">
        <f>IF(prodnorm79&gt;0,1/ROUND(prodnorm79,4),0)</f>
        <v>0</v>
      </c>
      <c r="H52" s="66">
        <f>ROUND(uurtarief79,2)</f>
        <v>0</v>
      </c>
      <c r="I52" s="76">
        <v>9.3000000000000007</v>
      </c>
      <c r="J52" s="76">
        <v>0</v>
      </c>
      <c r="K52" s="76">
        <v>0</v>
      </c>
      <c r="L52" s="76">
        <v>0</v>
      </c>
      <c r="M52" s="76">
        <v>0</v>
      </c>
      <c r="N52" s="76">
        <v>0</v>
      </c>
      <c r="O52" s="76">
        <v>0</v>
      </c>
      <c r="P52" s="76">
        <v>0</v>
      </c>
      <c r="Q52" s="76">
        <v>0</v>
      </c>
      <c r="R52" s="76">
        <v>0</v>
      </c>
      <c r="S52" s="76">
        <v>0</v>
      </c>
      <c r="T52" s="76">
        <v>0</v>
      </c>
      <c r="U52" s="76">
        <v>0</v>
      </c>
      <c r="V52" s="76">
        <v>0</v>
      </c>
      <c r="W52" s="76">
        <v>0</v>
      </c>
      <c r="X52" s="76">
        <v>0</v>
      </c>
      <c r="Y52" s="76">
        <v>0</v>
      </c>
      <c r="Z52" s="76">
        <v>0</v>
      </c>
      <c r="AA52" s="76">
        <v>0</v>
      </c>
      <c r="AB52" s="76">
        <v>0</v>
      </c>
      <c r="AC52" s="76">
        <v>0</v>
      </c>
      <c r="AD52" s="76">
        <v>0</v>
      </c>
      <c r="AE52" s="76">
        <v>0</v>
      </c>
      <c r="AF52" s="76">
        <v>0</v>
      </c>
      <c r="AG52" s="76">
        <v>0</v>
      </c>
      <c r="AH52" s="76">
        <v>0</v>
      </c>
      <c r="AI52" s="76">
        <v>0</v>
      </c>
      <c r="AJ52" s="76">
        <v>0</v>
      </c>
      <c r="AK52" s="76">
        <v>0</v>
      </c>
      <c r="AL52" s="76">
        <v>0</v>
      </c>
      <c r="AM52" s="76">
        <v>0</v>
      </c>
      <c r="AN52" s="76">
        <v>0</v>
      </c>
      <c r="AO52" s="76">
        <v>0</v>
      </c>
      <c r="AP52" s="76">
        <v>0</v>
      </c>
      <c r="AQ52" s="76">
        <v>0</v>
      </c>
      <c r="AR52" s="76">
        <v>0</v>
      </c>
      <c r="AS52" s="76">
        <v>0</v>
      </c>
      <c r="AT52" s="76">
        <v>0</v>
      </c>
      <c r="AU52" s="76">
        <v>0</v>
      </c>
      <c r="AV52" s="76">
        <v>0</v>
      </c>
      <c r="AW52" s="76">
        <v>0</v>
      </c>
      <c r="AX52" s="76">
        <v>0</v>
      </c>
      <c r="AY52" s="76">
        <v>0</v>
      </c>
      <c r="AZ52" s="76">
        <v>0</v>
      </c>
      <c r="BA52" s="76">
        <v>0</v>
      </c>
      <c r="BB52" s="76">
        <v>0</v>
      </c>
      <c r="BC52" s="76">
        <v>0</v>
      </c>
      <c r="BD52" s="76">
        <v>0</v>
      </c>
      <c r="BE52" s="76">
        <v>0</v>
      </c>
      <c r="BF52" s="76">
        <v>0</v>
      </c>
      <c r="BG52" s="76">
        <v>0</v>
      </c>
      <c r="BH52" s="76">
        <v>0</v>
      </c>
      <c r="BI52" s="76">
        <v>0</v>
      </c>
      <c r="BJ52" s="76">
        <v>0</v>
      </c>
      <c r="BK52" s="76">
        <v>0</v>
      </c>
      <c r="BL52" s="76">
        <v>0</v>
      </c>
      <c r="BM52" s="76">
        <v>0</v>
      </c>
      <c r="BN52" s="76">
        <v>0</v>
      </c>
      <c r="BO52" s="76">
        <v>0</v>
      </c>
      <c r="BP52" s="76">
        <v>0</v>
      </c>
      <c r="BQ52" s="76">
        <v>0</v>
      </c>
      <c r="BR52" s="76">
        <v>0</v>
      </c>
      <c r="BS52" s="76">
        <v>0</v>
      </c>
      <c r="BT52" s="76">
        <v>0</v>
      </c>
      <c r="BU52" s="76">
        <v>0</v>
      </c>
      <c r="BV52" s="76">
        <v>0</v>
      </c>
      <c r="BW52" s="76">
        <v>0</v>
      </c>
      <c r="BX52" s="76">
        <v>0</v>
      </c>
      <c r="BY52" s="76">
        <v>0</v>
      </c>
      <c r="BZ52" s="76">
        <v>0</v>
      </c>
    </row>
    <row r="53" spans="1:78" x14ac:dyDescent="0.2">
      <c r="A53" s="62" t="s">
        <v>257</v>
      </c>
      <c r="B53" s="62" t="s">
        <v>9</v>
      </c>
      <c r="C53" s="62" t="s">
        <v>968</v>
      </c>
      <c r="D53" s="62" t="s">
        <v>231</v>
      </c>
      <c r="E53" s="76">
        <f>IF(B53="","",VLOOKUP(B53,dagsoorttabel1,2,FALSE))</f>
        <v>1</v>
      </c>
      <c r="F53" s="76">
        <v>1</v>
      </c>
      <c r="G53" s="76">
        <f>IF(prodnorm80&gt;0,1/ROUND(prodnorm80,4),0)</f>
        <v>0</v>
      </c>
      <c r="H53" s="66">
        <f>ROUND(uurtarief80,2)</f>
        <v>0</v>
      </c>
      <c r="I53" s="76">
        <v>155.19999999999999</v>
      </c>
      <c r="J53" s="76">
        <v>0</v>
      </c>
      <c r="K53" s="76">
        <v>112.6</v>
      </c>
      <c r="L53" s="76">
        <v>57</v>
      </c>
      <c r="M53" s="76">
        <v>19.7</v>
      </c>
      <c r="N53" s="76">
        <v>0</v>
      </c>
      <c r="O53" s="76">
        <v>0</v>
      </c>
      <c r="P53" s="76">
        <v>0</v>
      </c>
      <c r="Q53" s="76">
        <v>0</v>
      </c>
      <c r="R53" s="76">
        <v>47.2</v>
      </c>
      <c r="S53" s="76">
        <v>0</v>
      </c>
      <c r="T53" s="76">
        <v>0</v>
      </c>
      <c r="U53" s="76">
        <v>0</v>
      </c>
      <c r="V53" s="76">
        <v>0</v>
      </c>
      <c r="W53" s="76">
        <v>0</v>
      </c>
      <c r="X53" s="76">
        <v>0</v>
      </c>
      <c r="Y53" s="76">
        <v>0</v>
      </c>
      <c r="Z53" s="76">
        <v>0</v>
      </c>
      <c r="AA53" s="76">
        <v>0</v>
      </c>
      <c r="AB53" s="76">
        <v>0</v>
      </c>
      <c r="AC53" s="76">
        <v>0</v>
      </c>
      <c r="AD53" s="76">
        <v>0</v>
      </c>
      <c r="AE53" s="76">
        <v>0</v>
      </c>
      <c r="AF53" s="76">
        <v>0</v>
      </c>
      <c r="AG53" s="76">
        <v>0</v>
      </c>
      <c r="AH53" s="76">
        <v>0</v>
      </c>
      <c r="AI53" s="76">
        <v>0</v>
      </c>
      <c r="AJ53" s="76">
        <v>0</v>
      </c>
      <c r="AK53" s="76">
        <v>0</v>
      </c>
      <c r="AL53" s="76">
        <v>0</v>
      </c>
      <c r="AM53" s="76">
        <v>0</v>
      </c>
      <c r="AN53" s="76">
        <v>0</v>
      </c>
      <c r="AO53" s="76">
        <v>0</v>
      </c>
      <c r="AP53" s="76">
        <v>0</v>
      </c>
      <c r="AQ53" s="76">
        <v>0</v>
      </c>
      <c r="AR53" s="76">
        <v>0</v>
      </c>
      <c r="AS53" s="76">
        <v>0</v>
      </c>
      <c r="AT53" s="76">
        <v>0</v>
      </c>
      <c r="AU53" s="76">
        <v>0</v>
      </c>
      <c r="AV53" s="76">
        <v>0</v>
      </c>
      <c r="AW53" s="76">
        <v>0</v>
      </c>
      <c r="AX53" s="76">
        <v>0</v>
      </c>
      <c r="AY53" s="76">
        <v>0</v>
      </c>
      <c r="AZ53" s="76">
        <v>0</v>
      </c>
      <c r="BA53" s="76">
        <v>0</v>
      </c>
      <c r="BB53" s="76">
        <v>0</v>
      </c>
      <c r="BC53" s="76">
        <v>0</v>
      </c>
      <c r="BD53" s="76">
        <v>0</v>
      </c>
      <c r="BE53" s="76">
        <v>0</v>
      </c>
      <c r="BF53" s="76">
        <v>0</v>
      </c>
      <c r="BG53" s="76">
        <v>0</v>
      </c>
      <c r="BH53" s="76">
        <v>0</v>
      </c>
      <c r="BI53" s="76">
        <v>0</v>
      </c>
      <c r="BJ53" s="76">
        <v>0</v>
      </c>
      <c r="BK53" s="76">
        <v>0</v>
      </c>
      <c r="BL53" s="76">
        <v>0</v>
      </c>
      <c r="BM53" s="76">
        <v>0</v>
      </c>
      <c r="BN53" s="76">
        <v>0</v>
      </c>
      <c r="BO53" s="76">
        <v>0</v>
      </c>
      <c r="BP53" s="76">
        <v>0</v>
      </c>
      <c r="BQ53" s="76">
        <v>0</v>
      </c>
      <c r="BR53" s="76">
        <v>0</v>
      </c>
      <c r="BS53" s="76">
        <v>0</v>
      </c>
      <c r="BT53" s="76">
        <v>0</v>
      </c>
      <c r="BU53" s="76">
        <v>0</v>
      </c>
      <c r="BV53" s="76">
        <v>0</v>
      </c>
      <c r="BW53" s="76">
        <v>0</v>
      </c>
      <c r="BX53" s="76">
        <v>0</v>
      </c>
      <c r="BY53" s="76">
        <v>0</v>
      </c>
      <c r="BZ53" s="76">
        <v>0</v>
      </c>
    </row>
    <row r="54" spans="1:78" x14ac:dyDescent="0.2">
      <c r="A54" s="62" t="s">
        <v>259</v>
      </c>
      <c r="B54" s="62" t="s">
        <v>10</v>
      </c>
      <c r="C54" s="62" t="s">
        <v>968</v>
      </c>
      <c r="D54" s="62" t="s">
        <v>231</v>
      </c>
      <c r="E54" s="76">
        <f>IF(B54="","",VLOOKUP(B54,dagsoorttabel1,2,FALSE))</f>
        <v>0.8</v>
      </c>
      <c r="F54" s="76">
        <v>1</v>
      </c>
      <c r="G54" s="76">
        <f>IF(prodnorm81&gt;0,1/ROUND(prodnorm81,4),0)</f>
        <v>0</v>
      </c>
      <c r="H54" s="66">
        <f>ROUND(uurtarief81,2)</f>
        <v>0</v>
      </c>
      <c r="I54" s="76">
        <v>90</v>
      </c>
      <c r="J54" s="76">
        <v>0</v>
      </c>
      <c r="K54" s="76">
        <v>0</v>
      </c>
      <c r="L54" s="76">
        <v>0</v>
      </c>
      <c r="M54" s="76">
        <v>0</v>
      </c>
      <c r="N54" s="76">
        <v>0</v>
      </c>
      <c r="O54" s="76">
        <v>0</v>
      </c>
      <c r="P54" s="76">
        <v>0</v>
      </c>
      <c r="Q54" s="76">
        <v>0</v>
      </c>
      <c r="R54" s="76">
        <v>0</v>
      </c>
      <c r="S54" s="76">
        <v>0</v>
      </c>
      <c r="T54" s="76">
        <v>0</v>
      </c>
      <c r="U54" s="76">
        <v>0</v>
      </c>
      <c r="V54" s="76">
        <v>0</v>
      </c>
      <c r="W54" s="76">
        <v>0</v>
      </c>
      <c r="X54" s="76">
        <v>0</v>
      </c>
      <c r="Y54" s="76">
        <v>0</v>
      </c>
      <c r="Z54" s="76">
        <v>0</v>
      </c>
      <c r="AA54" s="76">
        <v>0</v>
      </c>
      <c r="AB54" s="76">
        <v>0</v>
      </c>
      <c r="AC54" s="76">
        <v>0</v>
      </c>
      <c r="AD54" s="76">
        <v>0</v>
      </c>
      <c r="AE54" s="76">
        <v>0</v>
      </c>
      <c r="AF54" s="76">
        <v>0</v>
      </c>
      <c r="AG54" s="76">
        <v>0</v>
      </c>
      <c r="AH54" s="76">
        <v>0</v>
      </c>
      <c r="AI54" s="76">
        <v>0</v>
      </c>
      <c r="AJ54" s="76">
        <v>0</v>
      </c>
      <c r="AK54" s="76">
        <v>0</v>
      </c>
      <c r="AL54" s="76">
        <v>0</v>
      </c>
      <c r="AM54" s="76">
        <v>0</v>
      </c>
      <c r="AN54" s="76">
        <v>0</v>
      </c>
      <c r="AO54" s="76">
        <v>0</v>
      </c>
      <c r="AP54" s="76">
        <v>0</v>
      </c>
      <c r="AQ54" s="76">
        <v>0</v>
      </c>
      <c r="AR54" s="76">
        <v>0</v>
      </c>
      <c r="AS54" s="76">
        <v>0</v>
      </c>
      <c r="AT54" s="76">
        <v>0</v>
      </c>
      <c r="AU54" s="76">
        <v>0</v>
      </c>
      <c r="AV54" s="76">
        <v>0</v>
      </c>
      <c r="AW54" s="76">
        <v>0</v>
      </c>
      <c r="AX54" s="76">
        <v>0</v>
      </c>
      <c r="AY54" s="76">
        <v>0</v>
      </c>
      <c r="AZ54" s="76">
        <v>0</v>
      </c>
      <c r="BA54" s="76">
        <v>0</v>
      </c>
      <c r="BB54" s="76">
        <v>0</v>
      </c>
      <c r="BC54" s="76">
        <v>0</v>
      </c>
      <c r="BD54" s="76">
        <v>0</v>
      </c>
      <c r="BE54" s="76">
        <v>0</v>
      </c>
      <c r="BF54" s="76">
        <v>0</v>
      </c>
      <c r="BG54" s="76">
        <v>0</v>
      </c>
      <c r="BH54" s="76">
        <v>0</v>
      </c>
      <c r="BI54" s="76">
        <v>0</v>
      </c>
      <c r="BJ54" s="76">
        <v>0</v>
      </c>
      <c r="BK54" s="76">
        <v>0</v>
      </c>
      <c r="BL54" s="76">
        <v>0</v>
      </c>
      <c r="BM54" s="76">
        <v>0</v>
      </c>
      <c r="BN54" s="76">
        <v>0</v>
      </c>
      <c r="BO54" s="76">
        <v>0</v>
      </c>
      <c r="BP54" s="76">
        <v>0</v>
      </c>
      <c r="BQ54" s="76">
        <v>0</v>
      </c>
      <c r="BR54" s="76">
        <v>0</v>
      </c>
      <c r="BS54" s="76">
        <v>0</v>
      </c>
      <c r="BT54" s="76">
        <v>0</v>
      </c>
      <c r="BU54" s="76">
        <v>0</v>
      </c>
      <c r="BV54" s="76">
        <v>0</v>
      </c>
      <c r="BW54" s="76">
        <v>0</v>
      </c>
      <c r="BX54" s="76">
        <v>0</v>
      </c>
      <c r="BY54" s="76">
        <v>0</v>
      </c>
      <c r="BZ54" s="76">
        <v>0</v>
      </c>
    </row>
    <row r="55" spans="1:78" x14ac:dyDescent="0.2">
      <c r="A55" s="62" t="s">
        <v>259</v>
      </c>
      <c r="B55" s="62" t="s">
        <v>9</v>
      </c>
      <c r="C55" s="62" t="s">
        <v>968</v>
      </c>
      <c r="D55" s="62" t="s">
        <v>231</v>
      </c>
      <c r="E55" s="76">
        <f>IF(B55="","",VLOOKUP(B55,dagsoorttabel1,2,FALSE))</f>
        <v>1</v>
      </c>
      <c r="F55" s="76">
        <v>1</v>
      </c>
      <c r="G55" s="76">
        <f>IF(prodnorm82&gt;0,1/ROUND(prodnorm82,4),0)</f>
        <v>0</v>
      </c>
      <c r="H55" s="66">
        <f>ROUND(uurtarief82,2)</f>
        <v>0</v>
      </c>
      <c r="I55" s="76">
        <v>347.29999999999995</v>
      </c>
      <c r="J55" s="76">
        <v>0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6">
        <v>0</v>
      </c>
      <c r="Q55" s="76">
        <v>0</v>
      </c>
      <c r="R55" s="76">
        <v>0</v>
      </c>
      <c r="S55" s="76">
        <v>0</v>
      </c>
      <c r="T55" s="76">
        <v>0</v>
      </c>
      <c r="U55" s="76">
        <v>0</v>
      </c>
      <c r="V55" s="76">
        <v>0</v>
      </c>
      <c r="W55" s="76">
        <v>0</v>
      </c>
      <c r="X55" s="76">
        <v>0</v>
      </c>
      <c r="Y55" s="76">
        <v>0</v>
      </c>
      <c r="Z55" s="76">
        <v>0</v>
      </c>
      <c r="AA55" s="76">
        <v>0</v>
      </c>
      <c r="AB55" s="76">
        <v>0</v>
      </c>
      <c r="AC55" s="76">
        <v>0</v>
      </c>
      <c r="AD55" s="76">
        <v>0</v>
      </c>
      <c r="AE55" s="76">
        <v>0</v>
      </c>
      <c r="AF55" s="76">
        <v>0</v>
      </c>
      <c r="AG55" s="76">
        <v>0</v>
      </c>
      <c r="AH55" s="76">
        <v>0</v>
      </c>
      <c r="AI55" s="76">
        <v>0</v>
      </c>
      <c r="AJ55" s="76">
        <v>0</v>
      </c>
      <c r="AK55" s="76">
        <v>0</v>
      </c>
      <c r="AL55" s="76">
        <v>0</v>
      </c>
      <c r="AM55" s="76">
        <v>0</v>
      </c>
      <c r="AN55" s="76">
        <v>0</v>
      </c>
      <c r="AO55" s="76">
        <v>0</v>
      </c>
      <c r="AP55" s="76">
        <v>0</v>
      </c>
      <c r="AQ55" s="76">
        <v>0</v>
      </c>
      <c r="AR55" s="76">
        <v>0</v>
      </c>
      <c r="AS55" s="76">
        <v>0</v>
      </c>
      <c r="AT55" s="76">
        <v>0</v>
      </c>
      <c r="AU55" s="76">
        <v>0</v>
      </c>
      <c r="AV55" s="76">
        <v>0</v>
      </c>
      <c r="AW55" s="76">
        <v>0</v>
      </c>
      <c r="AX55" s="76">
        <v>0</v>
      </c>
      <c r="AY55" s="76">
        <v>0</v>
      </c>
      <c r="AZ55" s="76">
        <v>0</v>
      </c>
      <c r="BA55" s="76">
        <v>0</v>
      </c>
      <c r="BB55" s="76">
        <v>0</v>
      </c>
      <c r="BC55" s="76">
        <v>0</v>
      </c>
      <c r="BD55" s="76">
        <v>0</v>
      </c>
      <c r="BE55" s="76">
        <v>0</v>
      </c>
      <c r="BF55" s="76">
        <v>0</v>
      </c>
      <c r="BG55" s="76">
        <v>0</v>
      </c>
      <c r="BH55" s="76">
        <v>0</v>
      </c>
      <c r="BI55" s="76">
        <v>0</v>
      </c>
      <c r="BJ55" s="76">
        <v>0</v>
      </c>
      <c r="BK55" s="76">
        <v>0</v>
      </c>
      <c r="BL55" s="76">
        <v>0</v>
      </c>
      <c r="BM55" s="76">
        <v>0</v>
      </c>
      <c r="BN55" s="76">
        <v>0</v>
      </c>
      <c r="BO55" s="76">
        <v>0</v>
      </c>
      <c r="BP55" s="76">
        <v>0</v>
      </c>
      <c r="BQ55" s="76">
        <v>0</v>
      </c>
      <c r="BR55" s="76">
        <v>0</v>
      </c>
      <c r="BS55" s="76">
        <v>0</v>
      </c>
      <c r="BT55" s="76">
        <v>0</v>
      </c>
      <c r="BU55" s="76">
        <v>0</v>
      </c>
      <c r="BV55" s="76">
        <v>0</v>
      </c>
      <c r="BW55" s="76">
        <v>0</v>
      </c>
      <c r="BX55" s="76">
        <v>0</v>
      </c>
      <c r="BY55" s="76">
        <v>0</v>
      </c>
      <c r="BZ55" s="76">
        <v>0</v>
      </c>
    </row>
    <row r="56" spans="1:78" x14ac:dyDescent="0.2">
      <c r="A56" s="62" t="s">
        <v>261</v>
      </c>
      <c r="B56" s="62" t="s">
        <v>13</v>
      </c>
      <c r="C56" s="62" t="s">
        <v>968</v>
      </c>
      <c r="D56" s="62" t="s">
        <v>231</v>
      </c>
      <c r="E56" s="76">
        <f>IF(B56="","",VLOOKUP(B56,dagsoorttabel1,2,FALSE))</f>
        <v>0.2</v>
      </c>
      <c r="F56" s="76">
        <v>1</v>
      </c>
      <c r="G56" s="76">
        <f>IF(prodnorm83&gt;0,1/ROUND(prodnorm83,4),0)</f>
        <v>0</v>
      </c>
      <c r="H56" s="66">
        <f>ROUND(uurtarief83,2)</f>
        <v>0</v>
      </c>
      <c r="I56" s="76">
        <v>0</v>
      </c>
      <c r="J56" s="76">
        <v>0</v>
      </c>
      <c r="K56" s="76">
        <v>0</v>
      </c>
      <c r="L56" s="76">
        <v>0</v>
      </c>
      <c r="M56" s="76">
        <v>0</v>
      </c>
      <c r="N56" s="76">
        <v>0</v>
      </c>
      <c r="O56" s="76">
        <v>0</v>
      </c>
      <c r="P56" s="76">
        <v>0</v>
      </c>
      <c r="Q56" s="76">
        <v>0</v>
      </c>
      <c r="R56" s="76">
        <v>0</v>
      </c>
      <c r="S56" s="76">
        <v>0</v>
      </c>
      <c r="T56" s="76">
        <v>0</v>
      </c>
      <c r="U56" s="76">
        <v>0</v>
      </c>
      <c r="V56" s="76">
        <v>0</v>
      </c>
      <c r="W56" s="76">
        <v>2</v>
      </c>
      <c r="X56" s="76">
        <v>0</v>
      </c>
      <c r="Y56" s="76">
        <v>0</v>
      </c>
      <c r="Z56" s="76">
        <v>0</v>
      </c>
      <c r="AA56" s="76">
        <v>0</v>
      </c>
      <c r="AB56" s="76">
        <v>0</v>
      </c>
      <c r="AC56" s="76">
        <v>0</v>
      </c>
      <c r="AD56" s="76">
        <v>0</v>
      </c>
      <c r="AE56" s="76">
        <v>0</v>
      </c>
      <c r="AF56" s="76">
        <v>0</v>
      </c>
      <c r="AG56" s="76">
        <v>0</v>
      </c>
      <c r="AH56" s="76">
        <v>0</v>
      </c>
      <c r="AI56" s="76">
        <v>0</v>
      </c>
      <c r="AJ56" s="76">
        <v>0</v>
      </c>
      <c r="AK56" s="76">
        <v>0</v>
      </c>
      <c r="AL56" s="76">
        <v>0</v>
      </c>
      <c r="AM56" s="76">
        <v>0</v>
      </c>
      <c r="AN56" s="76">
        <v>0</v>
      </c>
      <c r="AO56" s="76">
        <v>0</v>
      </c>
      <c r="AP56" s="76">
        <v>0</v>
      </c>
      <c r="AQ56" s="76">
        <v>0</v>
      </c>
      <c r="AR56" s="76">
        <v>0</v>
      </c>
      <c r="AS56" s="76">
        <v>0</v>
      </c>
      <c r="AT56" s="76">
        <v>0</v>
      </c>
      <c r="AU56" s="76">
        <v>0</v>
      </c>
      <c r="AV56" s="76">
        <v>0</v>
      </c>
      <c r="AW56" s="76">
        <v>0</v>
      </c>
      <c r="AX56" s="76">
        <v>0</v>
      </c>
      <c r="AY56" s="76">
        <v>0</v>
      </c>
      <c r="AZ56" s="76">
        <v>0</v>
      </c>
      <c r="BA56" s="76">
        <v>0</v>
      </c>
      <c r="BB56" s="76">
        <v>0</v>
      </c>
      <c r="BC56" s="76">
        <v>0</v>
      </c>
      <c r="BD56" s="76">
        <v>0</v>
      </c>
      <c r="BE56" s="76">
        <v>0</v>
      </c>
      <c r="BF56" s="76">
        <v>0</v>
      </c>
      <c r="BG56" s="76">
        <v>0</v>
      </c>
      <c r="BH56" s="76">
        <v>0</v>
      </c>
      <c r="BI56" s="76">
        <v>0</v>
      </c>
      <c r="BJ56" s="76">
        <v>0</v>
      </c>
      <c r="BK56" s="76">
        <v>0</v>
      </c>
      <c r="BL56" s="76">
        <v>0</v>
      </c>
      <c r="BM56" s="76">
        <v>0</v>
      </c>
      <c r="BN56" s="76">
        <v>0</v>
      </c>
      <c r="BO56" s="76">
        <v>0</v>
      </c>
      <c r="BP56" s="76">
        <v>0</v>
      </c>
      <c r="BQ56" s="76">
        <v>0</v>
      </c>
      <c r="BR56" s="76">
        <v>0</v>
      </c>
      <c r="BS56" s="76">
        <v>0</v>
      </c>
      <c r="BT56" s="76">
        <v>0</v>
      </c>
      <c r="BU56" s="76">
        <v>0</v>
      </c>
      <c r="BV56" s="76">
        <v>0</v>
      </c>
      <c r="BW56" s="76">
        <v>0</v>
      </c>
      <c r="BX56" s="76">
        <v>0</v>
      </c>
      <c r="BY56" s="76">
        <v>0</v>
      </c>
      <c r="BZ56" s="76">
        <v>0</v>
      </c>
    </row>
    <row r="57" spans="1:78" x14ac:dyDescent="0.2">
      <c r="A57" s="62" t="s">
        <v>261</v>
      </c>
      <c r="B57" s="62" t="s">
        <v>12</v>
      </c>
      <c r="C57" s="62" t="s">
        <v>968</v>
      </c>
      <c r="D57" s="62" t="s">
        <v>231</v>
      </c>
      <c r="E57" s="76">
        <f>IF(B57="","",VLOOKUP(B57,dagsoorttabel1,2,FALSE))</f>
        <v>0.4</v>
      </c>
      <c r="F57" s="76">
        <v>1</v>
      </c>
      <c r="G57" s="76">
        <f>IF(prodnorm84&gt;0,1/ROUND(prodnorm84,4),0)</f>
        <v>0</v>
      </c>
      <c r="H57" s="66">
        <f>ROUND(uurtarief84,2)</f>
        <v>0</v>
      </c>
      <c r="I57" s="76">
        <v>0</v>
      </c>
      <c r="J57" s="76">
        <v>0</v>
      </c>
      <c r="K57" s="76">
        <v>0</v>
      </c>
      <c r="L57" s="76">
        <v>0</v>
      </c>
      <c r="M57" s="76">
        <v>0</v>
      </c>
      <c r="N57" s="76">
        <v>0</v>
      </c>
      <c r="O57" s="76">
        <v>0</v>
      </c>
      <c r="P57" s="76">
        <v>0</v>
      </c>
      <c r="Q57" s="76">
        <v>0</v>
      </c>
      <c r="R57" s="76">
        <v>0</v>
      </c>
      <c r="S57" s="76">
        <v>0</v>
      </c>
      <c r="T57" s="76">
        <v>0</v>
      </c>
      <c r="U57" s="76">
        <v>0</v>
      </c>
      <c r="V57" s="76">
        <v>0</v>
      </c>
      <c r="W57" s="76">
        <v>0</v>
      </c>
      <c r="X57" s="76">
        <v>0</v>
      </c>
      <c r="Y57" s="76">
        <v>0</v>
      </c>
      <c r="Z57" s="76">
        <v>0</v>
      </c>
      <c r="AA57" s="76">
        <v>0</v>
      </c>
      <c r="AB57" s="76">
        <v>0</v>
      </c>
      <c r="AC57" s="76">
        <v>0</v>
      </c>
      <c r="AD57" s="76">
        <v>0</v>
      </c>
      <c r="AE57" s="76">
        <v>0</v>
      </c>
      <c r="AF57" s="76">
        <v>0</v>
      </c>
      <c r="AG57" s="76">
        <v>0</v>
      </c>
      <c r="AH57" s="76">
        <v>0</v>
      </c>
      <c r="AI57" s="76">
        <v>0</v>
      </c>
      <c r="AJ57" s="76">
        <v>0</v>
      </c>
      <c r="AK57" s="76">
        <v>0</v>
      </c>
      <c r="AL57" s="76">
        <v>0</v>
      </c>
      <c r="AM57" s="76">
        <v>0</v>
      </c>
      <c r="AN57" s="76">
        <v>0</v>
      </c>
      <c r="AO57" s="76">
        <v>0</v>
      </c>
      <c r="AP57" s="76">
        <v>0</v>
      </c>
      <c r="AQ57" s="76">
        <v>0</v>
      </c>
      <c r="AR57" s="76">
        <v>1.4</v>
      </c>
      <c r="AS57" s="76">
        <v>0</v>
      </c>
      <c r="AT57" s="76">
        <v>0</v>
      </c>
      <c r="AU57" s="76">
        <v>0</v>
      </c>
      <c r="AV57" s="76">
        <v>0</v>
      </c>
      <c r="AW57" s="76">
        <v>0</v>
      </c>
      <c r="AX57" s="76">
        <v>0</v>
      </c>
      <c r="AY57" s="76">
        <v>0</v>
      </c>
      <c r="AZ57" s="76">
        <v>0</v>
      </c>
      <c r="BA57" s="76">
        <v>0</v>
      </c>
      <c r="BB57" s="76">
        <v>0</v>
      </c>
      <c r="BC57" s="76">
        <v>0</v>
      </c>
      <c r="BD57" s="76">
        <v>0</v>
      </c>
      <c r="BE57" s="76">
        <v>0</v>
      </c>
      <c r="BF57" s="76">
        <v>0</v>
      </c>
      <c r="BG57" s="76">
        <v>0</v>
      </c>
      <c r="BH57" s="76">
        <v>0</v>
      </c>
      <c r="BI57" s="76">
        <v>0</v>
      </c>
      <c r="BJ57" s="76">
        <v>0</v>
      </c>
      <c r="BK57" s="76">
        <v>0</v>
      </c>
      <c r="BL57" s="76">
        <v>0</v>
      </c>
      <c r="BM57" s="76">
        <v>0</v>
      </c>
      <c r="BN57" s="76">
        <v>0</v>
      </c>
      <c r="BO57" s="76">
        <v>0</v>
      </c>
      <c r="BP57" s="76">
        <v>0</v>
      </c>
      <c r="BQ57" s="76">
        <v>0</v>
      </c>
      <c r="BR57" s="76">
        <v>0</v>
      </c>
      <c r="BS57" s="76">
        <v>0</v>
      </c>
      <c r="BT57" s="76">
        <v>0</v>
      </c>
      <c r="BU57" s="76">
        <v>0</v>
      </c>
      <c r="BV57" s="76">
        <v>0</v>
      </c>
      <c r="BW57" s="76">
        <v>0</v>
      </c>
      <c r="BX57" s="76">
        <v>0</v>
      </c>
      <c r="BY57" s="76">
        <v>0</v>
      </c>
      <c r="BZ57" s="76">
        <v>0</v>
      </c>
    </row>
    <row r="58" spans="1:78" x14ac:dyDescent="0.2">
      <c r="A58" s="62" t="s">
        <v>261</v>
      </c>
      <c r="B58" s="62" t="s">
        <v>11</v>
      </c>
      <c r="C58" s="62" t="s">
        <v>968</v>
      </c>
      <c r="D58" s="62" t="s">
        <v>231</v>
      </c>
      <c r="E58" s="76">
        <f>IF(B58="","",VLOOKUP(B58,dagsoorttabel1,2,FALSE))</f>
        <v>0.6</v>
      </c>
      <c r="F58" s="76">
        <v>1</v>
      </c>
      <c r="G58" s="76">
        <f>IF(prodnorm85&gt;0,1/ROUND(prodnorm85,4),0)</f>
        <v>0</v>
      </c>
      <c r="H58" s="66">
        <f>ROUND(uurtarief85,2)</f>
        <v>0</v>
      </c>
      <c r="I58" s="76">
        <v>0</v>
      </c>
      <c r="J58" s="76">
        <v>0</v>
      </c>
      <c r="K58" s="76">
        <v>0</v>
      </c>
      <c r="L58" s="76">
        <v>0</v>
      </c>
      <c r="M58" s="76">
        <v>0</v>
      </c>
      <c r="N58" s="76">
        <v>0</v>
      </c>
      <c r="O58" s="76">
        <v>0</v>
      </c>
      <c r="P58" s="76">
        <v>0</v>
      </c>
      <c r="Q58" s="76">
        <v>0</v>
      </c>
      <c r="R58" s="76">
        <v>0</v>
      </c>
      <c r="S58" s="76">
        <v>0</v>
      </c>
      <c r="T58" s="76">
        <v>0</v>
      </c>
      <c r="U58" s="76">
        <v>0</v>
      </c>
      <c r="V58" s="76">
        <v>2</v>
      </c>
      <c r="W58" s="76">
        <v>0</v>
      </c>
      <c r="X58" s="76">
        <v>0</v>
      </c>
      <c r="Y58" s="76">
        <v>0</v>
      </c>
      <c r="Z58" s="76">
        <v>0</v>
      </c>
      <c r="AA58" s="76">
        <v>0</v>
      </c>
      <c r="AB58" s="76">
        <v>6.3</v>
      </c>
      <c r="AC58" s="76">
        <v>0</v>
      </c>
      <c r="AD58" s="76">
        <v>0</v>
      </c>
      <c r="AE58" s="76">
        <v>0</v>
      </c>
      <c r="AF58" s="76">
        <v>0</v>
      </c>
      <c r="AG58" s="76">
        <v>0</v>
      </c>
      <c r="AH58" s="76">
        <v>0</v>
      </c>
      <c r="AI58" s="76">
        <v>0</v>
      </c>
      <c r="AJ58" s="76">
        <v>0</v>
      </c>
      <c r="AK58" s="76">
        <v>0</v>
      </c>
      <c r="AL58" s="76">
        <v>0</v>
      </c>
      <c r="AM58" s="76">
        <v>0</v>
      </c>
      <c r="AN58" s="76">
        <v>0</v>
      </c>
      <c r="AO58" s="76">
        <v>0</v>
      </c>
      <c r="AP58" s="76">
        <v>0</v>
      </c>
      <c r="AQ58" s="76">
        <v>0</v>
      </c>
      <c r="AR58" s="76">
        <v>0</v>
      </c>
      <c r="AS58" s="76">
        <v>0</v>
      </c>
      <c r="AT58" s="76">
        <v>0</v>
      </c>
      <c r="AU58" s="76">
        <v>3.3</v>
      </c>
      <c r="AV58" s="76">
        <v>0</v>
      </c>
      <c r="AW58" s="76">
        <v>0</v>
      </c>
      <c r="AX58" s="76">
        <v>0</v>
      </c>
      <c r="AY58" s="76">
        <v>0</v>
      </c>
      <c r="AZ58" s="76">
        <v>0</v>
      </c>
      <c r="BA58" s="76">
        <v>0</v>
      </c>
      <c r="BB58" s="76">
        <v>0</v>
      </c>
      <c r="BC58" s="76">
        <v>0</v>
      </c>
      <c r="BD58" s="76">
        <v>0</v>
      </c>
      <c r="BE58" s="76">
        <v>0</v>
      </c>
      <c r="BF58" s="76">
        <v>0</v>
      </c>
      <c r="BG58" s="76">
        <v>0</v>
      </c>
      <c r="BH58" s="76">
        <v>0</v>
      </c>
      <c r="BI58" s="76">
        <v>0</v>
      </c>
      <c r="BJ58" s="76">
        <v>0</v>
      </c>
      <c r="BK58" s="76">
        <v>0</v>
      </c>
      <c r="BL58" s="76">
        <v>0</v>
      </c>
      <c r="BM58" s="76">
        <v>0</v>
      </c>
      <c r="BN58" s="76">
        <v>0</v>
      </c>
      <c r="BO58" s="76">
        <v>0</v>
      </c>
      <c r="BP58" s="76">
        <v>0</v>
      </c>
      <c r="BQ58" s="76">
        <v>0</v>
      </c>
      <c r="BR58" s="76">
        <v>0</v>
      </c>
      <c r="BS58" s="76">
        <v>0</v>
      </c>
      <c r="BT58" s="76">
        <v>0</v>
      </c>
      <c r="BU58" s="76">
        <v>0</v>
      </c>
      <c r="BV58" s="76">
        <v>0</v>
      </c>
      <c r="BW58" s="76">
        <v>0</v>
      </c>
      <c r="BX58" s="76">
        <v>0</v>
      </c>
      <c r="BY58" s="76">
        <v>0</v>
      </c>
      <c r="BZ58" s="76">
        <v>0</v>
      </c>
    </row>
    <row r="59" spans="1:78" x14ac:dyDescent="0.2">
      <c r="A59" s="62" t="s">
        <v>261</v>
      </c>
      <c r="B59" s="62" t="s">
        <v>9</v>
      </c>
      <c r="C59" s="62" t="s">
        <v>968</v>
      </c>
      <c r="D59" s="62" t="s">
        <v>231</v>
      </c>
      <c r="E59" s="76">
        <f>IF(B59="","",VLOOKUP(B59,dagsoorttabel1,2,FALSE))</f>
        <v>1</v>
      </c>
      <c r="F59" s="76">
        <v>1</v>
      </c>
      <c r="G59" s="76">
        <f>IF(prodnorm86&gt;0,1/ROUND(prodnorm86,4),0)</f>
        <v>0</v>
      </c>
      <c r="H59" s="66">
        <f>ROUND(uurtarief86,2)</f>
        <v>0</v>
      </c>
      <c r="I59" s="76">
        <v>5.4</v>
      </c>
      <c r="J59" s="76">
        <v>0</v>
      </c>
      <c r="K59" s="76">
        <v>0</v>
      </c>
      <c r="L59" s="76">
        <v>3</v>
      </c>
      <c r="M59" s="76">
        <v>0</v>
      </c>
      <c r="N59" s="76">
        <v>0</v>
      </c>
      <c r="O59" s="76">
        <v>0</v>
      </c>
      <c r="P59" s="76">
        <v>0</v>
      </c>
      <c r="Q59" s="76">
        <v>0</v>
      </c>
      <c r="R59" s="76">
        <v>0</v>
      </c>
      <c r="S59" s="76">
        <v>0</v>
      </c>
      <c r="T59" s="76">
        <v>0</v>
      </c>
      <c r="U59" s="76">
        <v>0</v>
      </c>
      <c r="V59" s="76">
        <v>0</v>
      </c>
      <c r="W59" s="76">
        <v>0</v>
      </c>
      <c r="X59" s="76">
        <v>0</v>
      </c>
      <c r="Y59" s="76">
        <v>0</v>
      </c>
      <c r="Z59" s="76">
        <v>0</v>
      </c>
      <c r="AA59" s="76">
        <v>0</v>
      </c>
      <c r="AB59" s="76">
        <v>0</v>
      </c>
      <c r="AC59" s="76">
        <v>0</v>
      </c>
      <c r="AD59" s="76">
        <v>0</v>
      </c>
      <c r="AE59" s="76">
        <v>0</v>
      </c>
      <c r="AF59" s="76">
        <v>0</v>
      </c>
      <c r="AG59" s="76">
        <v>0</v>
      </c>
      <c r="AH59" s="76">
        <v>0</v>
      </c>
      <c r="AI59" s="76">
        <v>0</v>
      </c>
      <c r="AJ59" s="76">
        <v>0</v>
      </c>
      <c r="AK59" s="76">
        <v>0</v>
      </c>
      <c r="AL59" s="76">
        <v>0</v>
      </c>
      <c r="AM59" s="76">
        <v>0</v>
      </c>
      <c r="AN59" s="76">
        <v>0</v>
      </c>
      <c r="AO59" s="76">
        <v>0</v>
      </c>
      <c r="AP59" s="76">
        <v>0</v>
      </c>
      <c r="AQ59" s="76">
        <v>0</v>
      </c>
      <c r="AR59" s="76">
        <v>0</v>
      </c>
      <c r="AS59" s="76">
        <v>0</v>
      </c>
      <c r="AT59" s="76">
        <v>0</v>
      </c>
      <c r="AU59" s="76">
        <v>0</v>
      </c>
      <c r="AV59" s="76">
        <v>0</v>
      </c>
      <c r="AW59" s="76">
        <v>0</v>
      </c>
      <c r="AX59" s="76">
        <v>0</v>
      </c>
      <c r="AY59" s="76">
        <v>0</v>
      </c>
      <c r="AZ59" s="76">
        <v>0</v>
      </c>
      <c r="BA59" s="76">
        <v>0</v>
      </c>
      <c r="BB59" s="76">
        <v>0</v>
      </c>
      <c r="BC59" s="76">
        <v>0</v>
      </c>
      <c r="BD59" s="76">
        <v>0</v>
      </c>
      <c r="BE59" s="76">
        <v>0</v>
      </c>
      <c r="BF59" s="76">
        <v>0</v>
      </c>
      <c r="BG59" s="76">
        <v>0</v>
      </c>
      <c r="BH59" s="76">
        <v>0</v>
      </c>
      <c r="BI59" s="76">
        <v>0</v>
      </c>
      <c r="BJ59" s="76">
        <v>0</v>
      </c>
      <c r="BK59" s="76">
        <v>0</v>
      </c>
      <c r="BL59" s="76">
        <v>0</v>
      </c>
      <c r="BM59" s="76">
        <v>0</v>
      </c>
      <c r="BN59" s="76">
        <v>0</v>
      </c>
      <c r="BO59" s="76">
        <v>0</v>
      </c>
      <c r="BP59" s="76">
        <v>0</v>
      </c>
      <c r="BQ59" s="76">
        <v>0</v>
      </c>
      <c r="BR59" s="76">
        <v>0</v>
      </c>
      <c r="BS59" s="76">
        <v>0</v>
      </c>
      <c r="BT59" s="76">
        <v>0</v>
      </c>
      <c r="BU59" s="76">
        <v>0</v>
      </c>
      <c r="BV59" s="76">
        <v>0</v>
      </c>
      <c r="BW59" s="76">
        <v>0</v>
      </c>
      <c r="BX59" s="76">
        <v>0</v>
      </c>
      <c r="BY59" s="76">
        <v>0</v>
      </c>
      <c r="BZ59" s="76">
        <v>0</v>
      </c>
    </row>
    <row r="60" spans="1:78" x14ac:dyDescent="0.2">
      <c r="A60" s="62" t="s">
        <v>263</v>
      </c>
      <c r="B60" s="62" t="s">
        <v>9</v>
      </c>
      <c r="C60" s="62" t="s">
        <v>968</v>
      </c>
      <c r="D60" s="62" t="s">
        <v>231</v>
      </c>
      <c r="E60" s="76">
        <f>IF(B60="","",VLOOKUP(B60,dagsoorttabel1,2,FALSE))</f>
        <v>1</v>
      </c>
      <c r="F60" s="76">
        <v>1</v>
      </c>
      <c r="G60" s="76">
        <f>IF(prodnorm87&gt;0,1/ROUND(prodnorm87,4),0)</f>
        <v>0</v>
      </c>
      <c r="H60" s="66">
        <f>ROUND(uurtarief87,2)</f>
        <v>0</v>
      </c>
      <c r="I60" s="76">
        <v>5.4</v>
      </c>
      <c r="J60" s="76">
        <v>0</v>
      </c>
      <c r="K60" s="76">
        <v>0</v>
      </c>
      <c r="L60" s="76">
        <v>0</v>
      </c>
      <c r="M60" s="76">
        <v>0</v>
      </c>
      <c r="N60" s="76">
        <v>0</v>
      </c>
      <c r="O60" s="76">
        <v>0</v>
      </c>
      <c r="P60" s="76">
        <v>0</v>
      </c>
      <c r="Q60" s="76">
        <v>0</v>
      </c>
      <c r="R60" s="76">
        <v>0</v>
      </c>
      <c r="S60" s="76">
        <v>0</v>
      </c>
      <c r="T60" s="76">
        <v>0</v>
      </c>
      <c r="U60" s="76">
        <v>0</v>
      </c>
      <c r="V60" s="76">
        <v>0</v>
      </c>
      <c r="W60" s="76">
        <v>0</v>
      </c>
      <c r="X60" s="76">
        <v>0</v>
      </c>
      <c r="Y60" s="76">
        <v>0</v>
      </c>
      <c r="Z60" s="76">
        <v>0</v>
      </c>
      <c r="AA60" s="76">
        <v>0</v>
      </c>
      <c r="AB60" s="76">
        <v>0</v>
      </c>
      <c r="AC60" s="76">
        <v>0</v>
      </c>
      <c r="AD60" s="76">
        <v>0</v>
      </c>
      <c r="AE60" s="76">
        <v>0</v>
      </c>
      <c r="AF60" s="76">
        <v>0</v>
      </c>
      <c r="AG60" s="76">
        <v>0</v>
      </c>
      <c r="AH60" s="76">
        <v>0</v>
      </c>
      <c r="AI60" s="76">
        <v>0</v>
      </c>
      <c r="AJ60" s="76">
        <v>0</v>
      </c>
      <c r="AK60" s="76">
        <v>0</v>
      </c>
      <c r="AL60" s="76">
        <v>0</v>
      </c>
      <c r="AM60" s="76">
        <v>0</v>
      </c>
      <c r="AN60" s="76">
        <v>0</v>
      </c>
      <c r="AO60" s="76">
        <v>0</v>
      </c>
      <c r="AP60" s="76">
        <v>0</v>
      </c>
      <c r="AQ60" s="76">
        <v>0</v>
      </c>
      <c r="AR60" s="76">
        <v>0</v>
      </c>
      <c r="AS60" s="76">
        <v>0</v>
      </c>
      <c r="AT60" s="76">
        <v>0</v>
      </c>
      <c r="AU60" s="76">
        <v>0</v>
      </c>
      <c r="AV60" s="76">
        <v>0</v>
      </c>
      <c r="AW60" s="76">
        <v>0</v>
      </c>
      <c r="AX60" s="76">
        <v>0</v>
      </c>
      <c r="AY60" s="76">
        <v>0</v>
      </c>
      <c r="AZ60" s="76">
        <v>0</v>
      </c>
      <c r="BA60" s="76">
        <v>0</v>
      </c>
      <c r="BB60" s="76">
        <v>0</v>
      </c>
      <c r="BC60" s="76">
        <v>0</v>
      </c>
      <c r="BD60" s="76">
        <v>0</v>
      </c>
      <c r="BE60" s="76">
        <v>0</v>
      </c>
      <c r="BF60" s="76">
        <v>0</v>
      </c>
      <c r="BG60" s="76">
        <v>0</v>
      </c>
      <c r="BH60" s="76">
        <v>0</v>
      </c>
      <c r="BI60" s="76">
        <v>0</v>
      </c>
      <c r="BJ60" s="76">
        <v>0</v>
      </c>
      <c r="BK60" s="76">
        <v>0</v>
      </c>
      <c r="BL60" s="76">
        <v>0</v>
      </c>
      <c r="BM60" s="76">
        <v>0</v>
      </c>
      <c r="BN60" s="76">
        <v>0</v>
      </c>
      <c r="BO60" s="76">
        <v>0</v>
      </c>
      <c r="BP60" s="76">
        <v>0</v>
      </c>
      <c r="BQ60" s="76">
        <v>0</v>
      </c>
      <c r="BR60" s="76">
        <v>0</v>
      </c>
      <c r="BS60" s="76">
        <v>0</v>
      </c>
      <c r="BT60" s="76">
        <v>0</v>
      </c>
      <c r="BU60" s="76">
        <v>0</v>
      </c>
      <c r="BV60" s="76">
        <v>0</v>
      </c>
      <c r="BW60" s="76">
        <v>0</v>
      </c>
      <c r="BX60" s="76">
        <v>0</v>
      </c>
      <c r="BY60" s="76">
        <v>0</v>
      </c>
      <c r="BZ60" s="76">
        <v>0</v>
      </c>
    </row>
    <row r="61" spans="1:78" x14ac:dyDescent="0.2">
      <c r="A61" s="62" t="s">
        <v>265</v>
      </c>
      <c r="B61" s="62" t="s">
        <v>13</v>
      </c>
      <c r="C61" s="62" t="s">
        <v>968</v>
      </c>
      <c r="D61" s="62" t="s">
        <v>231</v>
      </c>
      <c r="E61" s="76">
        <f>IF(B61="","",VLOOKUP(B61,dagsoorttabel1,2,FALSE))</f>
        <v>0.2</v>
      </c>
      <c r="F61" s="76">
        <v>1</v>
      </c>
      <c r="G61" s="76">
        <f>IF(prodnorm88&gt;0,1/ROUND(prodnorm88,4),0)</f>
        <v>0</v>
      </c>
      <c r="H61" s="66">
        <f>ROUND(uurtarief88,2)</f>
        <v>0</v>
      </c>
      <c r="I61" s="76">
        <v>0</v>
      </c>
      <c r="J61" s="76">
        <v>0</v>
      </c>
      <c r="K61" s="76">
        <v>0</v>
      </c>
      <c r="L61" s="76">
        <v>0</v>
      </c>
      <c r="M61" s="76">
        <v>0</v>
      </c>
      <c r="N61" s="76">
        <v>0</v>
      </c>
      <c r="O61" s="76">
        <v>0</v>
      </c>
      <c r="P61" s="76">
        <v>0</v>
      </c>
      <c r="Q61" s="76">
        <v>0</v>
      </c>
      <c r="R61" s="76">
        <v>0</v>
      </c>
      <c r="S61" s="76">
        <v>0</v>
      </c>
      <c r="T61" s="76">
        <v>0</v>
      </c>
      <c r="U61" s="76">
        <v>0</v>
      </c>
      <c r="V61" s="76">
        <v>0</v>
      </c>
      <c r="W61" s="76">
        <v>12</v>
      </c>
      <c r="X61" s="76">
        <v>0</v>
      </c>
      <c r="Y61" s="76">
        <v>0</v>
      </c>
      <c r="Z61" s="76">
        <v>0</v>
      </c>
      <c r="AA61" s="76">
        <v>0</v>
      </c>
      <c r="AB61" s="76">
        <v>0</v>
      </c>
      <c r="AC61" s="76">
        <v>0</v>
      </c>
      <c r="AD61" s="76">
        <v>15.6</v>
      </c>
      <c r="AE61" s="76">
        <v>3.5</v>
      </c>
      <c r="AF61" s="76">
        <v>0</v>
      </c>
      <c r="AG61" s="76">
        <v>0</v>
      </c>
      <c r="AH61" s="76">
        <v>0</v>
      </c>
      <c r="AI61" s="76">
        <v>0</v>
      </c>
      <c r="AJ61" s="76">
        <v>0</v>
      </c>
      <c r="AK61" s="76">
        <v>0</v>
      </c>
      <c r="AL61" s="76">
        <v>0</v>
      </c>
      <c r="AM61" s="76">
        <v>0</v>
      </c>
      <c r="AN61" s="76">
        <v>0</v>
      </c>
      <c r="AO61" s="76">
        <v>0</v>
      </c>
      <c r="AP61" s="76">
        <v>0</v>
      </c>
      <c r="AQ61" s="76">
        <v>0</v>
      </c>
      <c r="AR61" s="76">
        <v>0</v>
      </c>
      <c r="AS61" s="76">
        <v>0</v>
      </c>
      <c r="AT61" s="76">
        <v>0</v>
      </c>
      <c r="AU61" s="76">
        <v>0</v>
      </c>
      <c r="AV61" s="76">
        <v>0</v>
      </c>
      <c r="AW61" s="76">
        <v>0</v>
      </c>
      <c r="AX61" s="76">
        <v>0</v>
      </c>
      <c r="AY61" s="76">
        <v>0</v>
      </c>
      <c r="AZ61" s="76">
        <v>0</v>
      </c>
      <c r="BA61" s="76">
        <v>0</v>
      </c>
      <c r="BB61" s="76">
        <v>0</v>
      </c>
      <c r="BC61" s="76">
        <v>0</v>
      </c>
      <c r="BD61" s="76">
        <v>0</v>
      </c>
      <c r="BE61" s="76">
        <v>0</v>
      </c>
      <c r="BF61" s="76">
        <v>0</v>
      </c>
      <c r="BG61" s="76">
        <v>0</v>
      </c>
      <c r="BH61" s="76">
        <v>0</v>
      </c>
      <c r="BI61" s="76">
        <v>0</v>
      </c>
      <c r="BJ61" s="76">
        <v>0</v>
      </c>
      <c r="BK61" s="76">
        <v>0</v>
      </c>
      <c r="BL61" s="76">
        <v>0</v>
      </c>
      <c r="BM61" s="76">
        <v>0</v>
      </c>
      <c r="BN61" s="76">
        <v>0</v>
      </c>
      <c r="BO61" s="76">
        <v>0</v>
      </c>
      <c r="BP61" s="76">
        <v>0</v>
      </c>
      <c r="BQ61" s="76">
        <v>0</v>
      </c>
      <c r="BR61" s="76">
        <v>0</v>
      </c>
      <c r="BS61" s="76">
        <v>0</v>
      </c>
      <c r="BT61" s="76">
        <v>0</v>
      </c>
      <c r="BU61" s="76">
        <v>0</v>
      </c>
      <c r="BV61" s="76">
        <v>0</v>
      </c>
      <c r="BW61" s="76">
        <v>0</v>
      </c>
      <c r="BX61" s="76">
        <v>0</v>
      </c>
      <c r="BY61" s="76">
        <v>0</v>
      </c>
      <c r="BZ61" s="76">
        <v>0</v>
      </c>
    </row>
    <row r="62" spans="1:78" x14ac:dyDescent="0.2">
      <c r="A62" s="62" t="s">
        <v>265</v>
      </c>
      <c r="B62" s="62" t="s">
        <v>14</v>
      </c>
      <c r="C62" s="62" t="s">
        <v>968</v>
      </c>
      <c r="D62" s="62" t="s">
        <v>231</v>
      </c>
      <c r="E62" s="76">
        <f>IF(B62="","",VLOOKUP(B62,dagsoorttabel1,2,FALSE))</f>
        <v>0.10196078431372549</v>
      </c>
      <c r="F62" s="76">
        <v>1</v>
      </c>
      <c r="G62" s="76">
        <f>IF(prodnorm89&gt;0,1/ROUND(prodnorm89,4),0)</f>
        <v>0</v>
      </c>
      <c r="H62" s="66">
        <f>ROUND(uurtarief89,2)</f>
        <v>0</v>
      </c>
      <c r="I62" s="76">
        <v>0</v>
      </c>
      <c r="J62" s="76">
        <v>0</v>
      </c>
      <c r="K62" s="76">
        <v>0</v>
      </c>
      <c r="L62" s="76">
        <v>0</v>
      </c>
      <c r="M62" s="76">
        <v>0</v>
      </c>
      <c r="N62" s="76">
        <v>0</v>
      </c>
      <c r="O62" s="76">
        <v>0</v>
      </c>
      <c r="P62" s="76">
        <v>0</v>
      </c>
      <c r="Q62" s="76">
        <v>0</v>
      </c>
      <c r="R62" s="76">
        <v>0</v>
      </c>
      <c r="S62" s="76">
        <v>0</v>
      </c>
      <c r="T62" s="76">
        <v>0</v>
      </c>
      <c r="U62" s="76">
        <v>0</v>
      </c>
      <c r="V62" s="76">
        <v>0</v>
      </c>
      <c r="W62" s="76">
        <v>0</v>
      </c>
      <c r="X62" s="76">
        <v>5</v>
      </c>
      <c r="Y62" s="76">
        <v>0</v>
      </c>
      <c r="Z62" s="76">
        <v>0</v>
      </c>
      <c r="AA62" s="76">
        <v>0</v>
      </c>
      <c r="AB62" s="76">
        <v>0</v>
      </c>
      <c r="AC62" s="76">
        <v>0</v>
      </c>
      <c r="AD62" s="76">
        <v>0</v>
      </c>
      <c r="AE62" s="76">
        <v>0</v>
      </c>
      <c r="AF62" s="76">
        <v>0</v>
      </c>
      <c r="AG62" s="76">
        <v>0</v>
      </c>
      <c r="AH62" s="76">
        <v>0</v>
      </c>
      <c r="AI62" s="76">
        <v>0</v>
      </c>
      <c r="AJ62" s="76">
        <v>0</v>
      </c>
      <c r="AK62" s="76">
        <v>0</v>
      </c>
      <c r="AL62" s="76">
        <v>0</v>
      </c>
      <c r="AM62" s="76">
        <v>0</v>
      </c>
      <c r="AN62" s="76">
        <v>0</v>
      </c>
      <c r="AO62" s="76">
        <v>0</v>
      </c>
      <c r="AP62" s="76">
        <v>0</v>
      </c>
      <c r="AQ62" s="76">
        <v>0</v>
      </c>
      <c r="AR62" s="76">
        <v>0</v>
      </c>
      <c r="AS62" s="76">
        <v>0</v>
      </c>
      <c r="AT62" s="76">
        <v>0</v>
      </c>
      <c r="AU62" s="76">
        <v>0</v>
      </c>
      <c r="AV62" s="76">
        <v>0</v>
      </c>
      <c r="AW62" s="76">
        <v>0</v>
      </c>
      <c r="AX62" s="76">
        <v>0</v>
      </c>
      <c r="AY62" s="76">
        <v>0</v>
      </c>
      <c r="AZ62" s="76">
        <v>0</v>
      </c>
      <c r="BA62" s="76">
        <v>0</v>
      </c>
      <c r="BB62" s="76">
        <v>0</v>
      </c>
      <c r="BC62" s="76">
        <v>0</v>
      </c>
      <c r="BD62" s="76">
        <v>0</v>
      </c>
      <c r="BE62" s="76">
        <v>0</v>
      </c>
      <c r="BF62" s="76">
        <v>0</v>
      </c>
      <c r="BG62" s="76">
        <v>0</v>
      </c>
      <c r="BH62" s="76">
        <v>0</v>
      </c>
      <c r="BI62" s="76">
        <v>0</v>
      </c>
      <c r="BJ62" s="76">
        <v>0</v>
      </c>
      <c r="BK62" s="76">
        <v>0</v>
      </c>
      <c r="BL62" s="76">
        <v>0</v>
      </c>
      <c r="BM62" s="76">
        <v>0</v>
      </c>
      <c r="BN62" s="76">
        <v>0</v>
      </c>
      <c r="BO62" s="76">
        <v>0</v>
      </c>
      <c r="BP62" s="76">
        <v>0</v>
      </c>
      <c r="BQ62" s="76">
        <v>0</v>
      </c>
      <c r="BR62" s="76">
        <v>0</v>
      </c>
      <c r="BS62" s="76">
        <v>0</v>
      </c>
      <c r="BT62" s="76">
        <v>0</v>
      </c>
      <c r="BU62" s="76">
        <v>0</v>
      </c>
      <c r="BV62" s="76">
        <v>0</v>
      </c>
      <c r="BW62" s="76">
        <v>0</v>
      </c>
      <c r="BX62" s="76">
        <v>0</v>
      </c>
      <c r="BY62" s="76">
        <v>0</v>
      </c>
      <c r="BZ62" s="76">
        <v>0</v>
      </c>
    </row>
    <row r="63" spans="1:78" x14ac:dyDescent="0.2">
      <c r="A63" s="62" t="s">
        <v>265</v>
      </c>
      <c r="B63" s="62" t="s">
        <v>12</v>
      </c>
      <c r="C63" s="62" t="s">
        <v>968</v>
      </c>
      <c r="D63" s="62" t="s">
        <v>231</v>
      </c>
      <c r="E63" s="76">
        <f>IF(B63="","",VLOOKUP(B63,dagsoorttabel1,2,FALSE))</f>
        <v>0.4</v>
      </c>
      <c r="F63" s="76">
        <v>1</v>
      </c>
      <c r="G63" s="76">
        <f>IF(prodnorm90&gt;0,1/ROUND(prodnorm90,4),0)</f>
        <v>0</v>
      </c>
      <c r="H63" s="66">
        <f>ROUND(uurtarief90,2)</f>
        <v>0</v>
      </c>
      <c r="I63" s="76">
        <v>0</v>
      </c>
      <c r="J63" s="76">
        <v>0</v>
      </c>
      <c r="K63" s="76">
        <v>0</v>
      </c>
      <c r="L63" s="76">
        <v>0</v>
      </c>
      <c r="M63" s="76">
        <v>0</v>
      </c>
      <c r="N63" s="76">
        <v>0</v>
      </c>
      <c r="O63" s="76">
        <v>0</v>
      </c>
      <c r="P63" s="76">
        <v>0</v>
      </c>
      <c r="Q63" s="76">
        <v>0</v>
      </c>
      <c r="R63" s="76">
        <v>0</v>
      </c>
      <c r="S63" s="76">
        <v>0</v>
      </c>
      <c r="T63" s="76">
        <v>0</v>
      </c>
      <c r="U63" s="76">
        <v>11</v>
      </c>
      <c r="V63" s="76">
        <v>0</v>
      </c>
      <c r="W63" s="76">
        <v>0</v>
      </c>
      <c r="X63" s="76">
        <v>0</v>
      </c>
      <c r="Y63" s="76">
        <v>0</v>
      </c>
      <c r="Z63" s="76">
        <v>0</v>
      </c>
      <c r="AA63" s="76">
        <v>0</v>
      </c>
      <c r="AB63" s="76">
        <v>0</v>
      </c>
      <c r="AC63" s="76">
        <v>0</v>
      </c>
      <c r="AD63" s="76">
        <v>0</v>
      </c>
      <c r="AE63" s="76">
        <v>0</v>
      </c>
      <c r="AF63" s="76">
        <v>0</v>
      </c>
      <c r="AG63" s="76">
        <v>0</v>
      </c>
      <c r="AH63" s="76">
        <v>0</v>
      </c>
      <c r="AI63" s="76">
        <v>0</v>
      </c>
      <c r="AJ63" s="76">
        <v>0</v>
      </c>
      <c r="AK63" s="76">
        <v>0</v>
      </c>
      <c r="AL63" s="76">
        <v>0</v>
      </c>
      <c r="AM63" s="76">
        <v>0</v>
      </c>
      <c r="AN63" s="76">
        <v>0</v>
      </c>
      <c r="AO63" s="76">
        <v>0</v>
      </c>
      <c r="AP63" s="76">
        <v>14.5</v>
      </c>
      <c r="AQ63" s="76">
        <v>0</v>
      </c>
      <c r="AR63" s="76">
        <v>0</v>
      </c>
      <c r="AS63" s="76">
        <v>17.600000000000001</v>
      </c>
      <c r="AT63" s="76">
        <v>0</v>
      </c>
      <c r="AU63" s="76">
        <v>0</v>
      </c>
      <c r="AV63" s="76">
        <v>0</v>
      </c>
      <c r="AW63" s="76">
        <v>0</v>
      </c>
      <c r="AX63" s="76">
        <v>0</v>
      </c>
      <c r="AY63" s="76">
        <v>0</v>
      </c>
      <c r="AZ63" s="76">
        <v>0</v>
      </c>
      <c r="BA63" s="76">
        <v>0</v>
      </c>
      <c r="BB63" s="76">
        <v>0</v>
      </c>
      <c r="BC63" s="76">
        <v>0</v>
      </c>
      <c r="BD63" s="76">
        <v>0</v>
      </c>
      <c r="BE63" s="76">
        <v>0</v>
      </c>
      <c r="BF63" s="76">
        <v>0</v>
      </c>
      <c r="BG63" s="76">
        <v>0</v>
      </c>
      <c r="BH63" s="76">
        <v>0</v>
      </c>
      <c r="BI63" s="76">
        <v>0</v>
      </c>
      <c r="BJ63" s="76">
        <v>0</v>
      </c>
      <c r="BK63" s="76">
        <v>0</v>
      </c>
      <c r="BL63" s="76">
        <v>0</v>
      </c>
      <c r="BM63" s="76">
        <v>0</v>
      </c>
      <c r="BN63" s="76">
        <v>0</v>
      </c>
      <c r="BO63" s="76">
        <v>0</v>
      </c>
      <c r="BP63" s="76">
        <v>0</v>
      </c>
      <c r="BQ63" s="76">
        <v>0</v>
      </c>
      <c r="BR63" s="76">
        <v>0</v>
      </c>
      <c r="BS63" s="76">
        <v>0</v>
      </c>
      <c r="BT63" s="76">
        <v>0</v>
      </c>
      <c r="BU63" s="76">
        <v>0</v>
      </c>
      <c r="BV63" s="76">
        <v>0</v>
      </c>
      <c r="BW63" s="76">
        <v>0</v>
      </c>
      <c r="BX63" s="76">
        <v>0</v>
      </c>
      <c r="BY63" s="76">
        <v>0</v>
      </c>
      <c r="BZ63" s="76">
        <v>0</v>
      </c>
    </row>
    <row r="64" spans="1:78" x14ac:dyDescent="0.2">
      <c r="A64" s="62" t="s">
        <v>265</v>
      </c>
      <c r="B64" s="62" t="s">
        <v>11</v>
      </c>
      <c r="C64" s="62" t="s">
        <v>968</v>
      </c>
      <c r="D64" s="62" t="s">
        <v>231</v>
      </c>
      <c r="E64" s="76">
        <f>IF(B64="","",VLOOKUP(B64,dagsoorttabel1,2,FALSE))</f>
        <v>0.6</v>
      </c>
      <c r="F64" s="76">
        <v>1</v>
      </c>
      <c r="G64" s="76">
        <f>IF(prodnorm91&gt;0,1/ROUND(prodnorm91,4),0)</f>
        <v>0</v>
      </c>
      <c r="H64" s="66">
        <f>ROUND(uurtarief91,2)</f>
        <v>0</v>
      </c>
      <c r="I64" s="76">
        <v>0</v>
      </c>
      <c r="J64" s="76">
        <v>0</v>
      </c>
      <c r="K64" s="76">
        <v>0</v>
      </c>
      <c r="L64" s="76">
        <v>0</v>
      </c>
      <c r="M64" s="76">
        <v>0</v>
      </c>
      <c r="N64" s="76">
        <v>0</v>
      </c>
      <c r="O64" s="76">
        <v>0</v>
      </c>
      <c r="P64" s="76">
        <v>0</v>
      </c>
      <c r="Q64" s="76">
        <v>0</v>
      </c>
      <c r="R64" s="76">
        <v>0</v>
      </c>
      <c r="S64" s="76">
        <v>0</v>
      </c>
      <c r="T64" s="76">
        <v>9</v>
      </c>
      <c r="U64" s="76">
        <v>0</v>
      </c>
      <c r="V64" s="76">
        <v>26</v>
      </c>
      <c r="W64" s="76">
        <v>0</v>
      </c>
      <c r="X64" s="76">
        <v>0</v>
      </c>
      <c r="Y64" s="76">
        <v>28.3</v>
      </c>
      <c r="Z64" s="76">
        <v>0</v>
      </c>
      <c r="AA64" s="76">
        <v>36.200000000000003</v>
      </c>
      <c r="AB64" s="76">
        <v>17.2</v>
      </c>
      <c r="AC64" s="76">
        <v>18.600000000000001</v>
      </c>
      <c r="AD64" s="76">
        <v>0</v>
      </c>
      <c r="AE64" s="76">
        <v>0</v>
      </c>
      <c r="AF64" s="76">
        <v>0</v>
      </c>
      <c r="AG64" s="76">
        <v>0</v>
      </c>
      <c r="AH64" s="76">
        <v>0</v>
      </c>
      <c r="AI64" s="76">
        <v>0</v>
      </c>
      <c r="AJ64" s="76">
        <v>0</v>
      </c>
      <c r="AK64" s="76">
        <v>0</v>
      </c>
      <c r="AL64" s="76">
        <v>0</v>
      </c>
      <c r="AM64" s="76">
        <v>0</v>
      </c>
      <c r="AN64" s="76">
        <v>0</v>
      </c>
      <c r="AO64" s="76">
        <v>0</v>
      </c>
      <c r="AP64" s="76">
        <v>0</v>
      </c>
      <c r="AQ64" s="76">
        <v>0</v>
      </c>
      <c r="AR64" s="76">
        <v>0</v>
      </c>
      <c r="AS64" s="76">
        <v>0</v>
      </c>
      <c r="AT64" s="76">
        <v>0</v>
      </c>
      <c r="AU64" s="76">
        <v>15.7</v>
      </c>
      <c r="AV64" s="76">
        <v>0</v>
      </c>
      <c r="AW64" s="76">
        <v>0</v>
      </c>
      <c r="AX64" s="76">
        <v>0</v>
      </c>
      <c r="AY64" s="76">
        <v>0</v>
      </c>
      <c r="AZ64" s="76">
        <v>0</v>
      </c>
      <c r="BA64" s="76">
        <v>0</v>
      </c>
      <c r="BB64" s="76">
        <v>0</v>
      </c>
      <c r="BC64" s="76">
        <v>0</v>
      </c>
      <c r="BD64" s="76">
        <v>0</v>
      </c>
      <c r="BE64" s="76">
        <v>0</v>
      </c>
      <c r="BF64" s="76">
        <v>0</v>
      </c>
      <c r="BG64" s="76">
        <v>0</v>
      </c>
      <c r="BH64" s="76">
        <v>0</v>
      </c>
      <c r="BI64" s="76">
        <v>0</v>
      </c>
      <c r="BJ64" s="76">
        <v>0</v>
      </c>
      <c r="BK64" s="76">
        <v>0</v>
      </c>
      <c r="BL64" s="76">
        <v>0</v>
      </c>
      <c r="BM64" s="76">
        <v>0</v>
      </c>
      <c r="BN64" s="76">
        <v>0</v>
      </c>
      <c r="BO64" s="76">
        <v>0</v>
      </c>
      <c r="BP64" s="76">
        <v>0</v>
      </c>
      <c r="BQ64" s="76">
        <v>0</v>
      </c>
      <c r="BR64" s="76">
        <v>0</v>
      </c>
      <c r="BS64" s="76">
        <v>0</v>
      </c>
      <c r="BT64" s="76">
        <v>0</v>
      </c>
      <c r="BU64" s="76">
        <v>0</v>
      </c>
      <c r="BV64" s="76">
        <v>0</v>
      </c>
      <c r="BW64" s="76">
        <v>0</v>
      </c>
      <c r="BX64" s="76">
        <v>0</v>
      </c>
      <c r="BY64" s="76">
        <v>0</v>
      </c>
      <c r="BZ64" s="76">
        <v>0</v>
      </c>
    </row>
    <row r="65" spans="1:78" x14ac:dyDescent="0.2">
      <c r="A65" s="62" t="s">
        <v>265</v>
      </c>
      <c r="B65" s="62" t="s">
        <v>9</v>
      </c>
      <c r="C65" s="62" t="s">
        <v>968</v>
      </c>
      <c r="D65" s="62" t="s">
        <v>231</v>
      </c>
      <c r="E65" s="76">
        <f>IF(B65="","",VLOOKUP(B65,dagsoorttabel1,2,FALSE))</f>
        <v>1</v>
      </c>
      <c r="F65" s="76">
        <v>1</v>
      </c>
      <c r="G65" s="76">
        <f>IF(prodnorm92&gt;0,1/ROUND(prodnorm92,4),0)</f>
        <v>0</v>
      </c>
      <c r="H65" s="66">
        <f>ROUND(uurtarief92,2)</f>
        <v>0</v>
      </c>
      <c r="I65" s="76">
        <v>62</v>
      </c>
      <c r="J65" s="76">
        <v>0</v>
      </c>
      <c r="K65" s="76">
        <v>51.5</v>
      </c>
      <c r="L65" s="76">
        <v>32</v>
      </c>
      <c r="M65" s="76">
        <v>0</v>
      </c>
      <c r="N65" s="76">
        <v>0</v>
      </c>
      <c r="O65" s="76">
        <v>0</v>
      </c>
      <c r="P65" s="76">
        <v>0</v>
      </c>
      <c r="Q65" s="76">
        <v>0</v>
      </c>
      <c r="R65" s="76">
        <v>42.5</v>
      </c>
      <c r="S65" s="76">
        <v>0</v>
      </c>
      <c r="T65" s="76">
        <v>0</v>
      </c>
      <c r="U65" s="76">
        <v>0</v>
      </c>
      <c r="V65" s="76">
        <v>0</v>
      </c>
      <c r="W65" s="76">
        <v>0</v>
      </c>
      <c r="X65" s="76">
        <v>0</v>
      </c>
      <c r="Y65" s="76">
        <v>0</v>
      </c>
      <c r="Z65" s="76">
        <v>0</v>
      </c>
      <c r="AA65" s="76">
        <v>0</v>
      </c>
      <c r="AB65" s="76">
        <v>0</v>
      </c>
      <c r="AC65" s="76">
        <v>0</v>
      </c>
      <c r="AD65" s="76">
        <v>0</v>
      </c>
      <c r="AE65" s="76">
        <v>0</v>
      </c>
      <c r="AF65" s="76">
        <v>0</v>
      </c>
      <c r="AG65" s="76">
        <v>0</v>
      </c>
      <c r="AH65" s="76">
        <v>0</v>
      </c>
      <c r="AI65" s="76">
        <v>0</v>
      </c>
      <c r="AJ65" s="76">
        <v>0</v>
      </c>
      <c r="AK65" s="76">
        <v>0</v>
      </c>
      <c r="AL65" s="76">
        <v>0</v>
      </c>
      <c r="AM65" s="76">
        <v>0</v>
      </c>
      <c r="AN65" s="76">
        <v>0</v>
      </c>
      <c r="AO65" s="76">
        <v>0</v>
      </c>
      <c r="AP65" s="76">
        <v>0</v>
      </c>
      <c r="AQ65" s="76">
        <v>0</v>
      </c>
      <c r="AR65" s="76">
        <v>0</v>
      </c>
      <c r="AS65" s="76">
        <v>0</v>
      </c>
      <c r="AT65" s="76">
        <v>0</v>
      </c>
      <c r="AU65" s="76">
        <v>0</v>
      </c>
      <c r="AV65" s="76">
        <v>0</v>
      </c>
      <c r="AW65" s="76">
        <v>0</v>
      </c>
      <c r="AX65" s="76">
        <v>0</v>
      </c>
      <c r="AY65" s="76">
        <v>0</v>
      </c>
      <c r="AZ65" s="76">
        <v>0</v>
      </c>
      <c r="BA65" s="76">
        <v>0</v>
      </c>
      <c r="BB65" s="76">
        <v>0</v>
      </c>
      <c r="BC65" s="76">
        <v>0</v>
      </c>
      <c r="BD65" s="76">
        <v>0</v>
      </c>
      <c r="BE65" s="76">
        <v>0</v>
      </c>
      <c r="BF65" s="76">
        <v>0</v>
      </c>
      <c r="BG65" s="76">
        <v>0</v>
      </c>
      <c r="BH65" s="76">
        <v>0</v>
      </c>
      <c r="BI65" s="76">
        <v>0</v>
      </c>
      <c r="BJ65" s="76">
        <v>0</v>
      </c>
      <c r="BK65" s="76">
        <v>0</v>
      </c>
      <c r="BL65" s="76">
        <v>0</v>
      </c>
      <c r="BM65" s="76">
        <v>0</v>
      </c>
      <c r="BN65" s="76">
        <v>0</v>
      </c>
      <c r="BO65" s="76">
        <v>0</v>
      </c>
      <c r="BP65" s="76">
        <v>0</v>
      </c>
      <c r="BQ65" s="76">
        <v>0</v>
      </c>
      <c r="BR65" s="76">
        <v>0</v>
      </c>
      <c r="BS65" s="76">
        <v>0</v>
      </c>
      <c r="BT65" s="76">
        <v>0</v>
      </c>
      <c r="BU65" s="76">
        <v>0</v>
      </c>
      <c r="BV65" s="76">
        <v>0</v>
      </c>
      <c r="BW65" s="76">
        <v>0</v>
      </c>
      <c r="BX65" s="76">
        <v>0</v>
      </c>
      <c r="BY65" s="76">
        <v>0</v>
      </c>
      <c r="BZ65" s="76">
        <v>0</v>
      </c>
    </row>
    <row r="66" spans="1:78" x14ac:dyDescent="0.2">
      <c r="A66" s="62" t="s">
        <v>267</v>
      </c>
      <c r="B66" s="62" t="s">
        <v>15</v>
      </c>
      <c r="C66" s="62" t="s">
        <v>968</v>
      </c>
      <c r="D66" s="62" t="s">
        <v>231</v>
      </c>
      <c r="E66" s="76">
        <f>IF(B66="","",VLOOKUP(B66,dagsoorttabel1,2,FALSE))</f>
        <v>4.7058823529411764E-2</v>
      </c>
      <c r="F66" s="76">
        <v>1</v>
      </c>
      <c r="G66" s="76">
        <f>IF(prodnorm93&gt;0,1/ROUND(prodnorm93,4),0)</f>
        <v>0</v>
      </c>
      <c r="H66" s="66">
        <f>ROUND(uurtarief93,2)</f>
        <v>0</v>
      </c>
      <c r="I66" s="76">
        <v>0</v>
      </c>
      <c r="J66" s="76">
        <v>0</v>
      </c>
      <c r="K66" s="76">
        <v>0</v>
      </c>
      <c r="L66" s="76">
        <v>0</v>
      </c>
      <c r="M66" s="76">
        <v>0</v>
      </c>
      <c r="N66" s="76">
        <v>0</v>
      </c>
      <c r="O66" s="76">
        <v>0</v>
      </c>
      <c r="P66" s="76">
        <v>0</v>
      </c>
      <c r="Q66" s="76">
        <v>0</v>
      </c>
      <c r="R66" s="76">
        <v>0</v>
      </c>
      <c r="S66" s="76">
        <v>0</v>
      </c>
      <c r="T66" s="76">
        <v>0</v>
      </c>
      <c r="U66" s="76">
        <v>0</v>
      </c>
      <c r="V66" s="76">
        <v>0</v>
      </c>
      <c r="W66" s="76">
        <v>0</v>
      </c>
      <c r="X66" s="76">
        <v>0</v>
      </c>
      <c r="Y66" s="76">
        <v>0</v>
      </c>
      <c r="Z66" s="76">
        <v>0</v>
      </c>
      <c r="AA66" s="76">
        <v>0</v>
      </c>
      <c r="AB66" s="76">
        <v>0</v>
      </c>
      <c r="AC66" s="76">
        <v>0</v>
      </c>
      <c r="AD66" s="76">
        <v>0</v>
      </c>
      <c r="AE66" s="76">
        <v>0</v>
      </c>
      <c r="AF66" s="76">
        <v>0</v>
      </c>
      <c r="AG66" s="76">
        <v>0</v>
      </c>
      <c r="AH66" s="76">
        <v>0</v>
      </c>
      <c r="AI66" s="76">
        <v>0</v>
      </c>
      <c r="AJ66" s="76">
        <v>0</v>
      </c>
      <c r="AK66" s="76">
        <v>0</v>
      </c>
      <c r="AL66" s="76">
        <v>0</v>
      </c>
      <c r="AM66" s="76">
        <v>0</v>
      </c>
      <c r="AN66" s="76">
        <v>0</v>
      </c>
      <c r="AO66" s="76">
        <v>0</v>
      </c>
      <c r="AP66" s="76">
        <v>0</v>
      </c>
      <c r="AQ66" s="76">
        <v>0</v>
      </c>
      <c r="AR66" s="76">
        <v>0</v>
      </c>
      <c r="AS66" s="76">
        <v>0</v>
      </c>
      <c r="AT66" s="76">
        <v>0</v>
      </c>
      <c r="AU66" s="76">
        <v>0</v>
      </c>
      <c r="AV66" s="76">
        <v>0</v>
      </c>
      <c r="AW66" s="76">
        <v>0</v>
      </c>
      <c r="AX66" s="76">
        <v>0</v>
      </c>
      <c r="AY66" s="76">
        <v>0</v>
      </c>
      <c r="AZ66" s="76">
        <v>0</v>
      </c>
      <c r="BA66" s="76">
        <v>0</v>
      </c>
      <c r="BB66" s="76">
        <v>0</v>
      </c>
      <c r="BC66" s="76">
        <v>0</v>
      </c>
      <c r="BD66" s="76">
        <v>0</v>
      </c>
      <c r="BE66" s="76">
        <v>0</v>
      </c>
      <c r="BF66" s="76">
        <v>0</v>
      </c>
      <c r="BG66" s="76">
        <v>0</v>
      </c>
      <c r="BH66" s="76">
        <v>0</v>
      </c>
      <c r="BI66" s="76">
        <v>0</v>
      </c>
      <c r="BJ66" s="76">
        <v>0</v>
      </c>
      <c r="BK66" s="76">
        <v>0</v>
      </c>
      <c r="BL66" s="76">
        <v>0</v>
      </c>
      <c r="BM66" s="76">
        <v>0</v>
      </c>
      <c r="BN66" s="76">
        <v>0</v>
      </c>
      <c r="BO66" s="76">
        <v>0</v>
      </c>
      <c r="BP66" s="76">
        <v>0</v>
      </c>
      <c r="BQ66" s="76">
        <v>0</v>
      </c>
      <c r="BR66" s="76">
        <v>0</v>
      </c>
      <c r="BS66" s="76">
        <v>0</v>
      </c>
      <c r="BT66" s="76">
        <v>0</v>
      </c>
      <c r="BU66" s="76">
        <v>0</v>
      </c>
      <c r="BV66" s="76">
        <v>5</v>
      </c>
      <c r="BW66" s="76">
        <v>0</v>
      </c>
      <c r="BX66" s="76">
        <v>0</v>
      </c>
      <c r="BY66" s="76">
        <v>0</v>
      </c>
      <c r="BZ66" s="76">
        <v>0</v>
      </c>
    </row>
    <row r="67" spans="1:78" x14ac:dyDescent="0.2">
      <c r="A67" s="62" t="s">
        <v>267</v>
      </c>
      <c r="B67" s="62" t="s">
        <v>13</v>
      </c>
      <c r="C67" s="62" t="s">
        <v>968</v>
      </c>
      <c r="D67" s="62" t="s">
        <v>231</v>
      </c>
      <c r="E67" s="76">
        <f>IF(B67="","",VLOOKUP(B67,dagsoorttabel1,2,FALSE))</f>
        <v>0.2</v>
      </c>
      <c r="F67" s="76">
        <v>1</v>
      </c>
      <c r="G67" s="76">
        <f>IF(prodnorm94&gt;0,1/ROUND(prodnorm94,4),0)</f>
        <v>0</v>
      </c>
      <c r="H67" s="66">
        <f>ROUND(uurtarief94,2)</f>
        <v>0</v>
      </c>
      <c r="I67" s="76">
        <v>0</v>
      </c>
      <c r="J67" s="76">
        <v>0</v>
      </c>
      <c r="K67" s="76">
        <v>0</v>
      </c>
      <c r="L67" s="76">
        <v>0</v>
      </c>
      <c r="M67" s="76">
        <v>0</v>
      </c>
      <c r="N67" s="76">
        <v>0</v>
      </c>
      <c r="O67" s="76">
        <v>0</v>
      </c>
      <c r="P67" s="76">
        <v>4.9000000000000004</v>
      </c>
      <c r="Q67" s="76">
        <v>2</v>
      </c>
      <c r="R67" s="76">
        <v>0</v>
      </c>
      <c r="S67" s="76">
        <v>0</v>
      </c>
      <c r="T67" s="76">
        <v>0</v>
      </c>
      <c r="U67" s="76">
        <v>0</v>
      </c>
      <c r="V67" s="76">
        <v>6</v>
      </c>
      <c r="W67" s="76">
        <v>6</v>
      </c>
      <c r="X67" s="76">
        <v>0</v>
      </c>
      <c r="Y67" s="76">
        <v>0</v>
      </c>
      <c r="Z67" s="76">
        <v>0</v>
      </c>
      <c r="AA67" s="76">
        <v>0</v>
      </c>
      <c r="AB67" s="76">
        <v>0</v>
      </c>
      <c r="AC67" s="76">
        <v>0</v>
      </c>
      <c r="AD67" s="76">
        <v>7.6</v>
      </c>
      <c r="AE67" s="76">
        <v>7</v>
      </c>
      <c r="AF67" s="76">
        <v>0</v>
      </c>
      <c r="AG67" s="76">
        <v>0</v>
      </c>
      <c r="AH67" s="76">
        <v>0</v>
      </c>
      <c r="AI67" s="76">
        <v>0</v>
      </c>
      <c r="AJ67" s="76">
        <v>0</v>
      </c>
      <c r="AK67" s="76">
        <v>0</v>
      </c>
      <c r="AL67" s="76">
        <v>0</v>
      </c>
      <c r="AM67" s="76">
        <v>0</v>
      </c>
      <c r="AN67" s="76">
        <v>0</v>
      </c>
      <c r="AO67" s="76">
        <v>0</v>
      </c>
      <c r="AP67" s="76">
        <v>0</v>
      </c>
      <c r="AQ67" s="76">
        <v>6.5</v>
      </c>
      <c r="AR67" s="76">
        <v>0</v>
      </c>
      <c r="AS67" s="76">
        <v>0</v>
      </c>
      <c r="AT67" s="76">
        <v>0</v>
      </c>
      <c r="AU67" s="76">
        <v>0</v>
      </c>
      <c r="AV67" s="76">
        <v>0</v>
      </c>
      <c r="AW67" s="76">
        <v>0</v>
      </c>
      <c r="AX67" s="76">
        <v>0</v>
      </c>
      <c r="AY67" s="76">
        <v>0</v>
      </c>
      <c r="AZ67" s="76">
        <v>0</v>
      </c>
      <c r="BA67" s="76">
        <v>0</v>
      </c>
      <c r="BB67" s="76">
        <v>0</v>
      </c>
      <c r="BC67" s="76">
        <v>0</v>
      </c>
      <c r="BD67" s="76">
        <v>0</v>
      </c>
      <c r="BE67" s="76">
        <v>0</v>
      </c>
      <c r="BF67" s="76">
        <v>0</v>
      </c>
      <c r="BG67" s="76">
        <v>0</v>
      </c>
      <c r="BH67" s="76">
        <v>0</v>
      </c>
      <c r="BI67" s="76">
        <v>0</v>
      </c>
      <c r="BJ67" s="76">
        <v>0</v>
      </c>
      <c r="BK67" s="76">
        <v>0</v>
      </c>
      <c r="BL67" s="76">
        <v>0</v>
      </c>
      <c r="BM67" s="76">
        <v>0</v>
      </c>
      <c r="BN67" s="76">
        <v>0</v>
      </c>
      <c r="BO67" s="76">
        <v>0</v>
      </c>
      <c r="BP67" s="76">
        <v>0</v>
      </c>
      <c r="BQ67" s="76">
        <v>0</v>
      </c>
      <c r="BR67" s="76">
        <v>0</v>
      </c>
      <c r="BS67" s="76">
        <v>0</v>
      </c>
      <c r="BT67" s="76">
        <v>0</v>
      </c>
      <c r="BU67" s="76">
        <v>0</v>
      </c>
      <c r="BV67" s="76">
        <v>0</v>
      </c>
      <c r="BW67" s="76">
        <v>0</v>
      </c>
      <c r="BX67" s="76">
        <v>0</v>
      </c>
      <c r="BY67" s="76">
        <v>0</v>
      </c>
      <c r="BZ67" s="76">
        <v>0</v>
      </c>
    </row>
    <row r="68" spans="1:78" x14ac:dyDescent="0.2">
      <c r="A68" s="62" t="s">
        <v>267</v>
      </c>
      <c r="B68" s="62" t="s">
        <v>14</v>
      </c>
      <c r="C68" s="62" t="s">
        <v>968</v>
      </c>
      <c r="D68" s="62" t="s">
        <v>231</v>
      </c>
      <c r="E68" s="76">
        <f>IF(B68="","",VLOOKUP(B68,dagsoorttabel1,2,FALSE))</f>
        <v>0.10196078431372549</v>
      </c>
      <c r="F68" s="76">
        <v>1</v>
      </c>
      <c r="G68" s="76">
        <f>IF(prodnorm95&gt;0,1/ROUND(prodnorm95,4),0)</f>
        <v>0</v>
      </c>
      <c r="H68" s="66">
        <f>ROUND(uurtarief95,2)</f>
        <v>0</v>
      </c>
      <c r="I68" s="76">
        <v>0</v>
      </c>
      <c r="J68" s="76">
        <v>0</v>
      </c>
      <c r="K68" s="76">
        <v>0</v>
      </c>
      <c r="L68" s="76">
        <v>0</v>
      </c>
      <c r="M68" s="76">
        <v>0</v>
      </c>
      <c r="N68" s="76">
        <v>0</v>
      </c>
      <c r="O68" s="76">
        <v>0</v>
      </c>
      <c r="P68" s="76">
        <v>0</v>
      </c>
      <c r="Q68" s="76">
        <v>0</v>
      </c>
      <c r="R68" s="76">
        <v>0</v>
      </c>
      <c r="S68" s="76">
        <v>0</v>
      </c>
      <c r="T68" s="76">
        <v>0</v>
      </c>
      <c r="U68" s="76">
        <v>0</v>
      </c>
      <c r="V68" s="76">
        <v>0</v>
      </c>
      <c r="W68" s="76">
        <v>0</v>
      </c>
      <c r="X68" s="76">
        <v>3</v>
      </c>
      <c r="Y68" s="76">
        <v>0</v>
      </c>
      <c r="Z68" s="76">
        <v>0</v>
      </c>
      <c r="AA68" s="76">
        <v>0</v>
      </c>
      <c r="AB68" s="76">
        <v>0</v>
      </c>
      <c r="AC68" s="76">
        <v>1.04</v>
      </c>
      <c r="AD68" s="76">
        <v>0</v>
      </c>
      <c r="AE68" s="76">
        <v>0</v>
      </c>
      <c r="AF68" s="76">
        <v>0</v>
      </c>
      <c r="AG68" s="76">
        <v>0</v>
      </c>
      <c r="AH68" s="76">
        <v>0</v>
      </c>
      <c r="AI68" s="76">
        <v>0</v>
      </c>
      <c r="AJ68" s="76">
        <v>0</v>
      </c>
      <c r="AK68" s="76">
        <v>0</v>
      </c>
      <c r="AL68" s="76">
        <v>0</v>
      </c>
      <c r="AM68" s="76">
        <v>0</v>
      </c>
      <c r="AN68" s="76">
        <v>0</v>
      </c>
      <c r="AO68" s="76">
        <v>3</v>
      </c>
      <c r="AP68" s="76">
        <v>0</v>
      </c>
      <c r="AQ68" s="76">
        <v>0</v>
      </c>
      <c r="AR68" s="76">
        <v>0</v>
      </c>
      <c r="AS68" s="76">
        <v>0</v>
      </c>
      <c r="AT68" s="76">
        <v>0</v>
      </c>
      <c r="AU68" s="76">
        <v>0</v>
      </c>
      <c r="AV68" s="76">
        <v>0</v>
      </c>
      <c r="AW68" s="76">
        <v>0</v>
      </c>
      <c r="AX68" s="76">
        <v>0</v>
      </c>
      <c r="AY68" s="76">
        <v>0</v>
      </c>
      <c r="AZ68" s="76">
        <v>0</v>
      </c>
      <c r="BA68" s="76">
        <v>0</v>
      </c>
      <c r="BB68" s="76">
        <v>0</v>
      </c>
      <c r="BC68" s="76">
        <v>0</v>
      </c>
      <c r="BD68" s="76">
        <v>0</v>
      </c>
      <c r="BE68" s="76">
        <v>0</v>
      </c>
      <c r="BF68" s="76">
        <v>0</v>
      </c>
      <c r="BG68" s="76">
        <v>0</v>
      </c>
      <c r="BH68" s="76">
        <v>0</v>
      </c>
      <c r="BI68" s="76">
        <v>0</v>
      </c>
      <c r="BJ68" s="76">
        <v>0</v>
      </c>
      <c r="BK68" s="76">
        <v>0</v>
      </c>
      <c r="BL68" s="76">
        <v>0</v>
      </c>
      <c r="BM68" s="76">
        <v>0</v>
      </c>
      <c r="BN68" s="76">
        <v>0</v>
      </c>
      <c r="BO68" s="76">
        <v>0</v>
      </c>
      <c r="BP68" s="76">
        <v>0</v>
      </c>
      <c r="BQ68" s="76">
        <v>0</v>
      </c>
      <c r="BR68" s="76">
        <v>0</v>
      </c>
      <c r="BS68" s="76">
        <v>0</v>
      </c>
      <c r="BT68" s="76">
        <v>0</v>
      </c>
      <c r="BU68" s="76">
        <v>0</v>
      </c>
      <c r="BV68" s="76">
        <v>0</v>
      </c>
      <c r="BW68" s="76">
        <v>0</v>
      </c>
      <c r="BX68" s="76">
        <v>0</v>
      </c>
      <c r="BY68" s="76">
        <v>0</v>
      </c>
      <c r="BZ68" s="76">
        <v>0</v>
      </c>
    </row>
    <row r="69" spans="1:78" x14ac:dyDescent="0.2">
      <c r="A69" s="62" t="s">
        <v>267</v>
      </c>
      <c r="B69" s="62" t="s">
        <v>22</v>
      </c>
      <c r="C69" s="62" t="s">
        <v>968</v>
      </c>
      <c r="D69" s="62" t="s">
        <v>231</v>
      </c>
      <c r="E69" s="76">
        <f>IF(B69="","",VLOOKUP(B69,dagsoorttabel1,2,FALSE))</f>
        <v>7.8431372549019607E-3</v>
      </c>
      <c r="F69" s="76">
        <v>1</v>
      </c>
      <c r="G69" s="76">
        <f>IF(prodnorm96&gt;0,1/ROUND(prodnorm96,4),0)</f>
        <v>0</v>
      </c>
      <c r="H69" s="66">
        <f>ROUND(uurtarief96,2)</f>
        <v>0</v>
      </c>
      <c r="I69" s="76">
        <v>0</v>
      </c>
      <c r="J69" s="76">
        <v>0</v>
      </c>
      <c r="K69" s="76">
        <v>0</v>
      </c>
      <c r="L69" s="76">
        <v>0</v>
      </c>
      <c r="M69" s="76">
        <v>0</v>
      </c>
      <c r="N69" s="76">
        <v>0</v>
      </c>
      <c r="O69" s="76">
        <v>0</v>
      </c>
      <c r="P69" s="76">
        <v>0</v>
      </c>
      <c r="Q69" s="76">
        <v>0</v>
      </c>
      <c r="R69" s="76">
        <v>0</v>
      </c>
      <c r="S69" s="76">
        <v>0</v>
      </c>
      <c r="T69" s="76">
        <v>0</v>
      </c>
      <c r="U69" s="76">
        <v>0</v>
      </c>
      <c r="V69" s="76">
        <v>0</v>
      </c>
      <c r="W69" s="76">
        <v>0</v>
      </c>
      <c r="X69" s="76">
        <v>0</v>
      </c>
      <c r="Y69" s="76">
        <v>0</v>
      </c>
      <c r="Z69" s="76">
        <v>0</v>
      </c>
      <c r="AA69" s="76">
        <v>0</v>
      </c>
      <c r="AB69" s="76">
        <v>0</v>
      </c>
      <c r="AC69" s="76">
        <v>0</v>
      </c>
      <c r="AD69" s="76">
        <v>0</v>
      </c>
      <c r="AE69" s="76">
        <v>0</v>
      </c>
      <c r="AF69" s="76">
        <v>0</v>
      </c>
      <c r="AG69" s="76">
        <v>0</v>
      </c>
      <c r="AH69" s="76">
        <v>0</v>
      </c>
      <c r="AI69" s="76">
        <v>0</v>
      </c>
      <c r="AJ69" s="76">
        <v>0</v>
      </c>
      <c r="AK69" s="76">
        <v>0</v>
      </c>
      <c r="AL69" s="76">
        <v>0</v>
      </c>
      <c r="AM69" s="76">
        <v>0</v>
      </c>
      <c r="AN69" s="76">
        <v>0</v>
      </c>
      <c r="AO69" s="76">
        <v>0</v>
      </c>
      <c r="AP69" s="76">
        <v>0</v>
      </c>
      <c r="AQ69" s="76">
        <v>0</v>
      </c>
      <c r="AR69" s="76">
        <v>0</v>
      </c>
      <c r="AS69" s="76">
        <v>0</v>
      </c>
      <c r="AT69" s="76">
        <v>0</v>
      </c>
      <c r="AU69" s="76">
        <v>0</v>
      </c>
      <c r="AV69" s="76">
        <v>0</v>
      </c>
      <c r="AW69" s="76">
        <v>0</v>
      </c>
      <c r="AX69" s="76">
        <v>1.7</v>
      </c>
      <c r="AY69" s="76">
        <v>1.3</v>
      </c>
      <c r="AZ69" s="76">
        <v>0</v>
      </c>
      <c r="BA69" s="76">
        <v>0</v>
      </c>
      <c r="BB69" s="76">
        <v>1.1000000000000001</v>
      </c>
      <c r="BC69" s="76">
        <v>0</v>
      </c>
      <c r="BD69" s="76">
        <v>0</v>
      </c>
      <c r="BE69" s="76">
        <v>0</v>
      </c>
      <c r="BF69" s="76">
        <v>0</v>
      </c>
      <c r="BG69" s="76">
        <v>1</v>
      </c>
      <c r="BH69" s="76">
        <v>1.6</v>
      </c>
      <c r="BI69" s="76">
        <v>0</v>
      </c>
      <c r="BJ69" s="76">
        <v>1.5</v>
      </c>
      <c r="BK69" s="76">
        <v>2.1</v>
      </c>
      <c r="BL69" s="76">
        <v>28.5</v>
      </c>
      <c r="BM69" s="76">
        <v>0</v>
      </c>
      <c r="BN69" s="76">
        <v>0</v>
      </c>
      <c r="BO69" s="76">
        <v>1.8</v>
      </c>
      <c r="BP69" s="76">
        <v>0</v>
      </c>
      <c r="BQ69" s="76">
        <v>1.3</v>
      </c>
      <c r="BR69" s="76">
        <v>0</v>
      </c>
      <c r="BS69" s="76">
        <v>1.3</v>
      </c>
      <c r="BT69" s="76">
        <v>4.4000000000000004</v>
      </c>
      <c r="BU69" s="76">
        <v>1.7</v>
      </c>
      <c r="BV69" s="76">
        <v>0</v>
      </c>
      <c r="BW69" s="76">
        <v>0</v>
      </c>
      <c r="BX69" s="76">
        <v>0</v>
      </c>
      <c r="BY69" s="76">
        <v>0</v>
      </c>
      <c r="BZ69" s="76">
        <v>0</v>
      </c>
    </row>
    <row r="70" spans="1:78" x14ac:dyDescent="0.2">
      <c r="A70" s="62" t="s">
        <v>267</v>
      </c>
      <c r="B70" s="62" t="s">
        <v>12</v>
      </c>
      <c r="C70" s="62" t="s">
        <v>968</v>
      </c>
      <c r="D70" s="62" t="s">
        <v>231</v>
      </c>
      <c r="E70" s="76">
        <f>IF(B70="","",VLOOKUP(B70,dagsoorttabel1,2,FALSE))</f>
        <v>0.4</v>
      </c>
      <c r="F70" s="76">
        <v>1</v>
      </c>
      <c r="G70" s="76">
        <f>IF(prodnorm97&gt;0,1/ROUND(prodnorm97,4),0)</f>
        <v>0</v>
      </c>
      <c r="H70" s="66">
        <f>ROUND(uurtarief97,2)</f>
        <v>0</v>
      </c>
      <c r="I70" s="76">
        <v>0</v>
      </c>
      <c r="J70" s="76">
        <v>0</v>
      </c>
      <c r="K70" s="76">
        <v>3.12</v>
      </c>
      <c r="L70" s="76">
        <v>13.5</v>
      </c>
      <c r="M70" s="76">
        <v>9.1</v>
      </c>
      <c r="N70" s="76">
        <v>1.3</v>
      </c>
      <c r="O70" s="76">
        <v>0</v>
      </c>
      <c r="P70" s="76">
        <v>0</v>
      </c>
      <c r="Q70" s="76">
        <v>0</v>
      </c>
      <c r="R70" s="76">
        <v>1</v>
      </c>
      <c r="S70" s="76">
        <v>0</v>
      </c>
      <c r="T70" s="76">
        <v>0</v>
      </c>
      <c r="U70" s="76">
        <v>8.6999999999999993</v>
      </c>
      <c r="V70" s="76">
        <v>0</v>
      </c>
      <c r="W70" s="76">
        <v>0</v>
      </c>
      <c r="X70" s="76">
        <v>0</v>
      </c>
      <c r="Y70" s="76">
        <v>0</v>
      </c>
      <c r="Z70" s="76">
        <v>0</v>
      </c>
      <c r="AA70" s="76">
        <v>0</v>
      </c>
      <c r="AB70" s="76">
        <v>0</v>
      </c>
      <c r="AC70" s="76">
        <v>0</v>
      </c>
      <c r="AD70" s="76">
        <v>0</v>
      </c>
      <c r="AE70" s="76">
        <v>0</v>
      </c>
      <c r="AF70" s="76">
        <v>0</v>
      </c>
      <c r="AG70" s="76">
        <v>0</v>
      </c>
      <c r="AH70" s="76">
        <v>0</v>
      </c>
      <c r="AI70" s="76">
        <v>0</v>
      </c>
      <c r="AJ70" s="76">
        <v>0</v>
      </c>
      <c r="AK70" s="76">
        <v>0</v>
      </c>
      <c r="AL70" s="76">
        <v>0</v>
      </c>
      <c r="AM70" s="76">
        <v>0</v>
      </c>
      <c r="AN70" s="76">
        <v>0</v>
      </c>
      <c r="AO70" s="76">
        <v>0</v>
      </c>
      <c r="AP70" s="76">
        <v>10.7</v>
      </c>
      <c r="AQ70" s="76">
        <v>0</v>
      </c>
      <c r="AR70" s="76">
        <v>23.2</v>
      </c>
      <c r="AS70" s="76">
        <v>7.6</v>
      </c>
      <c r="AT70" s="76">
        <v>0</v>
      </c>
      <c r="AU70" s="76">
        <v>0</v>
      </c>
      <c r="AV70" s="76">
        <v>0</v>
      </c>
      <c r="AW70" s="76">
        <v>0</v>
      </c>
      <c r="AX70" s="76">
        <v>0</v>
      </c>
      <c r="AY70" s="76">
        <v>0</v>
      </c>
      <c r="AZ70" s="76">
        <v>0</v>
      </c>
      <c r="BA70" s="76">
        <v>0</v>
      </c>
      <c r="BB70" s="76">
        <v>0</v>
      </c>
      <c r="BC70" s="76">
        <v>0</v>
      </c>
      <c r="BD70" s="76">
        <v>0</v>
      </c>
      <c r="BE70" s="76">
        <v>0</v>
      </c>
      <c r="BF70" s="76">
        <v>0</v>
      </c>
      <c r="BG70" s="76">
        <v>0</v>
      </c>
      <c r="BH70" s="76">
        <v>0</v>
      </c>
      <c r="BI70" s="76">
        <v>0</v>
      </c>
      <c r="BJ70" s="76">
        <v>0</v>
      </c>
      <c r="BK70" s="76">
        <v>0</v>
      </c>
      <c r="BL70" s="76">
        <v>0</v>
      </c>
      <c r="BM70" s="76">
        <v>0</v>
      </c>
      <c r="BN70" s="76">
        <v>0</v>
      </c>
      <c r="BO70" s="76">
        <v>0</v>
      </c>
      <c r="BP70" s="76">
        <v>0</v>
      </c>
      <c r="BQ70" s="76">
        <v>0</v>
      </c>
      <c r="BR70" s="76">
        <v>0</v>
      </c>
      <c r="BS70" s="76">
        <v>0</v>
      </c>
      <c r="BT70" s="76">
        <v>0</v>
      </c>
      <c r="BU70" s="76">
        <v>0</v>
      </c>
      <c r="BV70" s="76">
        <v>0</v>
      </c>
      <c r="BW70" s="76">
        <v>0</v>
      </c>
      <c r="BX70" s="76">
        <v>0</v>
      </c>
      <c r="BY70" s="76">
        <v>0</v>
      </c>
      <c r="BZ70" s="76">
        <v>0</v>
      </c>
    </row>
    <row r="71" spans="1:78" x14ac:dyDescent="0.2">
      <c r="A71" s="62" t="s">
        <v>267</v>
      </c>
      <c r="B71" s="62" t="s">
        <v>11</v>
      </c>
      <c r="C71" s="62" t="s">
        <v>968</v>
      </c>
      <c r="D71" s="62" t="s">
        <v>231</v>
      </c>
      <c r="E71" s="76">
        <f>IF(B71="","",VLOOKUP(B71,dagsoorttabel1,2,FALSE))</f>
        <v>0.6</v>
      </c>
      <c r="F71" s="76">
        <v>1</v>
      </c>
      <c r="G71" s="76">
        <f>IF(prodnorm98&gt;0,1/ROUND(prodnorm98,4),0)</f>
        <v>0</v>
      </c>
      <c r="H71" s="66">
        <f>ROUND(uurtarief98,2)</f>
        <v>0</v>
      </c>
      <c r="I71" s="76">
        <v>0</v>
      </c>
      <c r="J71" s="76">
        <v>0</v>
      </c>
      <c r="K71" s="76">
        <v>0</v>
      </c>
      <c r="L71" s="76">
        <v>0</v>
      </c>
      <c r="M71" s="76">
        <v>0</v>
      </c>
      <c r="N71" s="76">
        <v>0</v>
      </c>
      <c r="O71" s="76">
        <v>0</v>
      </c>
      <c r="P71" s="76">
        <v>0</v>
      </c>
      <c r="Q71" s="76">
        <v>0</v>
      </c>
      <c r="R71" s="76">
        <v>0</v>
      </c>
      <c r="S71" s="76">
        <v>0</v>
      </c>
      <c r="T71" s="76">
        <v>36</v>
      </c>
      <c r="U71" s="76">
        <v>0</v>
      </c>
      <c r="V71" s="76">
        <v>9</v>
      </c>
      <c r="W71" s="76">
        <v>0</v>
      </c>
      <c r="X71" s="76">
        <v>0</v>
      </c>
      <c r="Y71" s="76">
        <v>9.6999999999999993</v>
      </c>
      <c r="Z71" s="76">
        <v>26.3</v>
      </c>
      <c r="AA71" s="76">
        <v>16.2</v>
      </c>
      <c r="AB71" s="76">
        <v>5.59</v>
      </c>
      <c r="AC71" s="76">
        <v>12.8</v>
      </c>
      <c r="AD71" s="76">
        <v>0</v>
      </c>
      <c r="AE71" s="76">
        <v>0</v>
      </c>
      <c r="AF71" s="76">
        <v>0</v>
      </c>
      <c r="AG71" s="76">
        <v>0</v>
      </c>
      <c r="AH71" s="76">
        <v>0</v>
      </c>
      <c r="AI71" s="76">
        <v>0</v>
      </c>
      <c r="AJ71" s="76">
        <v>0</v>
      </c>
      <c r="AK71" s="76">
        <v>0</v>
      </c>
      <c r="AL71" s="76">
        <v>0</v>
      </c>
      <c r="AM71" s="76">
        <v>0</v>
      </c>
      <c r="AN71" s="76">
        <v>0</v>
      </c>
      <c r="AO71" s="76">
        <v>0</v>
      </c>
      <c r="AP71" s="76">
        <v>0</v>
      </c>
      <c r="AQ71" s="76">
        <v>0</v>
      </c>
      <c r="AR71" s="76">
        <v>0</v>
      </c>
      <c r="AS71" s="76">
        <v>0</v>
      </c>
      <c r="AT71" s="76">
        <v>0</v>
      </c>
      <c r="AU71" s="76">
        <v>5.9</v>
      </c>
      <c r="AV71" s="76">
        <v>0</v>
      </c>
      <c r="AW71" s="76">
        <v>0</v>
      </c>
      <c r="AX71" s="76">
        <v>0</v>
      </c>
      <c r="AY71" s="76">
        <v>0</v>
      </c>
      <c r="AZ71" s="76">
        <v>0</v>
      </c>
      <c r="BA71" s="76">
        <v>0</v>
      </c>
      <c r="BB71" s="76">
        <v>0</v>
      </c>
      <c r="BC71" s="76">
        <v>0</v>
      </c>
      <c r="BD71" s="76">
        <v>0</v>
      </c>
      <c r="BE71" s="76">
        <v>0</v>
      </c>
      <c r="BF71" s="76">
        <v>0</v>
      </c>
      <c r="BG71" s="76">
        <v>0</v>
      </c>
      <c r="BH71" s="76">
        <v>0</v>
      </c>
      <c r="BI71" s="76">
        <v>0</v>
      </c>
      <c r="BJ71" s="76">
        <v>0</v>
      </c>
      <c r="BK71" s="76">
        <v>0</v>
      </c>
      <c r="BL71" s="76">
        <v>0</v>
      </c>
      <c r="BM71" s="76">
        <v>0</v>
      </c>
      <c r="BN71" s="76">
        <v>0</v>
      </c>
      <c r="BO71" s="76">
        <v>0</v>
      </c>
      <c r="BP71" s="76">
        <v>0</v>
      </c>
      <c r="BQ71" s="76">
        <v>0</v>
      </c>
      <c r="BR71" s="76">
        <v>0</v>
      </c>
      <c r="BS71" s="76">
        <v>0</v>
      </c>
      <c r="BT71" s="76">
        <v>0</v>
      </c>
      <c r="BU71" s="76">
        <v>0</v>
      </c>
      <c r="BV71" s="76">
        <v>0</v>
      </c>
      <c r="BW71" s="76">
        <v>0</v>
      </c>
      <c r="BX71" s="76">
        <v>0</v>
      </c>
      <c r="BY71" s="76">
        <v>0</v>
      </c>
      <c r="BZ71" s="76">
        <v>0</v>
      </c>
    </row>
    <row r="72" spans="1:78" x14ac:dyDescent="0.2">
      <c r="A72" s="62" t="s">
        <v>267</v>
      </c>
      <c r="B72" s="62" t="s">
        <v>20</v>
      </c>
      <c r="C72" s="62" t="s">
        <v>968</v>
      </c>
      <c r="D72" s="62" t="s">
        <v>231</v>
      </c>
      <c r="E72" s="76">
        <f>IF(B72="","",VLOOKUP(B72,dagsoorttabel1,2,FALSE))</f>
        <v>1.5686274509803921E-2</v>
      </c>
      <c r="F72" s="76">
        <v>1</v>
      </c>
      <c r="G72" s="76">
        <f>IF(prodnorm99&gt;0,1/ROUND(prodnorm99,4),0)</f>
        <v>0</v>
      </c>
      <c r="H72" s="66">
        <f>ROUND(uurtarief99,2)</f>
        <v>0</v>
      </c>
      <c r="I72" s="76">
        <v>0</v>
      </c>
      <c r="J72" s="76">
        <v>0</v>
      </c>
      <c r="K72" s="76">
        <v>0</v>
      </c>
      <c r="L72" s="76">
        <v>0</v>
      </c>
      <c r="M72" s="76">
        <v>0</v>
      </c>
      <c r="N72" s="76">
        <v>0</v>
      </c>
      <c r="O72" s="76">
        <v>0</v>
      </c>
      <c r="P72" s="76">
        <v>0</v>
      </c>
      <c r="Q72" s="76">
        <v>0</v>
      </c>
      <c r="R72" s="76">
        <v>0</v>
      </c>
      <c r="S72" s="76">
        <v>0</v>
      </c>
      <c r="T72" s="76">
        <v>0</v>
      </c>
      <c r="U72" s="76">
        <v>0</v>
      </c>
      <c r="V72" s="76">
        <v>0</v>
      </c>
      <c r="W72" s="76">
        <v>0</v>
      </c>
      <c r="X72" s="76">
        <v>0</v>
      </c>
      <c r="Y72" s="76">
        <v>0</v>
      </c>
      <c r="Z72" s="76">
        <v>0</v>
      </c>
      <c r="AA72" s="76">
        <v>0</v>
      </c>
      <c r="AB72" s="76">
        <v>0</v>
      </c>
      <c r="AC72" s="76">
        <v>0</v>
      </c>
      <c r="AD72" s="76">
        <v>0</v>
      </c>
      <c r="AE72" s="76">
        <v>0</v>
      </c>
      <c r="AF72" s="76">
        <v>0</v>
      </c>
      <c r="AG72" s="76">
        <v>0</v>
      </c>
      <c r="AH72" s="76">
        <v>0</v>
      </c>
      <c r="AI72" s="76">
        <v>0</v>
      </c>
      <c r="AJ72" s="76">
        <v>0</v>
      </c>
      <c r="AK72" s="76">
        <v>1.5</v>
      </c>
      <c r="AL72" s="76">
        <v>1.9000000000000001</v>
      </c>
      <c r="AM72" s="76">
        <v>0</v>
      </c>
      <c r="AN72" s="76">
        <v>0</v>
      </c>
      <c r="AO72" s="76">
        <v>0</v>
      </c>
      <c r="AP72" s="76">
        <v>0</v>
      </c>
      <c r="AQ72" s="76">
        <v>0</v>
      </c>
      <c r="AR72" s="76">
        <v>0</v>
      </c>
      <c r="AS72" s="76">
        <v>0</v>
      </c>
      <c r="AT72" s="76">
        <v>1.3</v>
      </c>
      <c r="AU72" s="76">
        <v>0</v>
      </c>
      <c r="AV72" s="76">
        <v>0</v>
      </c>
      <c r="AW72" s="76">
        <v>0</v>
      </c>
      <c r="AX72" s="76">
        <v>0</v>
      </c>
      <c r="AY72" s="76">
        <v>0</v>
      </c>
      <c r="AZ72" s="76">
        <v>0</v>
      </c>
      <c r="BA72" s="76">
        <v>0</v>
      </c>
      <c r="BB72" s="76">
        <v>0</v>
      </c>
      <c r="BC72" s="76">
        <v>0</v>
      </c>
      <c r="BD72" s="76">
        <v>1</v>
      </c>
      <c r="BE72" s="76">
        <v>0</v>
      </c>
      <c r="BF72" s="76">
        <v>0</v>
      </c>
      <c r="BG72" s="76">
        <v>0</v>
      </c>
      <c r="BH72" s="76">
        <v>0</v>
      </c>
      <c r="BI72" s="76">
        <v>0</v>
      </c>
      <c r="BJ72" s="76">
        <v>0</v>
      </c>
      <c r="BK72" s="76">
        <v>0</v>
      </c>
      <c r="BL72" s="76">
        <v>0</v>
      </c>
      <c r="BM72" s="76">
        <v>0</v>
      </c>
      <c r="BN72" s="76">
        <v>0</v>
      </c>
      <c r="BO72" s="76">
        <v>0</v>
      </c>
      <c r="BP72" s="76">
        <v>0</v>
      </c>
      <c r="BQ72" s="76">
        <v>0</v>
      </c>
      <c r="BR72" s="76">
        <v>0</v>
      </c>
      <c r="BS72" s="76">
        <v>0</v>
      </c>
      <c r="BT72" s="76">
        <v>0</v>
      </c>
      <c r="BU72" s="76">
        <v>0</v>
      </c>
      <c r="BV72" s="76">
        <v>0</v>
      </c>
      <c r="BW72" s="76">
        <v>0</v>
      </c>
      <c r="BX72" s="76">
        <v>0</v>
      </c>
      <c r="BY72" s="76">
        <v>0</v>
      </c>
      <c r="BZ72" s="76">
        <v>0</v>
      </c>
    </row>
    <row r="73" spans="1:78" x14ac:dyDescent="0.2">
      <c r="A73" s="62" t="s">
        <v>267</v>
      </c>
      <c r="B73" s="62" t="s">
        <v>10</v>
      </c>
      <c r="C73" s="62" t="s">
        <v>968</v>
      </c>
      <c r="D73" s="62" t="s">
        <v>231</v>
      </c>
      <c r="E73" s="76">
        <f>IF(B73="","",VLOOKUP(B73,dagsoorttabel1,2,FALSE))</f>
        <v>0.8</v>
      </c>
      <c r="F73" s="76">
        <v>1</v>
      </c>
      <c r="G73" s="76">
        <f>IF(prodnorm100&gt;0,1/ROUND(prodnorm100,4),0)</f>
        <v>0</v>
      </c>
      <c r="H73" s="66">
        <f>ROUND(uurtarief100,2)</f>
        <v>0</v>
      </c>
      <c r="I73" s="76">
        <v>27.4</v>
      </c>
      <c r="J73" s="76">
        <v>40.840000000000003</v>
      </c>
      <c r="K73" s="76">
        <v>0</v>
      </c>
      <c r="L73" s="76">
        <v>0</v>
      </c>
      <c r="M73" s="76">
        <v>0</v>
      </c>
      <c r="N73" s="76">
        <v>0</v>
      </c>
      <c r="O73" s="76">
        <v>0</v>
      </c>
      <c r="P73" s="76">
        <v>0</v>
      </c>
      <c r="Q73" s="76">
        <v>0</v>
      </c>
      <c r="R73" s="76">
        <v>0</v>
      </c>
      <c r="S73" s="76">
        <v>0</v>
      </c>
      <c r="T73" s="76">
        <v>0</v>
      </c>
      <c r="U73" s="76">
        <v>0</v>
      </c>
      <c r="V73" s="76">
        <v>0</v>
      </c>
      <c r="W73" s="76">
        <v>0</v>
      </c>
      <c r="X73" s="76">
        <v>0</v>
      </c>
      <c r="Y73" s="76">
        <v>0</v>
      </c>
      <c r="Z73" s="76">
        <v>0</v>
      </c>
      <c r="AA73" s="76">
        <v>0</v>
      </c>
      <c r="AB73" s="76">
        <v>0</v>
      </c>
      <c r="AC73" s="76">
        <v>0</v>
      </c>
      <c r="AD73" s="76">
        <v>0</v>
      </c>
      <c r="AE73" s="76">
        <v>0</v>
      </c>
      <c r="AF73" s="76">
        <v>0</v>
      </c>
      <c r="AG73" s="76">
        <v>0</v>
      </c>
      <c r="AH73" s="76">
        <v>0</v>
      </c>
      <c r="AI73" s="76">
        <v>0</v>
      </c>
      <c r="AJ73" s="76">
        <v>0</v>
      </c>
      <c r="AK73" s="76">
        <v>0</v>
      </c>
      <c r="AL73" s="76">
        <v>0</v>
      </c>
      <c r="AM73" s="76">
        <v>0</v>
      </c>
      <c r="AN73" s="76">
        <v>0</v>
      </c>
      <c r="AO73" s="76">
        <v>0</v>
      </c>
      <c r="AP73" s="76">
        <v>0</v>
      </c>
      <c r="AQ73" s="76">
        <v>0</v>
      </c>
      <c r="AR73" s="76">
        <v>0</v>
      </c>
      <c r="AS73" s="76">
        <v>0</v>
      </c>
      <c r="AT73" s="76">
        <v>0</v>
      </c>
      <c r="AU73" s="76">
        <v>0</v>
      </c>
      <c r="AV73" s="76">
        <v>0</v>
      </c>
      <c r="AW73" s="76">
        <v>0</v>
      </c>
      <c r="AX73" s="76">
        <v>0</v>
      </c>
      <c r="AY73" s="76">
        <v>0</v>
      </c>
      <c r="AZ73" s="76">
        <v>0</v>
      </c>
      <c r="BA73" s="76">
        <v>0</v>
      </c>
      <c r="BB73" s="76">
        <v>0</v>
      </c>
      <c r="BC73" s="76">
        <v>0</v>
      </c>
      <c r="BD73" s="76">
        <v>0</v>
      </c>
      <c r="BE73" s="76">
        <v>0</v>
      </c>
      <c r="BF73" s="76">
        <v>0</v>
      </c>
      <c r="BG73" s="76">
        <v>0</v>
      </c>
      <c r="BH73" s="76">
        <v>0</v>
      </c>
      <c r="BI73" s="76">
        <v>0</v>
      </c>
      <c r="BJ73" s="76">
        <v>0</v>
      </c>
      <c r="BK73" s="76">
        <v>0</v>
      </c>
      <c r="BL73" s="76">
        <v>0</v>
      </c>
      <c r="BM73" s="76">
        <v>0</v>
      </c>
      <c r="BN73" s="76">
        <v>0</v>
      </c>
      <c r="BO73" s="76">
        <v>0</v>
      </c>
      <c r="BP73" s="76">
        <v>0</v>
      </c>
      <c r="BQ73" s="76">
        <v>0</v>
      </c>
      <c r="BR73" s="76">
        <v>0</v>
      </c>
      <c r="BS73" s="76">
        <v>0</v>
      </c>
      <c r="BT73" s="76">
        <v>0</v>
      </c>
      <c r="BU73" s="76">
        <v>0</v>
      </c>
      <c r="BV73" s="76">
        <v>0</v>
      </c>
      <c r="BW73" s="76">
        <v>0</v>
      </c>
      <c r="BX73" s="76">
        <v>0</v>
      </c>
      <c r="BY73" s="76">
        <v>0</v>
      </c>
      <c r="BZ73" s="76">
        <v>0</v>
      </c>
    </row>
    <row r="74" spans="1:78" x14ac:dyDescent="0.2">
      <c r="A74" s="62" t="s">
        <v>267</v>
      </c>
      <c r="B74" s="62" t="s">
        <v>9</v>
      </c>
      <c r="C74" s="62" t="s">
        <v>968</v>
      </c>
      <c r="D74" s="62" t="s">
        <v>231</v>
      </c>
      <c r="E74" s="76">
        <f>IF(B74="","",VLOOKUP(B74,dagsoorttabel1,2,FALSE))</f>
        <v>1</v>
      </c>
      <c r="F74" s="76">
        <v>1</v>
      </c>
      <c r="G74" s="76">
        <f>IF(prodnorm101&gt;0,1/ROUND(prodnorm101,4),0)</f>
        <v>0</v>
      </c>
      <c r="H74" s="66">
        <f>ROUND(uurtarief101,2)</f>
        <v>0</v>
      </c>
      <c r="I74" s="76">
        <v>85.8</v>
      </c>
      <c r="J74" s="76">
        <v>0</v>
      </c>
      <c r="K74" s="76">
        <v>34.800000000000004</v>
      </c>
      <c r="L74" s="76">
        <v>8</v>
      </c>
      <c r="M74" s="76">
        <v>3.9000000000000004</v>
      </c>
      <c r="N74" s="76">
        <v>0</v>
      </c>
      <c r="O74" s="76">
        <v>2</v>
      </c>
      <c r="P74" s="76">
        <v>0</v>
      </c>
      <c r="Q74" s="76">
        <v>0</v>
      </c>
      <c r="R74" s="76">
        <v>0</v>
      </c>
      <c r="S74" s="76">
        <v>12.3</v>
      </c>
      <c r="T74" s="76">
        <v>0</v>
      </c>
      <c r="U74" s="76">
        <v>0</v>
      </c>
      <c r="V74" s="76">
        <v>0</v>
      </c>
      <c r="W74" s="76">
        <v>0</v>
      </c>
      <c r="X74" s="76">
        <v>0</v>
      </c>
      <c r="Y74" s="76">
        <v>0</v>
      </c>
      <c r="Z74" s="76">
        <v>0</v>
      </c>
      <c r="AA74" s="76">
        <v>0</v>
      </c>
      <c r="AB74" s="76">
        <v>0</v>
      </c>
      <c r="AC74" s="76">
        <v>0</v>
      </c>
      <c r="AD74" s="76">
        <v>0</v>
      </c>
      <c r="AE74" s="76">
        <v>0</v>
      </c>
      <c r="AF74" s="76">
        <v>0</v>
      </c>
      <c r="AG74" s="76">
        <v>0</v>
      </c>
      <c r="AH74" s="76">
        <v>0</v>
      </c>
      <c r="AI74" s="76">
        <v>0</v>
      </c>
      <c r="AJ74" s="76">
        <v>0</v>
      </c>
      <c r="AK74" s="76">
        <v>0</v>
      </c>
      <c r="AL74" s="76">
        <v>0</v>
      </c>
      <c r="AM74" s="76">
        <v>0</v>
      </c>
      <c r="AN74" s="76">
        <v>0</v>
      </c>
      <c r="AO74" s="76">
        <v>0</v>
      </c>
      <c r="AP74" s="76">
        <v>0</v>
      </c>
      <c r="AQ74" s="76">
        <v>0</v>
      </c>
      <c r="AR74" s="76">
        <v>0</v>
      </c>
      <c r="AS74" s="76">
        <v>0</v>
      </c>
      <c r="AT74" s="76">
        <v>0</v>
      </c>
      <c r="AU74" s="76">
        <v>0</v>
      </c>
      <c r="AV74" s="76">
        <v>0</v>
      </c>
      <c r="AW74" s="76">
        <v>0</v>
      </c>
      <c r="AX74" s="76">
        <v>0</v>
      </c>
      <c r="AY74" s="76">
        <v>0</v>
      </c>
      <c r="AZ74" s="76">
        <v>0</v>
      </c>
      <c r="BA74" s="76">
        <v>0</v>
      </c>
      <c r="BB74" s="76">
        <v>0</v>
      </c>
      <c r="BC74" s="76">
        <v>0</v>
      </c>
      <c r="BD74" s="76">
        <v>0</v>
      </c>
      <c r="BE74" s="76">
        <v>0</v>
      </c>
      <c r="BF74" s="76">
        <v>0</v>
      </c>
      <c r="BG74" s="76">
        <v>0</v>
      </c>
      <c r="BH74" s="76">
        <v>0</v>
      </c>
      <c r="BI74" s="76">
        <v>0</v>
      </c>
      <c r="BJ74" s="76">
        <v>0</v>
      </c>
      <c r="BK74" s="76">
        <v>0</v>
      </c>
      <c r="BL74" s="76">
        <v>0</v>
      </c>
      <c r="BM74" s="76">
        <v>0</v>
      </c>
      <c r="BN74" s="76">
        <v>0</v>
      </c>
      <c r="BO74" s="76">
        <v>0</v>
      </c>
      <c r="BP74" s="76">
        <v>0</v>
      </c>
      <c r="BQ74" s="76">
        <v>0</v>
      </c>
      <c r="BR74" s="76">
        <v>0</v>
      </c>
      <c r="BS74" s="76">
        <v>0</v>
      </c>
      <c r="BT74" s="76">
        <v>0</v>
      </c>
      <c r="BU74" s="76">
        <v>0</v>
      </c>
      <c r="BV74" s="76">
        <v>0</v>
      </c>
      <c r="BW74" s="76">
        <v>0</v>
      </c>
      <c r="BX74" s="76">
        <v>0</v>
      </c>
      <c r="BY74" s="76">
        <v>0</v>
      </c>
      <c r="BZ74" s="76">
        <v>0</v>
      </c>
    </row>
    <row r="75" spans="1:78" x14ac:dyDescent="0.2">
      <c r="A75" s="62" t="s">
        <v>269</v>
      </c>
      <c r="B75" s="62" t="s">
        <v>10</v>
      </c>
      <c r="C75" s="62" t="s">
        <v>968</v>
      </c>
      <c r="D75" s="62" t="s">
        <v>231</v>
      </c>
      <c r="E75" s="76">
        <f>IF(B75="","",VLOOKUP(B75,dagsoorttabel1,2,FALSE))</f>
        <v>0.8</v>
      </c>
      <c r="F75" s="76">
        <v>1</v>
      </c>
      <c r="G75" s="76">
        <f>IF(prodnorm102&gt;0,1/ROUND(prodnorm102,4),0)</f>
        <v>0</v>
      </c>
      <c r="H75" s="66">
        <f>ROUND(uurtarief102,2)</f>
        <v>0</v>
      </c>
      <c r="I75" s="76">
        <v>27.4</v>
      </c>
      <c r="J75" s="76">
        <v>0</v>
      </c>
      <c r="K75" s="76">
        <v>0</v>
      </c>
      <c r="L75" s="76">
        <v>0</v>
      </c>
      <c r="M75" s="76">
        <v>0</v>
      </c>
      <c r="N75" s="76">
        <v>0</v>
      </c>
      <c r="O75" s="76">
        <v>0</v>
      </c>
      <c r="P75" s="76">
        <v>0</v>
      </c>
      <c r="Q75" s="76">
        <v>0</v>
      </c>
      <c r="R75" s="76">
        <v>0</v>
      </c>
      <c r="S75" s="76">
        <v>0</v>
      </c>
      <c r="T75" s="76">
        <v>0</v>
      </c>
      <c r="U75" s="76">
        <v>0</v>
      </c>
      <c r="V75" s="76">
        <v>0</v>
      </c>
      <c r="W75" s="76">
        <v>0</v>
      </c>
      <c r="X75" s="76">
        <v>0</v>
      </c>
      <c r="Y75" s="76">
        <v>0</v>
      </c>
      <c r="Z75" s="76">
        <v>0</v>
      </c>
      <c r="AA75" s="76">
        <v>0</v>
      </c>
      <c r="AB75" s="76">
        <v>0</v>
      </c>
      <c r="AC75" s="76">
        <v>0</v>
      </c>
      <c r="AD75" s="76">
        <v>0</v>
      </c>
      <c r="AE75" s="76">
        <v>0</v>
      </c>
      <c r="AF75" s="76">
        <v>0</v>
      </c>
      <c r="AG75" s="76">
        <v>0</v>
      </c>
      <c r="AH75" s="76">
        <v>0</v>
      </c>
      <c r="AI75" s="76">
        <v>0</v>
      </c>
      <c r="AJ75" s="76">
        <v>0</v>
      </c>
      <c r="AK75" s="76">
        <v>0</v>
      </c>
      <c r="AL75" s="76">
        <v>0</v>
      </c>
      <c r="AM75" s="76">
        <v>0</v>
      </c>
      <c r="AN75" s="76">
        <v>0</v>
      </c>
      <c r="AO75" s="76">
        <v>0</v>
      </c>
      <c r="AP75" s="76">
        <v>0</v>
      </c>
      <c r="AQ75" s="76">
        <v>0</v>
      </c>
      <c r="AR75" s="76">
        <v>0</v>
      </c>
      <c r="AS75" s="76">
        <v>0</v>
      </c>
      <c r="AT75" s="76">
        <v>0</v>
      </c>
      <c r="AU75" s="76">
        <v>0</v>
      </c>
      <c r="AV75" s="76">
        <v>0</v>
      </c>
      <c r="AW75" s="76">
        <v>0</v>
      </c>
      <c r="AX75" s="76">
        <v>0</v>
      </c>
      <c r="AY75" s="76">
        <v>0</v>
      </c>
      <c r="AZ75" s="76">
        <v>0</v>
      </c>
      <c r="BA75" s="76">
        <v>0</v>
      </c>
      <c r="BB75" s="76">
        <v>0</v>
      </c>
      <c r="BC75" s="76">
        <v>0</v>
      </c>
      <c r="BD75" s="76">
        <v>0</v>
      </c>
      <c r="BE75" s="76">
        <v>0</v>
      </c>
      <c r="BF75" s="76">
        <v>0</v>
      </c>
      <c r="BG75" s="76">
        <v>0</v>
      </c>
      <c r="BH75" s="76">
        <v>0</v>
      </c>
      <c r="BI75" s="76">
        <v>0</v>
      </c>
      <c r="BJ75" s="76">
        <v>0</v>
      </c>
      <c r="BK75" s="76">
        <v>0</v>
      </c>
      <c r="BL75" s="76">
        <v>0</v>
      </c>
      <c r="BM75" s="76">
        <v>0</v>
      </c>
      <c r="BN75" s="76">
        <v>0</v>
      </c>
      <c r="BO75" s="76">
        <v>0</v>
      </c>
      <c r="BP75" s="76">
        <v>0</v>
      </c>
      <c r="BQ75" s="76">
        <v>0</v>
      </c>
      <c r="BR75" s="76">
        <v>0</v>
      </c>
      <c r="BS75" s="76">
        <v>0</v>
      </c>
      <c r="BT75" s="76">
        <v>0</v>
      </c>
      <c r="BU75" s="76">
        <v>0</v>
      </c>
      <c r="BV75" s="76">
        <v>0</v>
      </c>
      <c r="BW75" s="76">
        <v>0</v>
      </c>
      <c r="BX75" s="76">
        <v>0</v>
      </c>
      <c r="BY75" s="76">
        <v>0</v>
      </c>
      <c r="BZ75" s="76">
        <v>0</v>
      </c>
    </row>
    <row r="76" spans="1:78" x14ac:dyDescent="0.2">
      <c r="A76" s="62" t="s">
        <v>269</v>
      </c>
      <c r="B76" s="62" t="s">
        <v>9</v>
      </c>
      <c r="C76" s="62" t="s">
        <v>968</v>
      </c>
      <c r="D76" s="62" t="s">
        <v>231</v>
      </c>
      <c r="E76" s="76">
        <f>IF(B76="","",VLOOKUP(B76,dagsoorttabel1,2,FALSE))</f>
        <v>1</v>
      </c>
      <c r="F76" s="76">
        <v>1</v>
      </c>
      <c r="G76" s="76">
        <f>IF(prodnorm103&gt;0,1/ROUND(prodnorm103,4),0)</f>
        <v>0</v>
      </c>
      <c r="H76" s="66">
        <f>ROUND(uurtarief103,2)</f>
        <v>0</v>
      </c>
      <c r="I76" s="76">
        <v>85.8</v>
      </c>
      <c r="J76" s="76">
        <v>0</v>
      </c>
      <c r="K76" s="76">
        <v>0</v>
      </c>
      <c r="L76" s="76">
        <v>0</v>
      </c>
      <c r="M76" s="76">
        <v>0</v>
      </c>
      <c r="N76" s="76">
        <v>0</v>
      </c>
      <c r="O76" s="76">
        <v>0</v>
      </c>
      <c r="P76" s="76">
        <v>0</v>
      </c>
      <c r="Q76" s="76">
        <v>0</v>
      </c>
      <c r="R76" s="76">
        <v>0</v>
      </c>
      <c r="S76" s="76">
        <v>0</v>
      </c>
      <c r="T76" s="76">
        <v>0</v>
      </c>
      <c r="U76" s="76">
        <v>0</v>
      </c>
      <c r="V76" s="76">
        <v>0</v>
      </c>
      <c r="W76" s="76">
        <v>0</v>
      </c>
      <c r="X76" s="76">
        <v>0</v>
      </c>
      <c r="Y76" s="76">
        <v>0</v>
      </c>
      <c r="Z76" s="76">
        <v>0</v>
      </c>
      <c r="AA76" s="76">
        <v>0</v>
      </c>
      <c r="AB76" s="76">
        <v>0</v>
      </c>
      <c r="AC76" s="76">
        <v>0</v>
      </c>
      <c r="AD76" s="76">
        <v>0</v>
      </c>
      <c r="AE76" s="76">
        <v>0</v>
      </c>
      <c r="AF76" s="76">
        <v>0</v>
      </c>
      <c r="AG76" s="76">
        <v>0</v>
      </c>
      <c r="AH76" s="76">
        <v>0</v>
      </c>
      <c r="AI76" s="76">
        <v>0</v>
      </c>
      <c r="AJ76" s="76">
        <v>0</v>
      </c>
      <c r="AK76" s="76">
        <v>0</v>
      </c>
      <c r="AL76" s="76">
        <v>0</v>
      </c>
      <c r="AM76" s="76">
        <v>0</v>
      </c>
      <c r="AN76" s="76">
        <v>0</v>
      </c>
      <c r="AO76" s="76">
        <v>0</v>
      </c>
      <c r="AP76" s="76">
        <v>0</v>
      </c>
      <c r="AQ76" s="76">
        <v>0</v>
      </c>
      <c r="AR76" s="76">
        <v>0</v>
      </c>
      <c r="AS76" s="76">
        <v>0</v>
      </c>
      <c r="AT76" s="76">
        <v>0</v>
      </c>
      <c r="AU76" s="76">
        <v>0</v>
      </c>
      <c r="AV76" s="76">
        <v>0</v>
      </c>
      <c r="AW76" s="76">
        <v>0</v>
      </c>
      <c r="AX76" s="76">
        <v>0</v>
      </c>
      <c r="AY76" s="76">
        <v>0</v>
      </c>
      <c r="AZ76" s="76">
        <v>0</v>
      </c>
      <c r="BA76" s="76">
        <v>0</v>
      </c>
      <c r="BB76" s="76">
        <v>0</v>
      </c>
      <c r="BC76" s="76">
        <v>0</v>
      </c>
      <c r="BD76" s="76">
        <v>0</v>
      </c>
      <c r="BE76" s="76">
        <v>0</v>
      </c>
      <c r="BF76" s="76">
        <v>0</v>
      </c>
      <c r="BG76" s="76">
        <v>0</v>
      </c>
      <c r="BH76" s="76">
        <v>0</v>
      </c>
      <c r="BI76" s="76">
        <v>0</v>
      </c>
      <c r="BJ76" s="76">
        <v>0</v>
      </c>
      <c r="BK76" s="76">
        <v>0</v>
      </c>
      <c r="BL76" s="76">
        <v>0</v>
      </c>
      <c r="BM76" s="76">
        <v>0</v>
      </c>
      <c r="BN76" s="76">
        <v>0</v>
      </c>
      <c r="BO76" s="76">
        <v>0</v>
      </c>
      <c r="BP76" s="76">
        <v>0</v>
      </c>
      <c r="BQ76" s="76">
        <v>0</v>
      </c>
      <c r="BR76" s="76">
        <v>0</v>
      </c>
      <c r="BS76" s="76">
        <v>0</v>
      </c>
      <c r="BT76" s="76">
        <v>0</v>
      </c>
      <c r="BU76" s="76">
        <v>0</v>
      </c>
      <c r="BV76" s="76">
        <v>0</v>
      </c>
      <c r="BW76" s="76">
        <v>0</v>
      </c>
      <c r="BX76" s="76">
        <v>0</v>
      </c>
      <c r="BY76" s="76">
        <v>0</v>
      </c>
      <c r="BZ76" s="76">
        <v>0</v>
      </c>
    </row>
    <row r="77" spans="1:78" x14ac:dyDescent="0.2">
      <c r="A77" s="62" t="s">
        <v>271</v>
      </c>
      <c r="B77" s="62" t="s">
        <v>13</v>
      </c>
      <c r="C77" s="62" t="s">
        <v>968</v>
      </c>
      <c r="D77" s="62" t="s">
        <v>231</v>
      </c>
      <c r="E77" s="76">
        <f>IF(B77="","",VLOOKUP(B77,dagsoorttabel1,2,FALSE))</f>
        <v>0.2</v>
      </c>
      <c r="F77" s="76">
        <v>1</v>
      </c>
      <c r="G77" s="76">
        <f>IF(prodnorm104&gt;0,1/ROUND(prodnorm104,4),0)</f>
        <v>0</v>
      </c>
      <c r="H77" s="66">
        <f>ROUND(uurtarief104,2)</f>
        <v>0</v>
      </c>
      <c r="I77" s="76">
        <v>0</v>
      </c>
      <c r="J77" s="76">
        <v>0</v>
      </c>
      <c r="K77" s="76">
        <v>0</v>
      </c>
      <c r="L77" s="76">
        <v>0</v>
      </c>
      <c r="M77" s="76">
        <v>0</v>
      </c>
      <c r="N77" s="76">
        <v>0</v>
      </c>
      <c r="O77" s="76">
        <v>0</v>
      </c>
      <c r="P77" s="76">
        <v>0</v>
      </c>
      <c r="Q77" s="76">
        <v>0</v>
      </c>
      <c r="R77" s="76">
        <v>0</v>
      </c>
      <c r="S77" s="76">
        <v>0</v>
      </c>
      <c r="T77" s="76">
        <v>0</v>
      </c>
      <c r="U77" s="76">
        <v>0</v>
      </c>
      <c r="V77" s="76">
        <v>0</v>
      </c>
      <c r="W77" s="76">
        <v>0</v>
      </c>
      <c r="X77" s="76">
        <v>0</v>
      </c>
      <c r="Y77" s="76">
        <v>0</v>
      </c>
      <c r="Z77" s="76">
        <v>0</v>
      </c>
      <c r="AA77" s="76">
        <v>0</v>
      </c>
      <c r="AB77" s="76">
        <v>0</v>
      </c>
      <c r="AC77" s="76">
        <v>0</v>
      </c>
      <c r="AD77" s="76">
        <v>0</v>
      </c>
      <c r="AE77" s="76">
        <v>9.5</v>
      </c>
      <c r="AF77" s="76">
        <v>0</v>
      </c>
      <c r="AG77" s="76">
        <v>0</v>
      </c>
      <c r="AH77" s="76">
        <v>0</v>
      </c>
      <c r="AI77" s="76">
        <v>0</v>
      </c>
      <c r="AJ77" s="76">
        <v>0</v>
      </c>
      <c r="AK77" s="76">
        <v>0</v>
      </c>
      <c r="AL77" s="76">
        <v>0</v>
      </c>
      <c r="AM77" s="76">
        <v>0</v>
      </c>
      <c r="AN77" s="76">
        <v>0</v>
      </c>
      <c r="AO77" s="76">
        <v>0</v>
      </c>
      <c r="AP77" s="76">
        <v>0</v>
      </c>
      <c r="AQ77" s="76">
        <v>0</v>
      </c>
      <c r="AR77" s="76">
        <v>0</v>
      </c>
      <c r="AS77" s="76">
        <v>0</v>
      </c>
      <c r="AT77" s="76">
        <v>0</v>
      </c>
      <c r="AU77" s="76">
        <v>0</v>
      </c>
      <c r="AV77" s="76">
        <v>0</v>
      </c>
      <c r="AW77" s="76">
        <v>0</v>
      </c>
      <c r="AX77" s="76">
        <v>0</v>
      </c>
      <c r="AY77" s="76">
        <v>0</v>
      </c>
      <c r="AZ77" s="76">
        <v>0</v>
      </c>
      <c r="BA77" s="76">
        <v>0</v>
      </c>
      <c r="BB77" s="76">
        <v>0</v>
      </c>
      <c r="BC77" s="76">
        <v>0</v>
      </c>
      <c r="BD77" s="76">
        <v>0</v>
      </c>
      <c r="BE77" s="76">
        <v>0</v>
      </c>
      <c r="BF77" s="76">
        <v>0</v>
      </c>
      <c r="BG77" s="76">
        <v>0</v>
      </c>
      <c r="BH77" s="76">
        <v>0</v>
      </c>
      <c r="BI77" s="76">
        <v>0</v>
      </c>
      <c r="BJ77" s="76">
        <v>0</v>
      </c>
      <c r="BK77" s="76">
        <v>0</v>
      </c>
      <c r="BL77" s="76">
        <v>0</v>
      </c>
      <c r="BM77" s="76">
        <v>0</v>
      </c>
      <c r="BN77" s="76">
        <v>0</v>
      </c>
      <c r="BO77" s="76">
        <v>0</v>
      </c>
      <c r="BP77" s="76">
        <v>0</v>
      </c>
      <c r="BQ77" s="76">
        <v>0</v>
      </c>
      <c r="BR77" s="76">
        <v>0</v>
      </c>
      <c r="BS77" s="76">
        <v>0</v>
      </c>
      <c r="BT77" s="76">
        <v>0</v>
      </c>
      <c r="BU77" s="76">
        <v>0</v>
      </c>
      <c r="BV77" s="76">
        <v>0</v>
      </c>
      <c r="BW77" s="76">
        <v>0</v>
      </c>
      <c r="BX77" s="76">
        <v>0</v>
      </c>
      <c r="BY77" s="76">
        <v>0</v>
      </c>
      <c r="BZ77" s="76">
        <v>0</v>
      </c>
    </row>
    <row r="78" spans="1:78" x14ac:dyDescent="0.2">
      <c r="A78" s="62" t="s">
        <v>271</v>
      </c>
      <c r="B78" s="62" t="s">
        <v>12</v>
      </c>
      <c r="C78" s="62" t="s">
        <v>968</v>
      </c>
      <c r="D78" s="62" t="s">
        <v>231</v>
      </c>
      <c r="E78" s="76">
        <f>IF(B78="","",VLOOKUP(B78,dagsoorttabel1,2,FALSE))</f>
        <v>0.4</v>
      </c>
      <c r="F78" s="76">
        <v>1</v>
      </c>
      <c r="G78" s="76">
        <f>IF(prodnorm105&gt;0,1/ROUND(prodnorm105,4),0)</f>
        <v>0</v>
      </c>
      <c r="H78" s="66">
        <f>ROUND(uurtarief105,2)</f>
        <v>0</v>
      </c>
      <c r="I78" s="76">
        <v>0</v>
      </c>
      <c r="J78" s="76">
        <v>0</v>
      </c>
      <c r="K78" s="76">
        <v>0</v>
      </c>
      <c r="L78" s="76">
        <v>0</v>
      </c>
      <c r="M78" s="76">
        <v>0</v>
      </c>
      <c r="N78" s="76">
        <v>0</v>
      </c>
      <c r="O78" s="76">
        <v>0</v>
      </c>
      <c r="P78" s="76">
        <v>0</v>
      </c>
      <c r="Q78" s="76">
        <v>0</v>
      </c>
      <c r="R78" s="76">
        <v>0</v>
      </c>
      <c r="S78" s="76">
        <v>0</v>
      </c>
      <c r="T78" s="76">
        <v>0</v>
      </c>
      <c r="U78" s="76">
        <v>0</v>
      </c>
      <c r="V78" s="76">
        <v>0</v>
      </c>
      <c r="W78" s="76">
        <v>0</v>
      </c>
      <c r="X78" s="76">
        <v>0</v>
      </c>
      <c r="Y78" s="76">
        <v>0</v>
      </c>
      <c r="Z78" s="76">
        <v>0</v>
      </c>
      <c r="AA78" s="76">
        <v>0</v>
      </c>
      <c r="AB78" s="76">
        <v>0</v>
      </c>
      <c r="AC78" s="76">
        <v>0</v>
      </c>
      <c r="AD78" s="76">
        <v>0</v>
      </c>
      <c r="AE78" s="76">
        <v>0</v>
      </c>
      <c r="AF78" s="76">
        <v>0</v>
      </c>
      <c r="AG78" s="76">
        <v>0</v>
      </c>
      <c r="AH78" s="76">
        <v>0</v>
      </c>
      <c r="AI78" s="76">
        <v>0</v>
      </c>
      <c r="AJ78" s="76">
        <v>0</v>
      </c>
      <c r="AK78" s="76">
        <v>0</v>
      </c>
      <c r="AL78" s="76">
        <v>0</v>
      </c>
      <c r="AM78" s="76">
        <v>0</v>
      </c>
      <c r="AN78" s="76">
        <v>0</v>
      </c>
      <c r="AO78" s="76">
        <v>0</v>
      </c>
      <c r="AP78" s="76">
        <v>4</v>
      </c>
      <c r="AQ78" s="76">
        <v>0</v>
      </c>
      <c r="AR78" s="76">
        <v>0</v>
      </c>
      <c r="AS78" s="76">
        <v>0</v>
      </c>
      <c r="AT78" s="76">
        <v>0</v>
      </c>
      <c r="AU78" s="76">
        <v>0</v>
      </c>
      <c r="AV78" s="76">
        <v>0</v>
      </c>
      <c r="AW78" s="76">
        <v>0</v>
      </c>
      <c r="AX78" s="76">
        <v>0</v>
      </c>
      <c r="AY78" s="76">
        <v>0</v>
      </c>
      <c r="AZ78" s="76">
        <v>0</v>
      </c>
      <c r="BA78" s="76">
        <v>0</v>
      </c>
      <c r="BB78" s="76">
        <v>0</v>
      </c>
      <c r="BC78" s="76">
        <v>0</v>
      </c>
      <c r="BD78" s="76">
        <v>0</v>
      </c>
      <c r="BE78" s="76">
        <v>0</v>
      </c>
      <c r="BF78" s="76">
        <v>0</v>
      </c>
      <c r="BG78" s="76">
        <v>0</v>
      </c>
      <c r="BH78" s="76">
        <v>0</v>
      </c>
      <c r="BI78" s="76">
        <v>0</v>
      </c>
      <c r="BJ78" s="76">
        <v>0</v>
      </c>
      <c r="BK78" s="76">
        <v>0</v>
      </c>
      <c r="BL78" s="76">
        <v>0</v>
      </c>
      <c r="BM78" s="76">
        <v>0</v>
      </c>
      <c r="BN78" s="76">
        <v>0</v>
      </c>
      <c r="BO78" s="76">
        <v>0</v>
      </c>
      <c r="BP78" s="76">
        <v>0</v>
      </c>
      <c r="BQ78" s="76">
        <v>0</v>
      </c>
      <c r="BR78" s="76">
        <v>0</v>
      </c>
      <c r="BS78" s="76">
        <v>0</v>
      </c>
      <c r="BT78" s="76">
        <v>0</v>
      </c>
      <c r="BU78" s="76">
        <v>0</v>
      </c>
      <c r="BV78" s="76">
        <v>0</v>
      </c>
      <c r="BW78" s="76">
        <v>0</v>
      </c>
      <c r="BX78" s="76">
        <v>0</v>
      </c>
      <c r="BY78" s="76">
        <v>0</v>
      </c>
      <c r="BZ78" s="76">
        <v>0</v>
      </c>
    </row>
    <row r="79" spans="1:78" x14ac:dyDescent="0.2">
      <c r="A79" s="62" t="s">
        <v>273</v>
      </c>
      <c r="B79" s="62" t="s">
        <v>13</v>
      </c>
      <c r="C79" s="62" t="s">
        <v>968</v>
      </c>
      <c r="D79" s="62" t="s">
        <v>231</v>
      </c>
      <c r="E79" s="76">
        <f>IF(B79="","",VLOOKUP(B79,dagsoorttabel1,2,FALSE))</f>
        <v>0.2</v>
      </c>
      <c r="F79" s="76">
        <v>1</v>
      </c>
      <c r="G79" s="76">
        <f>IF(prodnorm106&gt;0,1/ROUND(prodnorm106,4),0)</f>
        <v>0</v>
      </c>
      <c r="H79" s="66">
        <f>ROUND(uurtarief106,2)</f>
        <v>0</v>
      </c>
      <c r="I79" s="76">
        <v>0</v>
      </c>
      <c r="J79" s="76">
        <v>0</v>
      </c>
      <c r="K79" s="76">
        <v>0</v>
      </c>
      <c r="L79" s="76">
        <v>0</v>
      </c>
      <c r="M79" s="76">
        <v>0</v>
      </c>
      <c r="N79" s="76">
        <v>0</v>
      </c>
      <c r="O79" s="76">
        <v>0</v>
      </c>
      <c r="P79" s="76">
        <v>19.399999999999999</v>
      </c>
      <c r="Q79" s="76">
        <v>7</v>
      </c>
      <c r="R79" s="76">
        <v>0</v>
      </c>
      <c r="S79" s="76">
        <v>0</v>
      </c>
      <c r="T79" s="76">
        <v>0</v>
      </c>
      <c r="U79" s="76">
        <v>0</v>
      </c>
      <c r="V79" s="76">
        <v>6.5</v>
      </c>
      <c r="W79" s="76">
        <v>10</v>
      </c>
      <c r="X79" s="76">
        <v>0</v>
      </c>
      <c r="Y79" s="76">
        <v>0</v>
      </c>
      <c r="Z79" s="76">
        <v>0</v>
      </c>
      <c r="AA79" s="76">
        <v>0</v>
      </c>
      <c r="AB79" s="76">
        <v>0</v>
      </c>
      <c r="AC79" s="76">
        <v>0</v>
      </c>
      <c r="AD79" s="76">
        <v>8.6999999999999993</v>
      </c>
      <c r="AE79" s="76">
        <v>4.8</v>
      </c>
      <c r="AF79" s="76">
        <v>0</v>
      </c>
      <c r="AG79" s="76">
        <v>0</v>
      </c>
      <c r="AH79" s="76">
        <v>0</v>
      </c>
      <c r="AI79" s="76">
        <v>0</v>
      </c>
      <c r="AJ79" s="76">
        <v>0</v>
      </c>
      <c r="AK79" s="76">
        <v>0</v>
      </c>
      <c r="AL79" s="76">
        <v>0</v>
      </c>
      <c r="AM79" s="76">
        <v>0</v>
      </c>
      <c r="AN79" s="76">
        <v>0</v>
      </c>
      <c r="AO79" s="76">
        <v>0</v>
      </c>
      <c r="AP79" s="76">
        <v>0</v>
      </c>
      <c r="AQ79" s="76">
        <v>0</v>
      </c>
      <c r="AR79" s="76">
        <v>0</v>
      </c>
      <c r="AS79" s="76">
        <v>0</v>
      </c>
      <c r="AT79" s="76">
        <v>0</v>
      </c>
      <c r="AU79" s="76">
        <v>0</v>
      </c>
      <c r="AV79" s="76">
        <v>0</v>
      </c>
      <c r="AW79" s="76">
        <v>0</v>
      </c>
      <c r="AX79" s="76">
        <v>0</v>
      </c>
      <c r="AY79" s="76">
        <v>0</v>
      </c>
      <c r="AZ79" s="76">
        <v>0</v>
      </c>
      <c r="BA79" s="76">
        <v>0</v>
      </c>
      <c r="BB79" s="76">
        <v>0</v>
      </c>
      <c r="BC79" s="76">
        <v>0</v>
      </c>
      <c r="BD79" s="76">
        <v>0</v>
      </c>
      <c r="BE79" s="76">
        <v>0</v>
      </c>
      <c r="BF79" s="76">
        <v>0</v>
      </c>
      <c r="BG79" s="76">
        <v>0</v>
      </c>
      <c r="BH79" s="76">
        <v>0</v>
      </c>
      <c r="BI79" s="76">
        <v>0</v>
      </c>
      <c r="BJ79" s="76">
        <v>0</v>
      </c>
      <c r="BK79" s="76">
        <v>0</v>
      </c>
      <c r="BL79" s="76">
        <v>0</v>
      </c>
      <c r="BM79" s="76">
        <v>0</v>
      </c>
      <c r="BN79" s="76">
        <v>0</v>
      </c>
      <c r="BO79" s="76">
        <v>0</v>
      </c>
      <c r="BP79" s="76">
        <v>0</v>
      </c>
      <c r="BQ79" s="76">
        <v>0</v>
      </c>
      <c r="BR79" s="76">
        <v>0</v>
      </c>
      <c r="BS79" s="76">
        <v>0</v>
      </c>
      <c r="BT79" s="76">
        <v>0</v>
      </c>
      <c r="BU79" s="76">
        <v>0</v>
      </c>
      <c r="BV79" s="76">
        <v>0</v>
      </c>
      <c r="BW79" s="76">
        <v>0</v>
      </c>
      <c r="BX79" s="76">
        <v>0</v>
      </c>
      <c r="BY79" s="76">
        <v>0</v>
      </c>
      <c r="BZ79" s="76">
        <v>0</v>
      </c>
    </row>
    <row r="80" spans="1:78" x14ac:dyDescent="0.2">
      <c r="A80" s="62" t="s">
        <v>273</v>
      </c>
      <c r="B80" s="62" t="s">
        <v>14</v>
      </c>
      <c r="C80" s="62" t="s">
        <v>968</v>
      </c>
      <c r="D80" s="62" t="s">
        <v>231</v>
      </c>
      <c r="E80" s="76">
        <f>IF(B80="","",VLOOKUP(B80,dagsoorttabel1,2,FALSE))</f>
        <v>0.10196078431372549</v>
      </c>
      <c r="F80" s="76">
        <v>1</v>
      </c>
      <c r="G80" s="76">
        <f>IF(prodnorm107&gt;0,1/ROUND(prodnorm107,4),0)</f>
        <v>0</v>
      </c>
      <c r="H80" s="66">
        <f>ROUND(uurtarief107,2)</f>
        <v>0</v>
      </c>
      <c r="I80" s="76">
        <v>0</v>
      </c>
      <c r="J80" s="76">
        <v>0</v>
      </c>
      <c r="K80" s="76">
        <v>0</v>
      </c>
      <c r="L80" s="76">
        <v>0</v>
      </c>
      <c r="M80" s="76">
        <v>0</v>
      </c>
      <c r="N80" s="76">
        <v>0</v>
      </c>
      <c r="O80" s="76">
        <v>0</v>
      </c>
      <c r="P80" s="76">
        <v>0</v>
      </c>
      <c r="Q80" s="76">
        <v>0</v>
      </c>
      <c r="R80" s="76">
        <v>0</v>
      </c>
      <c r="S80" s="76">
        <v>0</v>
      </c>
      <c r="T80" s="76">
        <v>0</v>
      </c>
      <c r="U80" s="76">
        <v>0</v>
      </c>
      <c r="V80" s="76">
        <v>0</v>
      </c>
      <c r="W80" s="76">
        <v>0</v>
      </c>
      <c r="X80" s="76">
        <v>0</v>
      </c>
      <c r="Y80" s="76">
        <v>0</v>
      </c>
      <c r="Z80" s="76">
        <v>0</v>
      </c>
      <c r="AA80" s="76">
        <v>0</v>
      </c>
      <c r="AB80" s="76">
        <v>0</v>
      </c>
      <c r="AC80" s="76">
        <v>3.25</v>
      </c>
      <c r="AD80" s="76">
        <v>0</v>
      </c>
      <c r="AE80" s="76">
        <v>0</v>
      </c>
      <c r="AF80" s="76">
        <v>0</v>
      </c>
      <c r="AG80" s="76">
        <v>0</v>
      </c>
      <c r="AH80" s="76">
        <v>0</v>
      </c>
      <c r="AI80" s="76">
        <v>0</v>
      </c>
      <c r="AJ80" s="76">
        <v>0</v>
      </c>
      <c r="AK80" s="76">
        <v>0</v>
      </c>
      <c r="AL80" s="76">
        <v>0</v>
      </c>
      <c r="AM80" s="76">
        <v>0</v>
      </c>
      <c r="AN80" s="76">
        <v>0</v>
      </c>
      <c r="AO80" s="76">
        <v>0</v>
      </c>
      <c r="AP80" s="76">
        <v>0</v>
      </c>
      <c r="AQ80" s="76">
        <v>0</v>
      </c>
      <c r="AR80" s="76">
        <v>0</v>
      </c>
      <c r="AS80" s="76">
        <v>0</v>
      </c>
      <c r="AT80" s="76">
        <v>0</v>
      </c>
      <c r="AU80" s="76">
        <v>0</v>
      </c>
      <c r="AV80" s="76">
        <v>0</v>
      </c>
      <c r="AW80" s="76">
        <v>0</v>
      </c>
      <c r="AX80" s="76">
        <v>0</v>
      </c>
      <c r="AY80" s="76">
        <v>0</v>
      </c>
      <c r="AZ80" s="76">
        <v>0</v>
      </c>
      <c r="BA80" s="76">
        <v>0</v>
      </c>
      <c r="BB80" s="76">
        <v>0</v>
      </c>
      <c r="BC80" s="76">
        <v>0</v>
      </c>
      <c r="BD80" s="76">
        <v>0</v>
      </c>
      <c r="BE80" s="76">
        <v>0</v>
      </c>
      <c r="BF80" s="76">
        <v>0</v>
      </c>
      <c r="BG80" s="76">
        <v>0</v>
      </c>
      <c r="BH80" s="76">
        <v>0</v>
      </c>
      <c r="BI80" s="76">
        <v>0</v>
      </c>
      <c r="BJ80" s="76">
        <v>0</v>
      </c>
      <c r="BK80" s="76">
        <v>0</v>
      </c>
      <c r="BL80" s="76">
        <v>0</v>
      </c>
      <c r="BM80" s="76">
        <v>0</v>
      </c>
      <c r="BN80" s="76">
        <v>0</v>
      </c>
      <c r="BO80" s="76">
        <v>0</v>
      </c>
      <c r="BP80" s="76">
        <v>0</v>
      </c>
      <c r="BQ80" s="76">
        <v>0</v>
      </c>
      <c r="BR80" s="76">
        <v>0</v>
      </c>
      <c r="BS80" s="76">
        <v>0</v>
      </c>
      <c r="BT80" s="76">
        <v>0</v>
      </c>
      <c r="BU80" s="76">
        <v>0</v>
      </c>
      <c r="BV80" s="76">
        <v>0</v>
      </c>
      <c r="BW80" s="76">
        <v>0</v>
      </c>
      <c r="BX80" s="76">
        <v>0</v>
      </c>
      <c r="BY80" s="76">
        <v>0</v>
      </c>
      <c r="BZ80" s="76">
        <v>0</v>
      </c>
    </row>
    <row r="81" spans="1:78" x14ac:dyDescent="0.2">
      <c r="A81" s="62" t="s">
        <v>273</v>
      </c>
      <c r="B81" s="62" t="s">
        <v>22</v>
      </c>
      <c r="C81" s="62" t="s">
        <v>968</v>
      </c>
      <c r="D81" s="62" t="s">
        <v>231</v>
      </c>
      <c r="E81" s="76">
        <f>IF(B81="","",VLOOKUP(B81,dagsoorttabel1,2,FALSE))</f>
        <v>7.8431372549019607E-3</v>
      </c>
      <c r="F81" s="76">
        <v>1</v>
      </c>
      <c r="G81" s="76">
        <f>IF(prodnorm108&gt;0,1/ROUND(prodnorm108,4),0)</f>
        <v>0</v>
      </c>
      <c r="H81" s="66">
        <f>ROUND(uurtarief108,2)</f>
        <v>0</v>
      </c>
      <c r="I81" s="76">
        <v>0</v>
      </c>
      <c r="J81" s="76">
        <v>0</v>
      </c>
      <c r="K81" s="76">
        <v>0</v>
      </c>
      <c r="L81" s="76">
        <v>0</v>
      </c>
      <c r="M81" s="76">
        <v>0</v>
      </c>
      <c r="N81" s="76">
        <v>0</v>
      </c>
      <c r="O81" s="76">
        <v>0</v>
      </c>
      <c r="P81" s="76">
        <v>0</v>
      </c>
      <c r="Q81" s="76">
        <v>0</v>
      </c>
      <c r="R81" s="76">
        <v>0</v>
      </c>
      <c r="S81" s="76">
        <v>0</v>
      </c>
      <c r="T81" s="76">
        <v>0</v>
      </c>
      <c r="U81" s="76">
        <v>0</v>
      </c>
      <c r="V81" s="76">
        <v>0</v>
      </c>
      <c r="W81" s="76">
        <v>0</v>
      </c>
      <c r="X81" s="76">
        <v>0</v>
      </c>
      <c r="Y81" s="76">
        <v>0</v>
      </c>
      <c r="Z81" s="76">
        <v>0</v>
      </c>
      <c r="AA81" s="76">
        <v>0</v>
      </c>
      <c r="AB81" s="76">
        <v>0</v>
      </c>
      <c r="AC81" s="76">
        <v>0</v>
      </c>
      <c r="AD81" s="76">
        <v>0</v>
      </c>
      <c r="AE81" s="76">
        <v>0</v>
      </c>
      <c r="AF81" s="76">
        <v>0</v>
      </c>
      <c r="AG81" s="76">
        <v>0</v>
      </c>
      <c r="AH81" s="76">
        <v>0</v>
      </c>
      <c r="AI81" s="76">
        <v>0</v>
      </c>
      <c r="AJ81" s="76">
        <v>0</v>
      </c>
      <c r="AK81" s="76">
        <v>0</v>
      </c>
      <c r="AL81" s="76">
        <v>0</v>
      </c>
      <c r="AM81" s="76">
        <v>0</v>
      </c>
      <c r="AN81" s="76">
        <v>0</v>
      </c>
      <c r="AO81" s="76">
        <v>0</v>
      </c>
      <c r="AP81" s="76">
        <v>0</v>
      </c>
      <c r="AQ81" s="76">
        <v>0</v>
      </c>
      <c r="AR81" s="76">
        <v>0</v>
      </c>
      <c r="AS81" s="76">
        <v>0</v>
      </c>
      <c r="AT81" s="76">
        <v>0</v>
      </c>
      <c r="AU81" s="76">
        <v>0</v>
      </c>
      <c r="AV81" s="76">
        <v>0</v>
      </c>
      <c r="AW81" s="76">
        <v>0</v>
      </c>
      <c r="AX81" s="76">
        <v>0</v>
      </c>
      <c r="AY81" s="76">
        <v>0</v>
      </c>
      <c r="AZ81" s="76">
        <v>0</v>
      </c>
      <c r="BA81" s="76">
        <v>0</v>
      </c>
      <c r="BB81" s="76">
        <v>0</v>
      </c>
      <c r="BC81" s="76">
        <v>0</v>
      </c>
      <c r="BD81" s="76">
        <v>0</v>
      </c>
      <c r="BE81" s="76">
        <v>0</v>
      </c>
      <c r="BF81" s="76">
        <v>0</v>
      </c>
      <c r="BG81" s="76">
        <v>3</v>
      </c>
      <c r="BH81" s="76">
        <v>0</v>
      </c>
      <c r="BI81" s="76">
        <v>0</v>
      </c>
      <c r="BJ81" s="76">
        <v>0</v>
      </c>
      <c r="BK81" s="76">
        <v>0</v>
      </c>
      <c r="BL81" s="76">
        <v>0</v>
      </c>
      <c r="BM81" s="76">
        <v>0</v>
      </c>
      <c r="BN81" s="76">
        <v>0</v>
      </c>
      <c r="BO81" s="76">
        <v>0</v>
      </c>
      <c r="BP81" s="76">
        <v>0</v>
      </c>
      <c r="BQ81" s="76">
        <v>0</v>
      </c>
      <c r="BR81" s="76">
        <v>0</v>
      </c>
      <c r="BS81" s="76">
        <v>0</v>
      </c>
      <c r="BT81" s="76">
        <v>1</v>
      </c>
      <c r="BU81" s="76">
        <v>0</v>
      </c>
      <c r="BV81" s="76">
        <v>0</v>
      </c>
      <c r="BW81" s="76">
        <v>0</v>
      </c>
      <c r="BX81" s="76">
        <v>0</v>
      </c>
      <c r="BY81" s="76">
        <v>0</v>
      </c>
      <c r="BZ81" s="76">
        <v>0</v>
      </c>
    </row>
    <row r="82" spans="1:78" x14ac:dyDescent="0.2">
      <c r="A82" s="62" t="s">
        <v>273</v>
      </c>
      <c r="B82" s="62" t="s">
        <v>12</v>
      </c>
      <c r="C82" s="62" t="s">
        <v>968</v>
      </c>
      <c r="D82" s="62" t="s">
        <v>231</v>
      </c>
      <c r="E82" s="76">
        <f>IF(B82="","",VLOOKUP(B82,dagsoorttabel1,2,FALSE))</f>
        <v>0.4</v>
      </c>
      <c r="F82" s="76">
        <v>1</v>
      </c>
      <c r="G82" s="76">
        <f>IF(prodnorm109&gt;0,1/ROUND(prodnorm109,4),0)</f>
        <v>0</v>
      </c>
      <c r="H82" s="66">
        <f>ROUND(uurtarief109,2)</f>
        <v>0</v>
      </c>
      <c r="I82" s="76">
        <v>0</v>
      </c>
      <c r="J82" s="76">
        <v>0</v>
      </c>
      <c r="K82" s="76">
        <v>0</v>
      </c>
      <c r="L82" s="76">
        <v>0</v>
      </c>
      <c r="M82" s="76">
        <v>0</v>
      </c>
      <c r="N82" s="76">
        <v>0</v>
      </c>
      <c r="O82" s="76">
        <v>0</v>
      </c>
      <c r="P82" s="76">
        <v>0</v>
      </c>
      <c r="Q82" s="76">
        <v>0</v>
      </c>
      <c r="R82" s="76">
        <v>0</v>
      </c>
      <c r="S82" s="76">
        <v>0</v>
      </c>
      <c r="T82" s="76">
        <v>0</v>
      </c>
      <c r="U82" s="76">
        <v>63.400000000000006</v>
      </c>
      <c r="V82" s="76">
        <v>0</v>
      </c>
      <c r="W82" s="76">
        <v>0</v>
      </c>
      <c r="X82" s="76">
        <v>0</v>
      </c>
      <c r="Y82" s="76">
        <v>0</v>
      </c>
      <c r="Z82" s="76">
        <v>0</v>
      </c>
      <c r="AA82" s="76">
        <v>0</v>
      </c>
      <c r="AB82" s="76">
        <v>0</v>
      </c>
      <c r="AC82" s="76">
        <v>0</v>
      </c>
      <c r="AD82" s="76">
        <v>0</v>
      </c>
      <c r="AE82" s="76">
        <v>0</v>
      </c>
      <c r="AF82" s="76">
        <v>0</v>
      </c>
      <c r="AG82" s="76">
        <v>0</v>
      </c>
      <c r="AH82" s="76">
        <v>0</v>
      </c>
      <c r="AI82" s="76">
        <v>0</v>
      </c>
      <c r="AJ82" s="76">
        <v>0</v>
      </c>
      <c r="AK82" s="76">
        <v>0</v>
      </c>
      <c r="AL82" s="76">
        <v>0</v>
      </c>
      <c r="AM82" s="76">
        <v>0</v>
      </c>
      <c r="AN82" s="76">
        <v>0</v>
      </c>
      <c r="AO82" s="76">
        <v>0</v>
      </c>
      <c r="AP82" s="76">
        <v>0</v>
      </c>
      <c r="AQ82" s="76">
        <v>0</v>
      </c>
      <c r="AR82" s="76">
        <v>10.3</v>
      </c>
      <c r="AS82" s="76">
        <v>16.2</v>
      </c>
      <c r="AT82" s="76">
        <v>0</v>
      </c>
      <c r="AU82" s="76">
        <v>0</v>
      </c>
      <c r="AV82" s="76">
        <v>0</v>
      </c>
      <c r="AW82" s="76">
        <v>0</v>
      </c>
      <c r="AX82" s="76">
        <v>0</v>
      </c>
      <c r="AY82" s="76">
        <v>0</v>
      </c>
      <c r="AZ82" s="76">
        <v>0</v>
      </c>
      <c r="BA82" s="76">
        <v>0</v>
      </c>
      <c r="BB82" s="76">
        <v>0</v>
      </c>
      <c r="BC82" s="76">
        <v>0</v>
      </c>
      <c r="BD82" s="76">
        <v>0</v>
      </c>
      <c r="BE82" s="76">
        <v>0</v>
      </c>
      <c r="BF82" s="76">
        <v>0</v>
      </c>
      <c r="BG82" s="76">
        <v>0</v>
      </c>
      <c r="BH82" s="76">
        <v>0</v>
      </c>
      <c r="BI82" s="76">
        <v>0</v>
      </c>
      <c r="BJ82" s="76">
        <v>0</v>
      </c>
      <c r="BK82" s="76">
        <v>0</v>
      </c>
      <c r="BL82" s="76">
        <v>0</v>
      </c>
      <c r="BM82" s="76">
        <v>0</v>
      </c>
      <c r="BN82" s="76">
        <v>0</v>
      </c>
      <c r="BO82" s="76">
        <v>0</v>
      </c>
      <c r="BP82" s="76">
        <v>0</v>
      </c>
      <c r="BQ82" s="76">
        <v>0</v>
      </c>
      <c r="BR82" s="76">
        <v>0</v>
      </c>
      <c r="BS82" s="76">
        <v>0</v>
      </c>
      <c r="BT82" s="76">
        <v>0</v>
      </c>
      <c r="BU82" s="76">
        <v>0</v>
      </c>
      <c r="BV82" s="76">
        <v>0</v>
      </c>
      <c r="BW82" s="76">
        <v>0</v>
      </c>
      <c r="BX82" s="76">
        <v>0</v>
      </c>
      <c r="BY82" s="76">
        <v>0</v>
      </c>
      <c r="BZ82" s="76">
        <v>0</v>
      </c>
    </row>
    <row r="83" spans="1:78" x14ac:dyDescent="0.2">
      <c r="A83" s="62" t="s">
        <v>273</v>
      </c>
      <c r="B83" s="62" t="s">
        <v>11</v>
      </c>
      <c r="C83" s="62" t="s">
        <v>968</v>
      </c>
      <c r="D83" s="62" t="s">
        <v>231</v>
      </c>
      <c r="E83" s="76">
        <f>IF(B83="","",VLOOKUP(B83,dagsoorttabel1,2,FALSE))</f>
        <v>0.6</v>
      </c>
      <c r="F83" s="76">
        <v>1</v>
      </c>
      <c r="G83" s="76">
        <f>IF(prodnorm110&gt;0,1/ROUND(prodnorm110,4),0)</f>
        <v>0</v>
      </c>
      <c r="H83" s="66">
        <f>ROUND(uurtarief110,2)</f>
        <v>0</v>
      </c>
      <c r="I83" s="76">
        <v>0</v>
      </c>
      <c r="J83" s="76">
        <v>0</v>
      </c>
      <c r="K83" s="76">
        <v>0</v>
      </c>
      <c r="L83" s="76">
        <v>0</v>
      </c>
      <c r="M83" s="76">
        <v>0</v>
      </c>
      <c r="N83" s="76">
        <v>0</v>
      </c>
      <c r="O83" s="76">
        <v>0</v>
      </c>
      <c r="P83" s="76">
        <v>0</v>
      </c>
      <c r="Q83" s="76">
        <v>0</v>
      </c>
      <c r="R83" s="76">
        <v>0</v>
      </c>
      <c r="S83" s="76">
        <v>0</v>
      </c>
      <c r="T83" s="76">
        <v>47</v>
      </c>
      <c r="U83" s="76">
        <v>0</v>
      </c>
      <c r="V83" s="76">
        <v>79</v>
      </c>
      <c r="W83" s="76">
        <v>0</v>
      </c>
      <c r="X83" s="76">
        <v>0</v>
      </c>
      <c r="Y83" s="76">
        <v>75.3</v>
      </c>
      <c r="Z83" s="76">
        <v>33.799999999999997</v>
      </c>
      <c r="AA83" s="76">
        <v>34</v>
      </c>
      <c r="AB83" s="76">
        <v>3.8</v>
      </c>
      <c r="AC83" s="76">
        <v>64.5</v>
      </c>
      <c r="AD83" s="76">
        <v>0</v>
      </c>
      <c r="AE83" s="76">
        <v>0</v>
      </c>
      <c r="AF83" s="76">
        <v>0</v>
      </c>
      <c r="AG83" s="76">
        <v>0</v>
      </c>
      <c r="AH83" s="76">
        <v>0</v>
      </c>
      <c r="AI83" s="76">
        <v>0</v>
      </c>
      <c r="AJ83" s="76">
        <v>0</v>
      </c>
      <c r="AK83" s="76">
        <v>0</v>
      </c>
      <c r="AL83" s="76">
        <v>0</v>
      </c>
      <c r="AM83" s="76">
        <v>0</v>
      </c>
      <c r="AN83" s="76">
        <v>0</v>
      </c>
      <c r="AO83" s="76">
        <v>0</v>
      </c>
      <c r="AP83" s="76">
        <v>0</v>
      </c>
      <c r="AQ83" s="76">
        <v>0</v>
      </c>
      <c r="AR83" s="76">
        <v>0</v>
      </c>
      <c r="AS83" s="76">
        <v>0</v>
      </c>
      <c r="AT83" s="76">
        <v>0</v>
      </c>
      <c r="AU83" s="76">
        <v>4.5</v>
      </c>
      <c r="AV83" s="76">
        <v>0</v>
      </c>
      <c r="AW83" s="76">
        <v>0</v>
      </c>
      <c r="AX83" s="76">
        <v>0</v>
      </c>
      <c r="AY83" s="76">
        <v>0</v>
      </c>
      <c r="AZ83" s="76">
        <v>0</v>
      </c>
      <c r="BA83" s="76">
        <v>0</v>
      </c>
      <c r="BB83" s="76">
        <v>0</v>
      </c>
      <c r="BC83" s="76">
        <v>0</v>
      </c>
      <c r="BD83" s="76">
        <v>0</v>
      </c>
      <c r="BE83" s="76">
        <v>0</v>
      </c>
      <c r="BF83" s="76">
        <v>0</v>
      </c>
      <c r="BG83" s="76">
        <v>0</v>
      </c>
      <c r="BH83" s="76">
        <v>0</v>
      </c>
      <c r="BI83" s="76">
        <v>0</v>
      </c>
      <c r="BJ83" s="76">
        <v>0</v>
      </c>
      <c r="BK83" s="76">
        <v>0</v>
      </c>
      <c r="BL83" s="76">
        <v>0</v>
      </c>
      <c r="BM83" s="76">
        <v>0</v>
      </c>
      <c r="BN83" s="76">
        <v>0</v>
      </c>
      <c r="BO83" s="76">
        <v>0</v>
      </c>
      <c r="BP83" s="76">
        <v>0</v>
      </c>
      <c r="BQ83" s="76">
        <v>0</v>
      </c>
      <c r="BR83" s="76">
        <v>0</v>
      </c>
      <c r="BS83" s="76">
        <v>0</v>
      </c>
      <c r="BT83" s="76">
        <v>0</v>
      </c>
      <c r="BU83" s="76">
        <v>0</v>
      </c>
      <c r="BV83" s="76">
        <v>0</v>
      </c>
      <c r="BW83" s="76">
        <v>0</v>
      </c>
      <c r="BX83" s="76">
        <v>0</v>
      </c>
      <c r="BY83" s="76">
        <v>0</v>
      </c>
      <c r="BZ83" s="76">
        <v>0</v>
      </c>
    </row>
    <row r="84" spans="1:78" x14ac:dyDescent="0.2">
      <c r="A84" s="62" t="s">
        <v>273</v>
      </c>
      <c r="B84" s="62" t="s">
        <v>20</v>
      </c>
      <c r="C84" s="62" t="s">
        <v>968</v>
      </c>
      <c r="D84" s="62" t="s">
        <v>231</v>
      </c>
      <c r="E84" s="76">
        <f>IF(B84="","",VLOOKUP(B84,dagsoorttabel1,2,FALSE))</f>
        <v>1.5686274509803921E-2</v>
      </c>
      <c r="F84" s="76">
        <v>1</v>
      </c>
      <c r="G84" s="76">
        <f>IF(prodnorm111&gt;0,1/ROUND(prodnorm111,4),0)</f>
        <v>0</v>
      </c>
      <c r="H84" s="66">
        <f>ROUND(uurtarief111,2)</f>
        <v>0</v>
      </c>
      <c r="I84" s="76">
        <v>0</v>
      </c>
      <c r="J84" s="76">
        <v>0</v>
      </c>
      <c r="K84" s="76">
        <v>0</v>
      </c>
      <c r="L84" s="76">
        <v>0</v>
      </c>
      <c r="M84" s="76">
        <v>0</v>
      </c>
      <c r="N84" s="76">
        <v>0</v>
      </c>
      <c r="O84" s="76">
        <v>0</v>
      </c>
      <c r="P84" s="76">
        <v>0</v>
      </c>
      <c r="Q84" s="76">
        <v>0</v>
      </c>
      <c r="R84" s="76">
        <v>0</v>
      </c>
      <c r="S84" s="76">
        <v>0</v>
      </c>
      <c r="T84" s="76">
        <v>0</v>
      </c>
      <c r="U84" s="76">
        <v>0</v>
      </c>
      <c r="V84" s="76">
        <v>0</v>
      </c>
      <c r="W84" s="76">
        <v>0</v>
      </c>
      <c r="X84" s="76">
        <v>0</v>
      </c>
      <c r="Y84" s="76">
        <v>0</v>
      </c>
      <c r="Z84" s="76">
        <v>0</v>
      </c>
      <c r="AA84" s="76">
        <v>0</v>
      </c>
      <c r="AB84" s="76">
        <v>0</v>
      </c>
      <c r="AC84" s="76">
        <v>0</v>
      </c>
      <c r="AD84" s="76">
        <v>0</v>
      </c>
      <c r="AE84" s="76">
        <v>0</v>
      </c>
      <c r="AF84" s="76">
        <v>0</v>
      </c>
      <c r="AG84" s="76">
        <v>0</v>
      </c>
      <c r="AH84" s="76">
        <v>0</v>
      </c>
      <c r="AI84" s="76">
        <v>0</v>
      </c>
      <c r="AJ84" s="76">
        <v>0</v>
      </c>
      <c r="AK84" s="76">
        <v>2.8</v>
      </c>
      <c r="AL84" s="76">
        <v>25</v>
      </c>
      <c r="AM84" s="76">
        <v>0</v>
      </c>
      <c r="AN84" s="76">
        <v>0</v>
      </c>
      <c r="AO84" s="76">
        <v>0</v>
      </c>
      <c r="AP84" s="76">
        <v>0</v>
      </c>
      <c r="AQ84" s="76">
        <v>0</v>
      </c>
      <c r="AR84" s="76">
        <v>0</v>
      </c>
      <c r="AS84" s="76">
        <v>0</v>
      </c>
      <c r="AT84" s="76">
        <v>0</v>
      </c>
      <c r="AU84" s="76">
        <v>0</v>
      </c>
      <c r="AV84" s="76">
        <v>0</v>
      </c>
      <c r="AW84" s="76">
        <v>0</v>
      </c>
      <c r="AX84" s="76">
        <v>0</v>
      </c>
      <c r="AY84" s="76">
        <v>0</v>
      </c>
      <c r="AZ84" s="76">
        <v>0</v>
      </c>
      <c r="BA84" s="76">
        <v>0</v>
      </c>
      <c r="BB84" s="76">
        <v>0</v>
      </c>
      <c r="BC84" s="76">
        <v>0</v>
      </c>
      <c r="BD84" s="76">
        <v>13.7</v>
      </c>
      <c r="BE84" s="76">
        <v>0</v>
      </c>
      <c r="BF84" s="76">
        <v>0</v>
      </c>
      <c r="BG84" s="76">
        <v>0</v>
      </c>
      <c r="BH84" s="76">
        <v>0</v>
      </c>
      <c r="BI84" s="76">
        <v>0</v>
      </c>
      <c r="BJ84" s="76">
        <v>0</v>
      </c>
      <c r="BK84" s="76">
        <v>0</v>
      </c>
      <c r="BL84" s="76">
        <v>0</v>
      </c>
      <c r="BM84" s="76">
        <v>0</v>
      </c>
      <c r="BN84" s="76">
        <v>0</v>
      </c>
      <c r="BO84" s="76">
        <v>0</v>
      </c>
      <c r="BP84" s="76">
        <v>0</v>
      </c>
      <c r="BQ84" s="76">
        <v>0</v>
      </c>
      <c r="BR84" s="76">
        <v>0</v>
      </c>
      <c r="BS84" s="76">
        <v>0</v>
      </c>
      <c r="BT84" s="76">
        <v>0</v>
      </c>
      <c r="BU84" s="76">
        <v>0</v>
      </c>
      <c r="BV84" s="76">
        <v>0</v>
      </c>
      <c r="BW84" s="76">
        <v>0</v>
      </c>
      <c r="BX84" s="76">
        <v>0</v>
      </c>
      <c r="BY84" s="76">
        <v>0</v>
      </c>
      <c r="BZ84" s="76">
        <v>0</v>
      </c>
    </row>
    <row r="85" spans="1:78" x14ac:dyDescent="0.2">
      <c r="A85" s="62" t="s">
        <v>273</v>
      </c>
      <c r="B85" s="62" t="s">
        <v>10</v>
      </c>
      <c r="C85" s="62" t="s">
        <v>968</v>
      </c>
      <c r="D85" s="62" t="s">
        <v>231</v>
      </c>
      <c r="E85" s="76">
        <f>IF(B85="","",VLOOKUP(B85,dagsoorttabel1,2,FALSE))</f>
        <v>0.8</v>
      </c>
      <c r="F85" s="76">
        <v>1</v>
      </c>
      <c r="G85" s="76">
        <f>IF(prodnorm112&gt;0,1/ROUND(prodnorm112,4),0)</f>
        <v>0</v>
      </c>
      <c r="H85" s="66">
        <f>ROUND(uurtarief112,2)</f>
        <v>0</v>
      </c>
      <c r="I85" s="76">
        <v>6.5</v>
      </c>
      <c r="J85" s="76">
        <v>70.36</v>
      </c>
      <c r="K85" s="76">
        <v>0</v>
      </c>
      <c r="L85" s="76">
        <v>0</v>
      </c>
      <c r="M85" s="76">
        <v>0</v>
      </c>
      <c r="N85" s="76">
        <v>0</v>
      </c>
      <c r="O85" s="76">
        <v>0</v>
      </c>
      <c r="P85" s="76">
        <v>0</v>
      </c>
      <c r="Q85" s="76">
        <v>0</v>
      </c>
      <c r="R85" s="76">
        <v>0</v>
      </c>
      <c r="S85" s="76">
        <v>0</v>
      </c>
      <c r="T85" s="76">
        <v>0</v>
      </c>
      <c r="U85" s="76">
        <v>0</v>
      </c>
      <c r="V85" s="76">
        <v>0</v>
      </c>
      <c r="W85" s="76">
        <v>0</v>
      </c>
      <c r="X85" s="76">
        <v>0</v>
      </c>
      <c r="Y85" s="76">
        <v>0</v>
      </c>
      <c r="Z85" s="76">
        <v>0</v>
      </c>
      <c r="AA85" s="76">
        <v>0</v>
      </c>
      <c r="AB85" s="76">
        <v>0</v>
      </c>
      <c r="AC85" s="76">
        <v>0</v>
      </c>
      <c r="AD85" s="76">
        <v>0</v>
      </c>
      <c r="AE85" s="76">
        <v>0</v>
      </c>
      <c r="AF85" s="76">
        <v>0</v>
      </c>
      <c r="AG85" s="76">
        <v>0</v>
      </c>
      <c r="AH85" s="76">
        <v>0</v>
      </c>
      <c r="AI85" s="76">
        <v>0</v>
      </c>
      <c r="AJ85" s="76">
        <v>0</v>
      </c>
      <c r="AK85" s="76">
        <v>0</v>
      </c>
      <c r="AL85" s="76">
        <v>0</v>
      </c>
      <c r="AM85" s="76">
        <v>0</v>
      </c>
      <c r="AN85" s="76">
        <v>0</v>
      </c>
      <c r="AO85" s="76">
        <v>0</v>
      </c>
      <c r="AP85" s="76">
        <v>0</v>
      </c>
      <c r="AQ85" s="76">
        <v>0</v>
      </c>
      <c r="AR85" s="76">
        <v>0</v>
      </c>
      <c r="AS85" s="76">
        <v>0</v>
      </c>
      <c r="AT85" s="76">
        <v>0</v>
      </c>
      <c r="AU85" s="76">
        <v>0</v>
      </c>
      <c r="AV85" s="76">
        <v>0</v>
      </c>
      <c r="AW85" s="76">
        <v>0</v>
      </c>
      <c r="AX85" s="76">
        <v>0</v>
      </c>
      <c r="AY85" s="76">
        <v>0</v>
      </c>
      <c r="AZ85" s="76">
        <v>0</v>
      </c>
      <c r="BA85" s="76">
        <v>0</v>
      </c>
      <c r="BB85" s="76">
        <v>0</v>
      </c>
      <c r="BC85" s="76">
        <v>0</v>
      </c>
      <c r="BD85" s="76">
        <v>0</v>
      </c>
      <c r="BE85" s="76">
        <v>0</v>
      </c>
      <c r="BF85" s="76">
        <v>0</v>
      </c>
      <c r="BG85" s="76">
        <v>0</v>
      </c>
      <c r="BH85" s="76">
        <v>0</v>
      </c>
      <c r="BI85" s="76">
        <v>0</v>
      </c>
      <c r="BJ85" s="76">
        <v>0</v>
      </c>
      <c r="BK85" s="76">
        <v>0</v>
      </c>
      <c r="BL85" s="76">
        <v>0</v>
      </c>
      <c r="BM85" s="76">
        <v>0</v>
      </c>
      <c r="BN85" s="76">
        <v>0</v>
      </c>
      <c r="BO85" s="76">
        <v>0</v>
      </c>
      <c r="BP85" s="76">
        <v>0</v>
      </c>
      <c r="BQ85" s="76">
        <v>0</v>
      </c>
      <c r="BR85" s="76">
        <v>0</v>
      </c>
      <c r="BS85" s="76">
        <v>0</v>
      </c>
      <c r="BT85" s="76">
        <v>0</v>
      </c>
      <c r="BU85" s="76">
        <v>0</v>
      </c>
      <c r="BV85" s="76">
        <v>0</v>
      </c>
      <c r="BW85" s="76">
        <v>0</v>
      </c>
      <c r="BX85" s="76">
        <v>0</v>
      </c>
      <c r="BY85" s="76">
        <v>0</v>
      </c>
      <c r="BZ85" s="76">
        <v>0</v>
      </c>
    </row>
    <row r="86" spans="1:78" x14ac:dyDescent="0.2">
      <c r="A86" s="62" t="s">
        <v>273</v>
      </c>
      <c r="B86" s="62" t="s">
        <v>9</v>
      </c>
      <c r="C86" s="62" t="s">
        <v>968</v>
      </c>
      <c r="D86" s="62" t="s">
        <v>231</v>
      </c>
      <c r="E86" s="76">
        <f>IF(B86="","",VLOOKUP(B86,dagsoorttabel1,2,FALSE))</f>
        <v>1</v>
      </c>
      <c r="F86" s="76">
        <v>1</v>
      </c>
      <c r="G86" s="76">
        <f>IF(prodnorm113&gt;0,1/ROUND(prodnorm113,4),0)</f>
        <v>0</v>
      </c>
      <c r="H86" s="66">
        <f>ROUND(uurtarief113,2)</f>
        <v>0</v>
      </c>
      <c r="I86" s="76">
        <v>298.09999999999997</v>
      </c>
      <c r="J86" s="76">
        <v>0</v>
      </c>
      <c r="K86" s="76">
        <v>97.8</v>
      </c>
      <c r="L86" s="76">
        <v>51</v>
      </c>
      <c r="M86" s="76">
        <v>76.300000000000011</v>
      </c>
      <c r="N86" s="76">
        <v>0</v>
      </c>
      <c r="O86" s="76">
        <v>0</v>
      </c>
      <c r="P86" s="76">
        <v>0</v>
      </c>
      <c r="Q86" s="76">
        <v>0</v>
      </c>
      <c r="R86" s="76">
        <v>43.5</v>
      </c>
      <c r="S86" s="76">
        <v>28.8</v>
      </c>
      <c r="T86" s="76">
        <v>0</v>
      </c>
      <c r="U86" s="76">
        <v>0</v>
      </c>
      <c r="V86" s="76">
        <v>0</v>
      </c>
      <c r="W86" s="76">
        <v>0</v>
      </c>
      <c r="X86" s="76">
        <v>0</v>
      </c>
      <c r="Y86" s="76">
        <v>0</v>
      </c>
      <c r="Z86" s="76">
        <v>0</v>
      </c>
      <c r="AA86" s="76">
        <v>0</v>
      </c>
      <c r="AB86" s="76">
        <v>0</v>
      </c>
      <c r="AC86" s="76">
        <v>0</v>
      </c>
      <c r="AD86" s="76">
        <v>0</v>
      </c>
      <c r="AE86" s="76">
        <v>0</v>
      </c>
      <c r="AF86" s="76">
        <v>0</v>
      </c>
      <c r="AG86" s="76">
        <v>0</v>
      </c>
      <c r="AH86" s="76">
        <v>0</v>
      </c>
      <c r="AI86" s="76">
        <v>0</v>
      </c>
      <c r="AJ86" s="76">
        <v>0</v>
      </c>
      <c r="AK86" s="76">
        <v>0</v>
      </c>
      <c r="AL86" s="76">
        <v>0</v>
      </c>
      <c r="AM86" s="76">
        <v>0</v>
      </c>
      <c r="AN86" s="76">
        <v>0</v>
      </c>
      <c r="AO86" s="76">
        <v>0</v>
      </c>
      <c r="AP86" s="76">
        <v>0</v>
      </c>
      <c r="AQ86" s="76">
        <v>0</v>
      </c>
      <c r="AR86" s="76">
        <v>0</v>
      </c>
      <c r="AS86" s="76">
        <v>0</v>
      </c>
      <c r="AT86" s="76">
        <v>0</v>
      </c>
      <c r="AU86" s="76">
        <v>0</v>
      </c>
      <c r="AV86" s="76">
        <v>0</v>
      </c>
      <c r="AW86" s="76">
        <v>0</v>
      </c>
      <c r="AX86" s="76">
        <v>0</v>
      </c>
      <c r="AY86" s="76">
        <v>0</v>
      </c>
      <c r="AZ86" s="76">
        <v>0</v>
      </c>
      <c r="BA86" s="76">
        <v>0</v>
      </c>
      <c r="BB86" s="76">
        <v>0</v>
      </c>
      <c r="BC86" s="76">
        <v>0</v>
      </c>
      <c r="BD86" s="76">
        <v>0</v>
      </c>
      <c r="BE86" s="76">
        <v>0</v>
      </c>
      <c r="BF86" s="76">
        <v>0</v>
      </c>
      <c r="BG86" s="76">
        <v>0</v>
      </c>
      <c r="BH86" s="76">
        <v>0</v>
      </c>
      <c r="BI86" s="76">
        <v>0</v>
      </c>
      <c r="BJ86" s="76">
        <v>0</v>
      </c>
      <c r="BK86" s="76">
        <v>0</v>
      </c>
      <c r="BL86" s="76">
        <v>0</v>
      </c>
      <c r="BM86" s="76">
        <v>0</v>
      </c>
      <c r="BN86" s="76">
        <v>0</v>
      </c>
      <c r="BO86" s="76">
        <v>0</v>
      </c>
      <c r="BP86" s="76">
        <v>0</v>
      </c>
      <c r="BQ86" s="76">
        <v>0</v>
      </c>
      <c r="BR86" s="76">
        <v>0</v>
      </c>
      <c r="BS86" s="76">
        <v>0</v>
      </c>
      <c r="BT86" s="76">
        <v>0</v>
      </c>
      <c r="BU86" s="76">
        <v>0</v>
      </c>
      <c r="BV86" s="76">
        <v>0</v>
      </c>
      <c r="BW86" s="76">
        <v>0</v>
      </c>
      <c r="BX86" s="76">
        <v>0</v>
      </c>
      <c r="BY86" s="76">
        <v>0</v>
      </c>
      <c r="BZ86" s="76">
        <v>0</v>
      </c>
    </row>
    <row r="87" spans="1:78" x14ac:dyDescent="0.2">
      <c r="A87" s="62" t="s">
        <v>275</v>
      </c>
      <c r="B87" s="62" t="s">
        <v>13</v>
      </c>
      <c r="C87" s="62" t="s">
        <v>968</v>
      </c>
      <c r="D87" s="62" t="s">
        <v>231</v>
      </c>
      <c r="E87" s="76">
        <f>IF(B87="","",VLOOKUP(B87,dagsoorttabel1,2,FALSE))</f>
        <v>0.2</v>
      </c>
      <c r="F87" s="76">
        <v>1</v>
      </c>
      <c r="G87" s="76">
        <f>IF(prodnorm114&gt;0,1/ROUND(prodnorm114,4),0)</f>
        <v>0</v>
      </c>
      <c r="H87" s="66">
        <f>ROUND(uurtarief114,2)</f>
        <v>0</v>
      </c>
      <c r="I87" s="76">
        <v>0</v>
      </c>
      <c r="J87" s="76">
        <v>0</v>
      </c>
      <c r="K87" s="76">
        <v>0</v>
      </c>
      <c r="L87" s="76">
        <v>0</v>
      </c>
      <c r="M87" s="76">
        <v>0</v>
      </c>
      <c r="N87" s="76">
        <v>0</v>
      </c>
      <c r="O87" s="76">
        <v>0</v>
      </c>
      <c r="P87" s="76">
        <v>0</v>
      </c>
      <c r="Q87" s="76">
        <v>0</v>
      </c>
      <c r="R87" s="76">
        <v>0</v>
      </c>
      <c r="S87" s="76">
        <v>0</v>
      </c>
      <c r="T87" s="76">
        <v>0</v>
      </c>
      <c r="U87" s="76">
        <v>0</v>
      </c>
      <c r="V87" s="76">
        <v>0</v>
      </c>
      <c r="W87" s="76">
        <v>0</v>
      </c>
      <c r="X87" s="76">
        <v>0</v>
      </c>
      <c r="Y87" s="76">
        <v>0</v>
      </c>
      <c r="Z87" s="76">
        <v>0</v>
      </c>
      <c r="AA87" s="76">
        <v>0</v>
      </c>
      <c r="AB87" s="76">
        <v>0</v>
      </c>
      <c r="AC87" s="76">
        <v>0</v>
      </c>
      <c r="AD87" s="76">
        <v>0</v>
      </c>
      <c r="AE87" s="76">
        <v>10.199999999999999</v>
      </c>
      <c r="AF87" s="76">
        <v>0</v>
      </c>
      <c r="AG87" s="76">
        <v>0</v>
      </c>
      <c r="AH87" s="76">
        <v>0</v>
      </c>
      <c r="AI87" s="76">
        <v>0</v>
      </c>
      <c r="AJ87" s="76">
        <v>0</v>
      </c>
      <c r="AK87" s="76">
        <v>0</v>
      </c>
      <c r="AL87" s="76">
        <v>0</v>
      </c>
      <c r="AM87" s="76">
        <v>0</v>
      </c>
      <c r="AN87" s="76">
        <v>0</v>
      </c>
      <c r="AO87" s="76">
        <v>0</v>
      </c>
      <c r="AP87" s="76">
        <v>0</v>
      </c>
      <c r="AQ87" s="76">
        <v>0</v>
      </c>
      <c r="AR87" s="76">
        <v>0</v>
      </c>
      <c r="AS87" s="76">
        <v>0</v>
      </c>
      <c r="AT87" s="76">
        <v>0</v>
      </c>
      <c r="AU87" s="76">
        <v>0</v>
      </c>
      <c r="AV87" s="76">
        <v>0</v>
      </c>
      <c r="AW87" s="76">
        <v>0</v>
      </c>
      <c r="AX87" s="76">
        <v>0</v>
      </c>
      <c r="AY87" s="76">
        <v>0</v>
      </c>
      <c r="AZ87" s="76">
        <v>0</v>
      </c>
      <c r="BA87" s="76">
        <v>0</v>
      </c>
      <c r="BB87" s="76">
        <v>0</v>
      </c>
      <c r="BC87" s="76">
        <v>0</v>
      </c>
      <c r="BD87" s="76">
        <v>0</v>
      </c>
      <c r="BE87" s="76">
        <v>0</v>
      </c>
      <c r="BF87" s="76">
        <v>0</v>
      </c>
      <c r="BG87" s="76">
        <v>0</v>
      </c>
      <c r="BH87" s="76">
        <v>0</v>
      </c>
      <c r="BI87" s="76">
        <v>0</v>
      </c>
      <c r="BJ87" s="76">
        <v>0</v>
      </c>
      <c r="BK87" s="76">
        <v>0</v>
      </c>
      <c r="BL87" s="76">
        <v>0</v>
      </c>
      <c r="BM87" s="76">
        <v>0</v>
      </c>
      <c r="BN87" s="76">
        <v>0</v>
      </c>
      <c r="BO87" s="76">
        <v>0</v>
      </c>
      <c r="BP87" s="76">
        <v>0</v>
      </c>
      <c r="BQ87" s="76">
        <v>0</v>
      </c>
      <c r="BR87" s="76">
        <v>0</v>
      </c>
      <c r="BS87" s="76">
        <v>0</v>
      </c>
      <c r="BT87" s="76">
        <v>0</v>
      </c>
      <c r="BU87" s="76">
        <v>0</v>
      </c>
      <c r="BV87" s="76">
        <v>0</v>
      </c>
      <c r="BW87" s="76">
        <v>0</v>
      </c>
      <c r="BX87" s="76">
        <v>0</v>
      </c>
      <c r="BY87" s="76">
        <v>0</v>
      </c>
      <c r="BZ87" s="76">
        <v>0</v>
      </c>
    </row>
    <row r="88" spans="1:78" x14ac:dyDescent="0.2">
      <c r="A88" s="62" t="s">
        <v>275</v>
      </c>
      <c r="B88" s="62" t="s">
        <v>12</v>
      </c>
      <c r="C88" s="62" t="s">
        <v>968</v>
      </c>
      <c r="D88" s="62" t="s">
        <v>231</v>
      </c>
      <c r="E88" s="76">
        <f>IF(B88="","",VLOOKUP(B88,dagsoorttabel1,2,FALSE))</f>
        <v>0.4</v>
      </c>
      <c r="F88" s="76">
        <v>1</v>
      </c>
      <c r="G88" s="76">
        <f>IF(prodnorm115&gt;0,1/ROUND(prodnorm115,4),0)</f>
        <v>0</v>
      </c>
      <c r="H88" s="66">
        <f>ROUND(uurtarief115,2)</f>
        <v>0</v>
      </c>
      <c r="I88" s="76">
        <v>0</v>
      </c>
      <c r="J88" s="76">
        <v>0</v>
      </c>
      <c r="K88" s="76">
        <v>0</v>
      </c>
      <c r="L88" s="76">
        <v>0</v>
      </c>
      <c r="M88" s="76">
        <v>0</v>
      </c>
      <c r="N88" s="76">
        <v>0</v>
      </c>
      <c r="O88" s="76">
        <v>0</v>
      </c>
      <c r="P88" s="76">
        <v>0</v>
      </c>
      <c r="Q88" s="76">
        <v>0</v>
      </c>
      <c r="R88" s="76">
        <v>0</v>
      </c>
      <c r="S88" s="76">
        <v>0</v>
      </c>
      <c r="T88" s="76">
        <v>0</v>
      </c>
      <c r="U88" s="76">
        <v>14</v>
      </c>
      <c r="V88" s="76">
        <v>0</v>
      </c>
      <c r="W88" s="76">
        <v>0</v>
      </c>
      <c r="X88" s="76">
        <v>0</v>
      </c>
      <c r="Y88" s="76">
        <v>0</v>
      </c>
      <c r="Z88" s="76">
        <v>0</v>
      </c>
      <c r="AA88" s="76">
        <v>0</v>
      </c>
      <c r="AB88" s="76">
        <v>0</v>
      </c>
      <c r="AC88" s="76">
        <v>0</v>
      </c>
      <c r="AD88" s="76">
        <v>0</v>
      </c>
      <c r="AE88" s="76">
        <v>0</v>
      </c>
      <c r="AF88" s="76">
        <v>0</v>
      </c>
      <c r="AG88" s="76">
        <v>0</v>
      </c>
      <c r="AH88" s="76">
        <v>0</v>
      </c>
      <c r="AI88" s="76">
        <v>0</v>
      </c>
      <c r="AJ88" s="76">
        <v>0</v>
      </c>
      <c r="AK88" s="76">
        <v>0</v>
      </c>
      <c r="AL88" s="76">
        <v>0</v>
      </c>
      <c r="AM88" s="76">
        <v>0</v>
      </c>
      <c r="AN88" s="76">
        <v>0</v>
      </c>
      <c r="AO88" s="76">
        <v>0</v>
      </c>
      <c r="AP88" s="76">
        <v>0</v>
      </c>
      <c r="AQ88" s="76">
        <v>0</v>
      </c>
      <c r="AR88" s="76">
        <v>0</v>
      </c>
      <c r="AS88" s="76">
        <v>0</v>
      </c>
      <c r="AT88" s="76">
        <v>0</v>
      </c>
      <c r="AU88" s="76">
        <v>0</v>
      </c>
      <c r="AV88" s="76">
        <v>0</v>
      </c>
      <c r="AW88" s="76">
        <v>0</v>
      </c>
      <c r="AX88" s="76">
        <v>0</v>
      </c>
      <c r="AY88" s="76">
        <v>0</v>
      </c>
      <c r="AZ88" s="76">
        <v>0</v>
      </c>
      <c r="BA88" s="76">
        <v>0</v>
      </c>
      <c r="BB88" s="76">
        <v>0</v>
      </c>
      <c r="BC88" s="76">
        <v>0</v>
      </c>
      <c r="BD88" s="76">
        <v>0</v>
      </c>
      <c r="BE88" s="76">
        <v>0</v>
      </c>
      <c r="BF88" s="76">
        <v>0</v>
      </c>
      <c r="BG88" s="76">
        <v>0</v>
      </c>
      <c r="BH88" s="76">
        <v>0</v>
      </c>
      <c r="BI88" s="76">
        <v>0</v>
      </c>
      <c r="BJ88" s="76">
        <v>0</v>
      </c>
      <c r="BK88" s="76">
        <v>0</v>
      </c>
      <c r="BL88" s="76">
        <v>0</v>
      </c>
      <c r="BM88" s="76">
        <v>0</v>
      </c>
      <c r="BN88" s="76">
        <v>0</v>
      </c>
      <c r="BO88" s="76">
        <v>0</v>
      </c>
      <c r="BP88" s="76">
        <v>0</v>
      </c>
      <c r="BQ88" s="76">
        <v>0</v>
      </c>
      <c r="BR88" s="76">
        <v>0</v>
      </c>
      <c r="BS88" s="76">
        <v>0</v>
      </c>
      <c r="BT88" s="76">
        <v>0</v>
      </c>
      <c r="BU88" s="76">
        <v>0</v>
      </c>
      <c r="BV88" s="76">
        <v>0</v>
      </c>
      <c r="BW88" s="76">
        <v>0</v>
      </c>
      <c r="BX88" s="76">
        <v>0</v>
      </c>
      <c r="BY88" s="76">
        <v>0</v>
      </c>
      <c r="BZ88" s="76">
        <v>0</v>
      </c>
    </row>
    <row r="89" spans="1:78" x14ac:dyDescent="0.2">
      <c r="A89" s="62" t="s">
        <v>275</v>
      </c>
      <c r="B89" s="62" t="s">
        <v>11</v>
      </c>
      <c r="C89" s="62" t="s">
        <v>968</v>
      </c>
      <c r="D89" s="62" t="s">
        <v>231</v>
      </c>
      <c r="E89" s="76">
        <f>IF(B89="","",VLOOKUP(B89,dagsoorttabel1,2,FALSE))</f>
        <v>0.6</v>
      </c>
      <c r="F89" s="76">
        <v>1</v>
      </c>
      <c r="G89" s="76">
        <f>IF(prodnorm116&gt;0,1/ROUND(prodnorm116,4),0)</f>
        <v>0</v>
      </c>
      <c r="H89" s="66">
        <f>ROUND(uurtarief116,2)</f>
        <v>0</v>
      </c>
      <c r="I89" s="76">
        <v>0</v>
      </c>
      <c r="J89" s="76">
        <v>0</v>
      </c>
      <c r="K89" s="76">
        <v>0</v>
      </c>
      <c r="L89" s="76">
        <v>0</v>
      </c>
      <c r="M89" s="76">
        <v>0</v>
      </c>
      <c r="N89" s="76">
        <v>0</v>
      </c>
      <c r="O89" s="76">
        <v>0</v>
      </c>
      <c r="P89" s="76">
        <v>0</v>
      </c>
      <c r="Q89" s="76">
        <v>0</v>
      </c>
      <c r="R89" s="76">
        <v>0</v>
      </c>
      <c r="S89" s="76">
        <v>0</v>
      </c>
      <c r="T89" s="76">
        <v>0</v>
      </c>
      <c r="U89" s="76">
        <v>0</v>
      </c>
      <c r="V89" s="76">
        <v>0</v>
      </c>
      <c r="W89" s="76">
        <v>0</v>
      </c>
      <c r="X89" s="76">
        <v>0</v>
      </c>
      <c r="Y89" s="76">
        <v>0</v>
      </c>
      <c r="Z89" s="76">
        <v>2.4</v>
      </c>
      <c r="AA89" s="76">
        <v>0</v>
      </c>
      <c r="AB89" s="76">
        <v>0</v>
      </c>
      <c r="AC89" s="76">
        <v>48.7</v>
      </c>
      <c r="AD89" s="76">
        <v>0</v>
      </c>
      <c r="AE89" s="76">
        <v>0</v>
      </c>
      <c r="AF89" s="76">
        <v>0</v>
      </c>
      <c r="AG89" s="76">
        <v>0</v>
      </c>
      <c r="AH89" s="76">
        <v>0</v>
      </c>
      <c r="AI89" s="76">
        <v>0</v>
      </c>
      <c r="AJ89" s="76">
        <v>0</v>
      </c>
      <c r="AK89" s="76">
        <v>0</v>
      </c>
      <c r="AL89" s="76">
        <v>0</v>
      </c>
      <c r="AM89" s="76">
        <v>0</v>
      </c>
      <c r="AN89" s="76">
        <v>0</v>
      </c>
      <c r="AO89" s="76">
        <v>0</v>
      </c>
      <c r="AP89" s="76">
        <v>0</v>
      </c>
      <c r="AQ89" s="76">
        <v>0</v>
      </c>
      <c r="AR89" s="76">
        <v>0</v>
      </c>
      <c r="AS89" s="76">
        <v>0</v>
      </c>
      <c r="AT89" s="76">
        <v>0</v>
      </c>
      <c r="AU89" s="76">
        <v>0</v>
      </c>
      <c r="AV89" s="76">
        <v>0</v>
      </c>
      <c r="AW89" s="76">
        <v>0</v>
      </c>
      <c r="AX89" s="76">
        <v>0</v>
      </c>
      <c r="AY89" s="76">
        <v>0</v>
      </c>
      <c r="AZ89" s="76">
        <v>0</v>
      </c>
      <c r="BA89" s="76">
        <v>0</v>
      </c>
      <c r="BB89" s="76">
        <v>0</v>
      </c>
      <c r="BC89" s="76">
        <v>0</v>
      </c>
      <c r="BD89" s="76">
        <v>0</v>
      </c>
      <c r="BE89" s="76">
        <v>0</v>
      </c>
      <c r="BF89" s="76">
        <v>0</v>
      </c>
      <c r="BG89" s="76">
        <v>0</v>
      </c>
      <c r="BH89" s="76">
        <v>0</v>
      </c>
      <c r="BI89" s="76">
        <v>0</v>
      </c>
      <c r="BJ89" s="76">
        <v>0</v>
      </c>
      <c r="BK89" s="76">
        <v>0</v>
      </c>
      <c r="BL89" s="76">
        <v>0</v>
      </c>
      <c r="BM89" s="76">
        <v>0</v>
      </c>
      <c r="BN89" s="76">
        <v>0</v>
      </c>
      <c r="BO89" s="76">
        <v>0</v>
      </c>
      <c r="BP89" s="76">
        <v>0</v>
      </c>
      <c r="BQ89" s="76">
        <v>0</v>
      </c>
      <c r="BR89" s="76">
        <v>0</v>
      </c>
      <c r="BS89" s="76">
        <v>0</v>
      </c>
      <c r="BT89" s="76">
        <v>0</v>
      </c>
      <c r="BU89" s="76">
        <v>0</v>
      </c>
      <c r="BV89" s="76">
        <v>0</v>
      </c>
      <c r="BW89" s="76">
        <v>0</v>
      </c>
      <c r="BX89" s="76">
        <v>0</v>
      </c>
      <c r="BY89" s="76">
        <v>0</v>
      </c>
      <c r="BZ89" s="76">
        <v>0</v>
      </c>
    </row>
    <row r="90" spans="1:78" x14ac:dyDescent="0.2">
      <c r="A90" s="62" t="s">
        <v>275</v>
      </c>
      <c r="B90" s="62" t="s">
        <v>10</v>
      </c>
      <c r="C90" s="62" t="s">
        <v>968</v>
      </c>
      <c r="D90" s="62" t="s">
        <v>231</v>
      </c>
      <c r="E90" s="76">
        <f>IF(B90="","",VLOOKUP(B90,dagsoorttabel1,2,FALSE))</f>
        <v>0.8</v>
      </c>
      <c r="F90" s="76">
        <v>1</v>
      </c>
      <c r="G90" s="76">
        <f>IF(prodnorm117&gt;0,1/ROUND(prodnorm117,4),0)</f>
        <v>0</v>
      </c>
      <c r="H90" s="66">
        <f>ROUND(uurtarief117,2)</f>
        <v>0</v>
      </c>
      <c r="I90" s="76">
        <v>70.199999999999989</v>
      </c>
      <c r="J90" s="76">
        <v>265.18</v>
      </c>
      <c r="K90" s="76">
        <v>0</v>
      </c>
      <c r="L90" s="76">
        <v>0</v>
      </c>
      <c r="M90" s="76">
        <v>0</v>
      </c>
      <c r="N90" s="76">
        <v>0</v>
      </c>
      <c r="O90" s="76">
        <v>0</v>
      </c>
      <c r="P90" s="76">
        <v>0</v>
      </c>
      <c r="Q90" s="76">
        <v>0</v>
      </c>
      <c r="R90" s="76">
        <v>0</v>
      </c>
      <c r="S90" s="76">
        <v>0</v>
      </c>
      <c r="T90" s="76">
        <v>0</v>
      </c>
      <c r="U90" s="76">
        <v>0</v>
      </c>
      <c r="V90" s="76">
        <v>0</v>
      </c>
      <c r="W90" s="76">
        <v>0</v>
      </c>
      <c r="X90" s="76">
        <v>0</v>
      </c>
      <c r="Y90" s="76">
        <v>0</v>
      </c>
      <c r="Z90" s="76">
        <v>0</v>
      </c>
      <c r="AA90" s="76">
        <v>0</v>
      </c>
      <c r="AB90" s="76">
        <v>0</v>
      </c>
      <c r="AC90" s="76">
        <v>0</v>
      </c>
      <c r="AD90" s="76">
        <v>0</v>
      </c>
      <c r="AE90" s="76">
        <v>0</v>
      </c>
      <c r="AF90" s="76">
        <v>0</v>
      </c>
      <c r="AG90" s="76">
        <v>0</v>
      </c>
      <c r="AH90" s="76">
        <v>0</v>
      </c>
      <c r="AI90" s="76">
        <v>0</v>
      </c>
      <c r="AJ90" s="76">
        <v>0</v>
      </c>
      <c r="AK90" s="76">
        <v>0</v>
      </c>
      <c r="AL90" s="76">
        <v>0</v>
      </c>
      <c r="AM90" s="76">
        <v>0</v>
      </c>
      <c r="AN90" s="76">
        <v>0</v>
      </c>
      <c r="AO90" s="76">
        <v>0</v>
      </c>
      <c r="AP90" s="76">
        <v>0</v>
      </c>
      <c r="AQ90" s="76">
        <v>0</v>
      </c>
      <c r="AR90" s="76">
        <v>0</v>
      </c>
      <c r="AS90" s="76">
        <v>0</v>
      </c>
      <c r="AT90" s="76">
        <v>0</v>
      </c>
      <c r="AU90" s="76">
        <v>0</v>
      </c>
      <c r="AV90" s="76">
        <v>0</v>
      </c>
      <c r="AW90" s="76">
        <v>0</v>
      </c>
      <c r="AX90" s="76">
        <v>0</v>
      </c>
      <c r="AY90" s="76">
        <v>0</v>
      </c>
      <c r="AZ90" s="76">
        <v>0</v>
      </c>
      <c r="BA90" s="76">
        <v>0</v>
      </c>
      <c r="BB90" s="76">
        <v>0</v>
      </c>
      <c r="BC90" s="76">
        <v>0</v>
      </c>
      <c r="BD90" s="76">
        <v>0</v>
      </c>
      <c r="BE90" s="76">
        <v>0</v>
      </c>
      <c r="BF90" s="76">
        <v>0</v>
      </c>
      <c r="BG90" s="76">
        <v>0</v>
      </c>
      <c r="BH90" s="76">
        <v>0</v>
      </c>
      <c r="BI90" s="76">
        <v>0</v>
      </c>
      <c r="BJ90" s="76">
        <v>0</v>
      </c>
      <c r="BK90" s="76">
        <v>0</v>
      </c>
      <c r="BL90" s="76">
        <v>0</v>
      </c>
      <c r="BM90" s="76">
        <v>0</v>
      </c>
      <c r="BN90" s="76">
        <v>0</v>
      </c>
      <c r="BO90" s="76">
        <v>0</v>
      </c>
      <c r="BP90" s="76">
        <v>0</v>
      </c>
      <c r="BQ90" s="76">
        <v>0</v>
      </c>
      <c r="BR90" s="76">
        <v>0</v>
      </c>
      <c r="BS90" s="76">
        <v>0</v>
      </c>
      <c r="BT90" s="76">
        <v>0</v>
      </c>
      <c r="BU90" s="76">
        <v>0</v>
      </c>
      <c r="BV90" s="76">
        <v>0</v>
      </c>
      <c r="BW90" s="76">
        <v>0</v>
      </c>
      <c r="BX90" s="76">
        <v>0</v>
      </c>
      <c r="BY90" s="76">
        <v>0</v>
      </c>
      <c r="BZ90" s="76">
        <v>0</v>
      </c>
    </row>
    <row r="91" spans="1:78" x14ac:dyDescent="0.2">
      <c r="A91" s="62" t="s">
        <v>275</v>
      </c>
      <c r="B91" s="62" t="s">
        <v>9</v>
      </c>
      <c r="C91" s="62" t="s">
        <v>968</v>
      </c>
      <c r="D91" s="62" t="s">
        <v>231</v>
      </c>
      <c r="E91" s="76">
        <f>IF(B91="","",VLOOKUP(B91,dagsoorttabel1,2,FALSE))</f>
        <v>1</v>
      </c>
      <c r="F91" s="76">
        <v>1</v>
      </c>
      <c r="G91" s="76">
        <f>IF(prodnorm118&gt;0,1/ROUND(prodnorm118,4),0)</f>
        <v>0</v>
      </c>
      <c r="H91" s="66">
        <f>ROUND(uurtarief118,2)</f>
        <v>0</v>
      </c>
      <c r="I91" s="76">
        <v>264.39999999999998</v>
      </c>
      <c r="J91" s="76">
        <v>0</v>
      </c>
      <c r="K91" s="76">
        <v>16</v>
      </c>
      <c r="L91" s="76">
        <v>0</v>
      </c>
      <c r="M91" s="76">
        <v>0</v>
      </c>
      <c r="N91" s="76">
        <v>0</v>
      </c>
      <c r="O91" s="76">
        <v>0</v>
      </c>
      <c r="P91" s="76">
        <v>0</v>
      </c>
      <c r="Q91" s="76">
        <v>0</v>
      </c>
      <c r="R91" s="76">
        <v>5.4</v>
      </c>
      <c r="S91" s="76">
        <v>0</v>
      </c>
      <c r="T91" s="76">
        <v>0</v>
      </c>
      <c r="U91" s="76">
        <v>0</v>
      </c>
      <c r="V91" s="76">
        <v>0</v>
      </c>
      <c r="W91" s="76">
        <v>0</v>
      </c>
      <c r="X91" s="76">
        <v>0</v>
      </c>
      <c r="Y91" s="76">
        <v>0</v>
      </c>
      <c r="Z91" s="76">
        <v>0</v>
      </c>
      <c r="AA91" s="76">
        <v>0</v>
      </c>
      <c r="AB91" s="76">
        <v>0</v>
      </c>
      <c r="AC91" s="76">
        <v>0</v>
      </c>
      <c r="AD91" s="76">
        <v>0</v>
      </c>
      <c r="AE91" s="76">
        <v>0</v>
      </c>
      <c r="AF91" s="76">
        <v>0</v>
      </c>
      <c r="AG91" s="76">
        <v>0</v>
      </c>
      <c r="AH91" s="76">
        <v>0</v>
      </c>
      <c r="AI91" s="76">
        <v>0</v>
      </c>
      <c r="AJ91" s="76">
        <v>0</v>
      </c>
      <c r="AK91" s="76">
        <v>0</v>
      </c>
      <c r="AL91" s="76">
        <v>0</v>
      </c>
      <c r="AM91" s="76">
        <v>0</v>
      </c>
      <c r="AN91" s="76">
        <v>0</v>
      </c>
      <c r="AO91" s="76">
        <v>0</v>
      </c>
      <c r="AP91" s="76">
        <v>0</v>
      </c>
      <c r="AQ91" s="76">
        <v>0</v>
      </c>
      <c r="AR91" s="76">
        <v>0</v>
      </c>
      <c r="AS91" s="76">
        <v>0</v>
      </c>
      <c r="AT91" s="76">
        <v>0</v>
      </c>
      <c r="AU91" s="76">
        <v>0</v>
      </c>
      <c r="AV91" s="76">
        <v>0</v>
      </c>
      <c r="AW91" s="76">
        <v>0</v>
      </c>
      <c r="AX91" s="76">
        <v>0</v>
      </c>
      <c r="AY91" s="76">
        <v>0</v>
      </c>
      <c r="AZ91" s="76">
        <v>0</v>
      </c>
      <c r="BA91" s="76">
        <v>0</v>
      </c>
      <c r="BB91" s="76">
        <v>0</v>
      </c>
      <c r="BC91" s="76">
        <v>0</v>
      </c>
      <c r="BD91" s="76">
        <v>0</v>
      </c>
      <c r="BE91" s="76">
        <v>0</v>
      </c>
      <c r="BF91" s="76">
        <v>0</v>
      </c>
      <c r="BG91" s="76">
        <v>0</v>
      </c>
      <c r="BH91" s="76">
        <v>0</v>
      </c>
      <c r="BI91" s="76">
        <v>0</v>
      </c>
      <c r="BJ91" s="76">
        <v>0</v>
      </c>
      <c r="BK91" s="76">
        <v>0</v>
      </c>
      <c r="BL91" s="76">
        <v>0</v>
      </c>
      <c r="BM91" s="76">
        <v>0</v>
      </c>
      <c r="BN91" s="76">
        <v>0</v>
      </c>
      <c r="BO91" s="76">
        <v>0</v>
      </c>
      <c r="BP91" s="76">
        <v>0</v>
      </c>
      <c r="BQ91" s="76">
        <v>0</v>
      </c>
      <c r="BR91" s="76">
        <v>0</v>
      </c>
      <c r="BS91" s="76">
        <v>0</v>
      </c>
      <c r="BT91" s="76">
        <v>0</v>
      </c>
      <c r="BU91" s="76">
        <v>0</v>
      </c>
      <c r="BV91" s="76">
        <v>0</v>
      </c>
      <c r="BW91" s="76">
        <v>0</v>
      </c>
      <c r="BX91" s="76">
        <v>0</v>
      </c>
      <c r="BY91" s="76">
        <v>0</v>
      </c>
      <c r="BZ91" s="76">
        <v>0</v>
      </c>
    </row>
    <row r="92" spans="1:78" x14ac:dyDescent="0.2">
      <c r="A92" s="62" t="s">
        <v>277</v>
      </c>
      <c r="B92" s="62" t="s">
        <v>16</v>
      </c>
      <c r="C92" s="62" t="s">
        <v>968</v>
      </c>
      <c r="D92" s="62" t="s">
        <v>231</v>
      </c>
      <c r="E92" s="76">
        <f>IF(B92="","",VLOOKUP(B92,dagsoorttabel1,2,FALSE))</f>
        <v>3.9215686274509803E-2</v>
      </c>
      <c r="F92" s="76">
        <v>1</v>
      </c>
      <c r="G92" s="76">
        <f>IF(prodnorm119&gt;0,1/ROUND(prodnorm119,4),0)</f>
        <v>0</v>
      </c>
      <c r="H92" s="66">
        <f>ROUND(uurtarief119,2)</f>
        <v>0</v>
      </c>
      <c r="I92" s="76">
        <v>0</v>
      </c>
      <c r="J92" s="76">
        <v>0</v>
      </c>
      <c r="K92" s="76">
        <v>0</v>
      </c>
      <c r="L92" s="76">
        <v>0</v>
      </c>
      <c r="M92" s="76">
        <v>0</v>
      </c>
      <c r="N92" s="76">
        <v>0</v>
      </c>
      <c r="O92" s="76">
        <v>0</v>
      </c>
      <c r="P92" s="76">
        <v>0</v>
      </c>
      <c r="Q92" s="76">
        <v>0</v>
      </c>
      <c r="R92" s="76">
        <v>0</v>
      </c>
      <c r="S92" s="76">
        <v>0</v>
      </c>
      <c r="T92" s="76">
        <v>0</v>
      </c>
      <c r="U92" s="76">
        <v>0</v>
      </c>
      <c r="V92" s="76">
        <v>0</v>
      </c>
      <c r="W92" s="76">
        <v>0</v>
      </c>
      <c r="X92" s="76">
        <v>0</v>
      </c>
      <c r="Y92" s="76">
        <v>0</v>
      </c>
      <c r="Z92" s="76">
        <v>0</v>
      </c>
      <c r="AA92" s="76">
        <v>5</v>
      </c>
      <c r="AB92" s="76">
        <v>0</v>
      </c>
      <c r="AC92" s="76">
        <v>0</v>
      </c>
      <c r="AD92" s="76">
        <v>0</v>
      </c>
      <c r="AE92" s="76">
        <v>0</v>
      </c>
      <c r="AF92" s="76">
        <v>0</v>
      </c>
      <c r="AG92" s="76">
        <v>0</v>
      </c>
      <c r="AH92" s="76">
        <v>0</v>
      </c>
      <c r="AI92" s="76">
        <v>0</v>
      </c>
      <c r="AJ92" s="76">
        <v>0</v>
      </c>
      <c r="AK92" s="76">
        <v>0</v>
      </c>
      <c r="AL92" s="76">
        <v>0</v>
      </c>
      <c r="AM92" s="76">
        <v>0</v>
      </c>
      <c r="AN92" s="76">
        <v>0</v>
      </c>
      <c r="AO92" s="76">
        <v>0</v>
      </c>
      <c r="AP92" s="76">
        <v>0</v>
      </c>
      <c r="AQ92" s="76">
        <v>0</v>
      </c>
      <c r="AR92" s="76">
        <v>0</v>
      </c>
      <c r="AS92" s="76">
        <v>0</v>
      </c>
      <c r="AT92" s="76">
        <v>0</v>
      </c>
      <c r="AU92" s="76">
        <v>0</v>
      </c>
      <c r="AV92" s="76">
        <v>0</v>
      </c>
      <c r="AW92" s="76">
        <v>0</v>
      </c>
      <c r="AX92" s="76">
        <v>0</v>
      </c>
      <c r="AY92" s="76">
        <v>0</v>
      </c>
      <c r="AZ92" s="76">
        <v>0</v>
      </c>
      <c r="BA92" s="76">
        <v>0</v>
      </c>
      <c r="BB92" s="76">
        <v>0</v>
      </c>
      <c r="BC92" s="76">
        <v>0</v>
      </c>
      <c r="BD92" s="76">
        <v>0</v>
      </c>
      <c r="BE92" s="76">
        <v>0</v>
      </c>
      <c r="BF92" s="76">
        <v>0</v>
      </c>
      <c r="BG92" s="76">
        <v>0</v>
      </c>
      <c r="BH92" s="76">
        <v>0</v>
      </c>
      <c r="BI92" s="76">
        <v>0</v>
      </c>
      <c r="BJ92" s="76">
        <v>0</v>
      </c>
      <c r="BK92" s="76">
        <v>0</v>
      </c>
      <c r="BL92" s="76">
        <v>0</v>
      </c>
      <c r="BM92" s="76">
        <v>0</v>
      </c>
      <c r="BN92" s="76">
        <v>0</v>
      </c>
      <c r="BO92" s="76">
        <v>0</v>
      </c>
      <c r="BP92" s="76">
        <v>0</v>
      </c>
      <c r="BQ92" s="76">
        <v>0</v>
      </c>
      <c r="BR92" s="76">
        <v>0</v>
      </c>
      <c r="BS92" s="76">
        <v>0</v>
      </c>
      <c r="BT92" s="76">
        <v>0</v>
      </c>
      <c r="BU92" s="76">
        <v>0</v>
      </c>
      <c r="BV92" s="76">
        <v>0</v>
      </c>
      <c r="BW92" s="76">
        <v>0</v>
      </c>
      <c r="BX92" s="76">
        <v>0</v>
      </c>
      <c r="BY92" s="76">
        <v>0</v>
      </c>
      <c r="BZ92" s="76">
        <v>0</v>
      </c>
    </row>
    <row r="93" spans="1:78" x14ac:dyDescent="0.2">
      <c r="A93" s="62" t="s">
        <v>279</v>
      </c>
      <c r="B93" s="62" t="s">
        <v>13</v>
      </c>
      <c r="C93" s="62" t="s">
        <v>968</v>
      </c>
      <c r="D93" s="62" t="s">
        <v>231</v>
      </c>
      <c r="E93" s="76">
        <f>IF(B93="","",VLOOKUP(B93,dagsoorttabel1,2,FALSE))</f>
        <v>0.2</v>
      </c>
      <c r="F93" s="76">
        <v>1</v>
      </c>
      <c r="G93" s="76">
        <f>IF(prodnorm120&gt;0,1/ROUND(prodnorm120,4),0)</f>
        <v>0</v>
      </c>
      <c r="H93" s="66">
        <f>ROUND(uurtarief120,2)</f>
        <v>0</v>
      </c>
      <c r="I93" s="76">
        <v>0</v>
      </c>
      <c r="J93" s="76">
        <v>0</v>
      </c>
      <c r="K93" s="76">
        <v>0</v>
      </c>
      <c r="L93" s="76">
        <v>0</v>
      </c>
      <c r="M93" s="76">
        <v>0</v>
      </c>
      <c r="N93" s="76">
        <v>0</v>
      </c>
      <c r="O93" s="76">
        <v>0</v>
      </c>
      <c r="P93" s="76">
        <v>0</v>
      </c>
      <c r="Q93" s="76">
        <v>0</v>
      </c>
      <c r="R93" s="76">
        <v>0</v>
      </c>
      <c r="S93" s="76">
        <v>0</v>
      </c>
      <c r="T93" s="76">
        <v>0</v>
      </c>
      <c r="U93" s="76">
        <v>0</v>
      </c>
      <c r="V93" s="76">
        <v>0</v>
      </c>
      <c r="W93" s="76">
        <v>5</v>
      </c>
      <c r="X93" s="76">
        <v>0</v>
      </c>
      <c r="Y93" s="76">
        <v>0</v>
      </c>
      <c r="Z93" s="76">
        <v>0</v>
      </c>
      <c r="AA93" s="76">
        <v>0</v>
      </c>
      <c r="AB93" s="76">
        <v>0</v>
      </c>
      <c r="AC93" s="76">
        <v>0</v>
      </c>
      <c r="AD93" s="76">
        <v>10.8</v>
      </c>
      <c r="AE93" s="76">
        <v>16.100000000000001</v>
      </c>
      <c r="AF93" s="76">
        <v>0</v>
      </c>
      <c r="AG93" s="76">
        <v>0</v>
      </c>
      <c r="AH93" s="76">
        <v>0</v>
      </c>
      <c r="AI93" s="76">
        <v>0</v>
      </c>
      <c r="AJ93" s="76">
        <v>0</v>
      </c>
      <c r="AK93" s="76">
        <v>0</v>
      </c>
      <c r="AL93" s="76">
        <v>0</v>
      </c>
      <c r="AM93" s="76">
        <v>0</v>
      </c>
      <c r="AN93" s="76">
        <v>0</v>
      </c>
      <c r="AO93" s="76">
        <v>0</v>
      </c>
      <c r="AP93" s="76">
        <v>0</v>
      </c>
      <c r="AQ93" s="76">
        <v>4.5</v>
      </c>
      <c r="AR93" s="76">
        <v>0</v>
      </c>
      <c r="AS93" s="76">
        <v>0</v>
      </c>
      <c r="AT93" s="76">
        <v>0</v>
      </c>
      <c r="AU93" s="76">
        <v>0</v>
      </c>
      <c r="AV93" s="76">
        <v>0</v>
      </c>
      <c r="AW93" s="76">
        <v>0</v>
      </c>
      <c r="AX93" s="76">
        <v>0</v>
      </c>
      <c r="AY93" s="76">
        <v>0</v>
      </c>
      <c r="AZ93" s="76">
        <v>0</v>
      </c>
      <c r="BA93" s="76">
        <v>0</v>
      </c>
      <c r="BB93" s="76">
        <v>0</v>
      </c>
      <c r="BC93" s="76">
        <v>0</v>
      </c>
      <c r="BD93" s="76">
        <v>0</v>
      </c>
      <c r="BE93" s="76">
        <v>0</v>
      </c>
      <c r="BF93" s="76">
        <v>0</v>
      </c>
      <c r="BG93" s="76">
        <v>0</v>
      </c>
      <c r="BH93" s="76">
        <v>0</v>
      </c>
      <c r="BI93" s="76">
        <v>0</v>
      </c>
      <c r="BJ93" s="76">
        <v>0</v>
      </c>
      <c r="BK93" s="76">
        <v>0</v>
      </c>
      <c r="BL93" s="76">
        <v>0</v>
      </c>
      <c r="BM93" s="76">
        <v>0</v>
      </c>
      <c r="BN93" s="76">
        <v>0</v>
      </c>
      <c r="BO93" s="76">
        <v>0</v>
      </c>
      <c r="BP93" s="76">
        <v>0</v>
      </c>
      <c r="BQ93" s="76">
        <v>0</v>
      </c>
      <c r="BR93" s="76">
        <v>0</v>
      </c>
      <c r="BS93" s="76">
        <v>0</v>
      </c>
      <c r="BT93" s="76">
        <v>0</v>
      </c>
      <c r="BU93" s="76">
        <v>0</v>
      </c>
      <c r="BV93" s="76">
        <v>0</v>
      </c>
      <c r="BW93" s="76">
        <v>0</v>
      </c>
      <c r="BX93" s="76">
        <v>0</v>
      </c>
      <c r="BY93" s="76">
        <v>0</v>
      </c>
      <c r="BZ93" s="76">
        <v>0</v>
      </c>
    </row>
    <row r="94" spans="1:78" x14ac:dyDescent="0.2">
      <c r="A94" s="62" t="s">
        <v>279</v>
      </c>
      <c r="B94" s="62" t="s">
        <v>14</v>
      </c>
      <c r="C94" s="62" t="s">
        <v>968</v>
      </c>
      <c r="D94" s="62" t="s">
        <v>231</v>
      </c>
      <c r="E94" s="76">
        <f>IF(B94="","",VLOOKUP(B94,dagsoorttabel1,2,FALSE))</f>
        <v>0.10196078431372549</v>
      </c>
      <c r="F94" s="76">
        <v>1</v>
      </c>
      <c r="G94" s="76">
        <f>IF(prodnorm121&gt;0,1/ROUND(prodnorm121,4),0)</f>
        <v>0</v>
      </c>
      <c r="H94" s="66">
        <f>ROUND(uurtarief121,2)</f>
        <v>0</v>
      </c>
      <c r="I94" s="76">
        <v>0</v>
      </c>
      <c r="J94" s="76">
        <v>0</v>
      </c>
      <c r="K94" s="76">
        <v>0</v>
      </c>
      <c r="L94" s="76">
        <v>0</v>
      </c>
      <c r="M94" s="76">
        <v>0</v>
      </c>
      <c r="N94" s="76">
        <v>0</v>
      </c>
      <c r="O94" s="76">
        <v>0</v>
      </c>
      <c r="P94" s="76">
        <v>0</v>
      </c>
      <c r="Q94" s="76">
        <v>0</v>
      </c>
      <c r="R94" s="76">
        <v>0</v>
      </c>
      <c r="S94" s="76">
        <v>0</v>
      </c>
      <c r="T94" s="76">
        <v>0</v>
      </c>
      <c r="U94" s="76">
        <v>0</v>
      </c>
      <c r="V94" s="76">
        <v>0</v>
      </c>
      <c r="W94" s="76">
        <v>0</v>
      </c>
      <c r="X94" s="76">
        <v>17</v>
      </c>
      <c r="Y94" s="76">
        <v>0</v>
      </c>
      <c r="Z94" s="76">
        <v>0</v>
      </c>
      <c r="AA94" s="76">
        <v>0</v>
      </c>
      <c r="AB94" s="76">
        <v>0</v>
      </c>
      <c r="AC94" s="76">
        <v>0</v>
      </c>
      <c r="AD94" s="76">
        <v>0</v>
      </c>
      <c r="AE94" s="76">
        <v>0</v>
      </c>
      <c r="AF94" s="76">
        <v>0</v>
      </c>
      <c r="AG94" s="76">
        <v>0</v>
      </c>
      <c r="AH94" s="76">
        <v>0</v>
      </c>
      <c r="AI94" s="76">
        <v>0</v>
      </c>
      <c r="AJ94" s="76">
        <v>0</v>
      </c>
      <c r="AK94" s="76">
        <v>0</v>
      </c>
      <c r="AL94" s="76">
        <v>0</v>
      </c>
      <c r="AM94" s="76">
        <v>0</v>
      </c>
      <c r="AN94" s="76">
        <v>0</v>
      </c>
      <c r="AO94" s="76">
        <v>9</v>
      </c>
      <c r="AP94" s="76">
        <v>0</v>
      </c>
      <c r="AQ94" s="76">
        <v>0</v>
      </c>
      <c r="AR94" s="76">
        <v>0</v>
      </c>
      <c r="AS94" s="76">
        <v>0</v>
      </c>
      <c r="AT94" s="76">
        <v>0</v>
      </c>
      <c r="AU94" s="76">
        <v>0</v>
      </c>
      <c r="AV94" s="76">
        <v>0</v>
      </c>
      <c r="AW94" s="76">
        <v>0</v>
      </c>
      <c r="AX94" s="76">
        <v>0</v>
      </c>
      <c r="AY94" s="76">
        <v>0</v>
      </c>
      <c r="AZ94" s="76">
        <v>0</v>
      </c>
      <c r="BA94" s="76">
        <v>0</v>
      </c>
      <c r="BB94" s="76">
        <v>0</v>
      </c>
      <c r="BC94" s="76">
        <v>0</v>
      </c>
      <c r="BD94" s="76">
        <v>0</v>
      </c>
      <c r="BE94" s="76">
        <v>0</v>
      </c>
      <c r="BF94" s="76">
        <v>0</v>
      </c>
      <c r="BG94" s="76">
        <v>0</v>
      </c>
      <c r="BH94" s="76">
        <v>0</v>
      </c>
      <c r="BI94" s="76">
        <v>0</v>
      </c>
      <c r="BJ94" s="76">
        <v>0</v>
      </c>
      <c r="BK94" s="76">
        <v>0</v>
      </c>
      <c r="BL94" s="76">
        <v>0</v>
      </c>
      <c r="BM94" s="76">
        <v>0</v>
      </c>
      <c r="BN94" s="76">
        <v>0</v>
      </c>
      <c r="BO94" s="76">
        <v>0</v>
      </c>
      <c r="BP94" s="76">
        <v>0</v>
      </c>
      <c r="BQ94" s="76">
        <v>0</v>
      </c>
      <c r="BR94" s="76">
        <v>0</v>
      </c>
      <c r="BS94" s="76">
        <v>0</v>
      </c>
      <c r="BT94" s="76">
        <v>0</v>
      </c>
      <c r="BU94" s="76">
        <v>0</v>
      </c>
      <c r="BV94" s="76">
        <v>0</v>
      </c>
      <c r="BW94" s="76">
        <v>0</v>
      </c>
      <c r="BX94" s="76">
        <v>0</v>
      </c>
      <c r="BY94" s="76">
        <v>0</v>
      </c>
      <c r="BZ94" s="76">
        <v>0</v>
      </c>
    </row>
    <row r="95" spans="1:78" x14ac:dyDescent="0.2">
      <c r="A95" s="62" t="s">
        <v>279</v>
      </c>
      <c r="B95" s="62" t="s">
        <v>12</v>
      </c>
      <c r="C95" s="62" t="s">
        <v>968</v>
      </c>
      <c r="D95" s="62" t="s">
        <v>231</v>
      </c>
      <c r="E95" s="76">
        <f>IF(B95="","",VLOOKUP(B95,dagsoorttabel1,2,FALSE))</f>
        <v>0.4</v>
      </c>
      <c r="F95" s="76">
        <v>1</v>
      </c>
      <c r="G95" s="76">
        <f>IF(prodnorm122&gt;0,1/ROUND(prodnorm122,4),0)</f>
        <v>0</v>
      </c>
      <c r="H95" s="66">
        <f>ROUND(uurtarief122,2)</f>
        <v>0</v>
      </c>
      <c r="I95" s="76">
        <v>0</v>
      </c>
      <c r="J95" s="76">
        <v>0</v>
      </c>
      <c r="K95" s="76">
        <v>0</v>
      </c>
      <c r="L95" s="76">
        <v>0</v>
      </c>
      <c r="M95" s="76">
        <v>0</v>
      </c>
      <c r="N95" s="76">
        <v>1.6</v>
      </c>
      <c r="O95" s="76">
        <v>0</v>
      </c>
      <c r="P95" s="76">
        <v>0</v>
      </c>
      <c r="Q95" s="76">
        <v>0</v>
      </c>
      <c r="R95" s="76">
        <v>0</v>
      </c>
      <c r="S95" s="76">
        <v>0</v>
      </c>
      <c r="T95" s="76">
        <v>0</v>
      </c>
      <c r="U95" s="76">
        <v>6</v>
      </c>
      <c r="V95" s="76">
        <v>0</v>
      </c>
      <c r="W95" s="76">
        <v>0</v>
      </c>
      <c r="X95" s="76">
        <v>0</v>
      </c>
      <c r="Y95" s="76">
        <v>0</v>
      </c>
      <c r="Z95" s="76">
        <v>0</v>
      </c>
      <c r="AA95" s="76">
        <v>0</v>
      </c>
      <c r="AB95" s="76">
        <v>0</v>
      </c>
      <c r="AC95" s="76">
        <v>0</v>
      </c>
      <c r="AD95" s="76">
        <v>0</v>
      </c>
      <c r="AE95" s="76">
        <v>0</v>
      </c>
      <c r="AF95" s="76">
        <v>0</v>
      </c>
      <c r="AG95" s="76">
        <v>0</v>
      </c>
      <c r="AH95" s="76">
        <v>0</v>
      </c>
      <c r="AI95" s="76">
        <v>0</v>
      </c>
      <c r="AJ95" s="76">
        <v>0</v>
      </c>
      <c r="AK95" s="76">
        <v>0</v>
      </c>
      <c r="AL95" s="76">
        <v>0</v>
      </c>
      <c r="AM95" s="76">
        <v>0</v>
      </c>
      <c r="AN95" s="76">
        <v>0</v>
      </c>
      <c r="AO95" s="76">
        <v>0</v>
      </c>
      <c r="AP95" s="76">
        <v>15.7</v>
      </c>
      <c r="AQ95" s="76">
        <v>0</v>
      </c>
      <c r="AR95" s="76">
        <v>0</v>
      </c>
      <c r="AS95" s="76">
        <v>24.7</v>
      </c>
      <c r="AT95" s="76">
        <v>0</v>
      </c>
      <c r="AU95" s="76">
        <v>0</v>
      </c>
      <c r="AV95" s="76">
        <v>0</v>
      </c>
      <c r="AW95" s="76">
        <v>0</v>
      </c>
      <c r="AX95" s="76">
        <v>0</v>
      </c>
      <c r="AY95" s="76">
        <v>0</v>
      </c>
      <c r="AZ95" s="76">
        <v>0</v>
      </c>
      <c r="BA95" s="76">
        <v>0</v>
      </c>
      <c r="BB95" s="76">
        <v>0</v>
      </c>
      <c r="BC95" s="76">
        <v>0</v>
      </c>
      <c r="BD95" s="76">
        <v>0</v>
      </c>
      <c r="BE95" s="76">
        <v>0</v>
      </c>
      <c r="BF95" s="76">
        <v>0</v>
      </c>
      <c r="BG95" s="76">
        <v>0</v>
      </c>
      <c r="BH95" s="76">
        <v>0</v>
      </c>
      <c r="BI95" s="76">
        <v>0</v>
      </c>
      <c r="BJ95" s="76">
        <v>0</v>
      </c>
      <c r="BK95" s="76">
        <v>0</v>
      </c>
      <c r="BL95" s="76">
        <v>0</v>
      </c>
      <c r="BM95" s="76">
        <v>0</v>
      </c>
      <c r="BN95" s="76">
        <v>0</v>
      </c>
      <c r="BO95" s="76">
        <v>0</v>
      </c>
      <c r="BP95" s="76">
        <v>0</v>
      </c>
      <c r="BQ95" s="76">
        <v>0</v>
      </c>
      <c r="BR95" s="76">
        <v>0</v>
      </c>
      <c r="BS95" s="76">
        <v>0</v>
      </c>
      <c r="BT95" s="76">
        <v>0</v>
      </c>
      <c r="BU95" s="76">
        <v>0</v>
      </c>
      <c r="BV95" s="76">
        <v>0</v>
      </c>
      <c r="BW95" s="76">
        <v>0</v>
      </c>
      <c r="BX95" s="76">
        <v>0</v>
      </c>
      <c r="BY95" s="76">
        <v>0</v>
      </c>
      <c r="BZ95" s="76">
        <v>0</v>
      </c>
    </row>
    <row r="96" spans="1:78" x14ac:dyDescent="0.2">
      <c r="A96" s="62" t="s">
        <v>279</v>
      </c>
      <c r="B96" s="62" t="s">
        <v>11</v>
      </c>
      <c r="C96" s="62" t="s">
        <v>968</v>
      </c>
      <c r="D96" s="62" t="s">
        <v>231</v>
      </c>
      <c r="E96" s="76">
        <f>IF(B96="","",VLOOKUP(B96,dagsoorttabel1,2,FALSE))</f>
        <v>0.6</v>
      </c>
      <c r="F96" s="76">
        <v>1</v>
      </c>
      <c r="G96" s="76">
        <f>IF(prodnorm123&gt;0,1/ROUND(prodnorm123,4),0)</f>
        <v>0</v>
      </c>
      <c r="H96" s="66">
        <f>ROUND(uurtarief123,2)</f>
        <v>0</v>
      </c>
      <c r="I96" s="76">
        <v>0</v>
      </c>
      <c r="J96" s="76">
        <v>0</v>
      </c>
      <c r="K96" s="76">
        <v>0</v>
      </c>
      <c r="L96" s="76">
        <v>0</v>
      </c>
      <c r="M96" s="76">
        <v>0</v>
      </c>
      <c r="N96" s="76">
        <v>0</v>
      </c>
      <c r="O96" s="76">
        <v>0</v>
      </c>
      <c r="P96" s="76">
        <v>0</v>
      </c>
      <c r="Q96" s="76">
        <v>0</v>
      </c>
      <c r="R96" s="76">
        <v>0</v>
      </c>
      <c r="S96" s="76">
        <v>0</v>
      </c>
      <c r="T96" s="76">
        <v>0</v>
      </c>
      <c r="U96" s="76">
        <v>0</v>
      </c>
      <c r="V96" s="76">
        <v>26</v>
      </c>
      <c r="W96" s="76">
        <v>0</v>
      </c>
      <c r="X96" s="76">
        <v>0</v>
      </c>
      <c r="Y96" s="76">
        <v>0</v>
      </c>
      <c r="Z96" s="76">
        <v>0</v>
      </c>
      <c r="AA96" s="76">
        <v>0</v>
      </c>
      <c r="AB96" s="76">
        <v>0</v>
      </c>
      <c r="AC96" s="76">
        <v>0</v>
      </c>
      <c r="AD96" s="76">
        <v>0</v>
      </c>
      <c r="AE96" s="76">
        <v>0</v>
      </c>
      <c r="AF96" s="76">
        <v>0</v>
      </c>
      <c r="AG96" s="76">
        <v>0</v>
      </c>
      <c r="AH96" s="76">
        <v>0</v>
      </c>
      <c r="AI96" s="76">
        <v>0</v>
      </c>
      <c r="AJ96" s="76">
        <v>0</v>
      </c>
      <c r="AK96" s="76">
        <v>0</v>
      </c>
      <c r="AL96" s="76">
        <v>0</v>
      </c>
      <c r="AM96" s="76">
        <v>0</v>
      </c>
      <c r="AN96" s="76">
        <v>0</v>
      </c>
      <c r="AO96" s="76">
        <v>0</v>
      </c>
      <c r="AP96" s="76">
        <v>0</v>
      </c>
      <c r="AQ96" s="76">
        <v>0</v>
      </c>
      <c r="AR96" s="76">
        <v>0</v>
      </c>
      <c r="AS96" s="76">
        <v>0</v>
      </c>
      <c r="AT96" s="76">
        <v>0</v>
      </c>
      <c r="AU96" s="76">
        <v>6.4</v>
      </c>
      <c r="AV96" s="76">
        <v>0</v>
      </c>
      <c r="AW96" s="76">
        <v>0</v>
      </c>
      <c r="AX96" s="76">
        <v>0</v>
      </c>
      <c r="AY96" s="76">
        <v>0</v>
      </c>
      <c r="AZ96" s="76">
        <v>0</v>
      </c>
      <c r="BA96" s="76">
        <v>0</v>
      </c>
      <c r="BB96" s="76">
        <v>0</v>
      </c>
      <c r="BC96" s="76">
        <v>0</v>
      </c>
      <c r="BD96" s="76">
        <v>0</v>
      </c>
      <c r="BE96" s="76">
        <v>0</v>
      </c>
      <c r="BF96" s="76">
        <v>0</v>
      </c>
      <c r="BG96" s="76">
        <v>0</v>
      </c>
      <c r="BH96" s="76">
        <v>0</v>
      </c>
      <c r="BI96" s="76">
        <v>0</v>
      </c>
      <c r="BJ96" s="76">
        <v>0</v>
      </c>
      <c r="BK96" s="76">
        <v>0</v>
      </c>
      <c r="BL96" s="76">
        <v>0</v>
      </c>
      <c r="BM96" s="76">
        <v>0</v>
      </c>
      <c r="BN96" s="76">
        <v>0</v>
      </c>
      <c r="BO96" s="76">
        <v>0</v>
      </c>
      <c r="BP96" s="76">
        <v>0</v>
      </c>
      <c r="BQ96" s="76">
        <v>0</v>
      </c>
      <c r="BR96" s="76">
        <v>0</v>
      </c>
      <c r="BS96" s="76">
        <v>0</v>
      </c>
      <c r="BT96" s="76">
        <v>0</v>
      </c>
      <c r="BU96" s="76">
        <v>0</v>
      </c>
      <c r="BV96" s="76">
        <v>0</v>
      </c>
      <c r="BW96" s="76">
        <v>0</v>
      </c>
      <c r="BX96" s="76">
        <v>0</v>
      </c>
      <c r="BY96" s="76">
        <v>0</v>
      </c>
      <c r="BZ96" s="76">
        <v>0</v>
      </c>
    </row>
    <row r="97" spans="1:78" x14ac:dyDescent="0.2">
      <c r="A97" s="62" t="s">
        <v>279</v>
      </c>
      <c r="B97" s="62" t="s">
        <v>9</v>
      </c>
      <c r="C97" s="62" t="s">
        <v>968</v>
      </c>
      <c r="D97" s="62" t="s">
        <v>231</v>
      </c>
      <c r="E97" s="76">
        <f>IF(B97="","",VLOOKUP(B97,dagsoorttabel1,2,FALSE))</f>
        <v>1</v>
      </c>
      <c r="F97" s="76">
        <v>1</v>
      </c>
      <c r="G97" s="76">
        <f>IF(prodnorm124&gt;0,1/ROUND(prodnorm124,4),0)</f>
        <v>0</v>
      </c>
      <c r="H97" s="66">
        <f>ROUND(uurtarief124,2)</f>
        <v>0</v>
      </c>
      <c r="I97" s="76">
        <v>0</v>
      </c>
      <c r="J97" s="76">
        <v>0</v>
      </c>
      <c r="K97" s="76">
        <v>0</v>
      </c>
      <c r="L97" s="76">
        <v>0</v>
      </c>
      <c r="M97" s="76">
        <v>7.4</v>
      </c>
      <c r="N97" s="76">
        <v>0</v>
      </c>
      <c r="O97" s="76">
        <v>0</v>
      </c>
      <c r="P97" s="76">
        <v>0</v>
      </c>
      <c r="Q97" s="76">
        <v>0</v>
      </c>
      <c r="R97" s="76">
        <v>25</v>
      </c>
      <c r="S97" s="76">
        <v>4.5</v>
      </c>
      <c r="T97" s="76">
        <v>0</v>
      </c>
      <c r="U97" s="76">
        <v>0</v>
      </c>
      <c r="V97" s="76">
        <v>0</v>
      </c>
      <c r="W97" s="76">
        <v>0</v>
      </c>
      <c r="X97" s="76">
        <v>0</v>
      </c>
      <c r="Y97" s="76">
        <v>0</v>
      </c>
      <c r="Z97" s="76">
        <v>0</v>
      </c>
      <c r="AA97" s="76">
        <v>0</v>
      </c>
      <c r="AB97" s="76">
        <v>0</v>
      </c>
      <c r="AC97" s="76">
        <v>0</v>
      </c>
      <c r="AD97" s="76">
        <v>0</v>
      </c>
      <c r="AE97" s="76">
        <v>0</v>
      </c>
      <c r="AF97" s="76">
        <v>0</v>
      </c>
      <c r="AG97" s="76">
        <v>0</v>
      </c>
      <c r="AH97" s="76">
        <v>0</v>
      </c>
      <c r="AI97" s="76">
        <v>0</v>
      </c>
      <c r="AJ97" s="76">
        <v>0</v>
      </c>
      <c r="AK97" s="76">
        <v>0</v>
      </c>
      <c r="AL97" s="76">
        <v>0</v>
      </c>
      <c r="AM97" s="76">
        <v>0</v>
      </c>
      <c r="AN97" s="76">
        <v>0</v>
      </c>
      <c r="AO97" s="76">
        <v>0</v>
      </c>
      <c r="AP97" s="76">
        <v>0</v>
      </c>
      <c r="AQ97" s="76">
        <v>0</v>
      </c>
      <c r="AR97" s="76">
        <v>0</v>
      </c>
      <c r="AS97" s="76">
        <v>0</v>
      </c>
      <c r="AT97" s="76">
        <v>0</v>
      </c>
      <c r="AU97" s="76">
        <v>0</v>
      </c>
      <c r="AV97" s="76">
        <v>0</v>
      </c>
      <c r="AW97" s="76">
        <v>0</v>
      </c>
      <c r="AX97" s="76">
        <v>0</v>
      </c>
      <c r="AY97" s="76">
        <v>0</v>
      </c>
      <c r="AZ97" s="76">
        <v>0</v>
      </c>
      <c r="BA97" s="76">
        <v>0</v>
      </c>
      <c r="BB97" s="76">
        <v>0</v>
      </c>
      <c r="BC97" s="76">
        <v>0</v>
      </c>
      <c r="BD97" s="76">
        <v>0</v>
      </c>
      <c r="BE97" s="76">
        <v>0</v>
      </c>
      <c r="BF97" s="76">
        <v>0</v>
      </c>
      <c r="BG97" s="76">
        <v>0</v>
      </c>
      <c r="BH97" s="76">
        <v>0</v>
      </c>
      <c r="BI97" s="76">
        <v>0</v>
      </c>
      <c r="BJ97" s="76">
        <v>0</v>
      </c>
      <c r="BK97" s="76">
        <v>0</v>
      </c>
      <c r="BL97" s="76">
        <v>0</v>
      </c>
      <c r="BM97" s="76">
        <v>0</v>
      </c>
      <c r="BN97" s="76">
        <v>0</v>
      </c>
      <c r="BO97" s="76">
        <v>0</v>
      </c>
      <c r="BP97" s="76">
        <v>0</v>
      </c>
      <c r="BQ97" s="76">
        <v>0</v>
      </c>
      <c r="BR97" s="76">
        <v>0</v>
      </c>
      <c r="BS97" s="76">
        <v>0</v>
      </c>
      <c r="BT97" s="76">
        <v>0</v>
      </c>
      <c r="BU97" s="76">
        <v>0</v>
      </c>
      <c r="BV97" s="76">
        <v>0</v>
      </c>
      <c r="BW97" s="76">
        <v>0</v>
      </c>
      <c r="BX97" s="76">
        <v>0</v>
      </c>
      <c r="BY97" s="76">
        <v>0</v>
      </c>
      <c r="BZ97" s="76">
        <v>0</v>
      </c>
    </row>
    <row r="98" spans="1:78" x14ac:dyDescent="0.2">
      <c r="A98" s="62" t="s">
        <v>281</v>
      </c>
      <c r="B98" s="62" t="s">
        <v>13</v>
      </c>
      <c r="C98" s="62" t="s">
        <v>968</v>
      </c>
      <c r="D98" s="62" t="s">
        <v>231</v>
      </c>
      <c r="E98" s="76">
        <f>IF(B98="","",VLOOKUP(B98,dagsoorttabel1,2,FALSE))</f>
        <v>0.2</v>
      </c>
      <c r="F98" s="76">
        <v>1</v>
      </c>
      <c r="G98" s="76">
        <f>IF(prodnorm125&gt;0,1/ROUND(prodnorm125,4),0)</f>
        <v>0</v>
      </c>
      <c r="H98" s="66">
        <f>ROUND(uurtarief125,2)</f>
        <v>0</v>
      </c>
      <c r="I98" s="76">
        <v>0</v>
      </c>
      <c r="J98" s="76">
        <v>0</v>
      </c>
      <c r="K98" s="76">
        <v>0</v>
      </c>
      <c r="L98" s="76">
        <v>0</v>
      </c>
      <c r="M98" s="76">
        <v>0</v>
      </c>
      <c r="N98" s="76">
        <v>0</v>
      </c>
      <c r="O98" s="76">
        <v>0</v>
      </c>
      <c r="P98" s="76">
        <v>2</v>
      </c>
      <c r="Q98" s="76">
        <v>0</v>
      </c>
      <c r="R98" s="76">
        <v>0</v>
      </c>
      <c r="S98" s="76">
        <v>0</v>
      </c>
      <c r="T98" s="76">
        <v>0</v>
      </c>
      <c r="U98" s="76">
        <v>0</v>
      </c>
      <c r="V98" s="76">
        <v>0</v>
      </c>
      <c r="W98" s="76">
        <v>0</v>
      </c>
      <c r="X98" s="76">
        <v>0</v>
      </c>
      <c r="Y98" s="76">
        <v>0</v>
      </c>
      <c r="Z98" s="76">
        <v>0</v>
      </c>
      <c r="AA98" s="76">
        <v>0</v>
      </c>
      <c r="AB98" s="76">
        <v>0</v>
      </c>
      <c r="AC98" s="76">
        <v>0</v>
      </c>
      <c r="AD98" s="76">
        <v>0</v>
      </c>
      <c r="AE98" s="76">
        <v>0</v>
      </c>
      <c r="AF98" s="76">
        <v>0</v>
      </c>
      <c r="AG98" s="76">
        <v>0</v>
      </c>
      <c r="AH98" s="76">
        <v>0</v>
      </c>
      <c r="AI98" s="76">
        <v>0</v>
      </c>
      <c r="AJ98" s="76">
        <v>0</v>
      </c>
      <c r="AK98" s="76">
        <v>0</v>
      </c>
      <c r="AL98" s="76">
        <v>0</v>
      </c>
      <c r="AM98" s="76">
        <v>0</v>
      </c>
      <c r="AN98" s="76">
        <v>0</v>
      </c>
      <c r="AO98" s="76">
        <v>0</v>
      </c>
      <c r="AP98" s="76">
        <v>0</v>
      </c>
      <c r="AQ98" s="76">
        <v>0</v>
      </c>
      <c r="AR98" s="76">
        <v>0</v>
      </c>
      <c r="AS98" s="76">
        <v>0</v>
      </c>
      <c r="AT98" s="76">
        <v>0</v>
      </c>
      <c r="AU98" s="76">
        <v>0</v>
      </c>
      <c r="AV98" s="76">
        <v>0</v>
      </c>
      <c r="AW98" s="76">
        <v>0</v>
      </c>
      <c r="AX98" s="76">
        <v>0</v>
      </c>
      <c r="AY98" s="76">
        <v>0</v>
      </c>
      <c r="AZ98" s="76">
        <v>0</v>
      </c>
      <c r="BA98" s="76">
        <v>0</v>
      </c>
      <c r="BB98" s="76">
        <v>0</v>
      </c>
      <c r="BC98" s="76">
        <v>0</v>
      </c>
      <c r="BD98" s="76">
        <v>0</v>
      </c>
      <c r="BE98" s="76">
        <v>0</v>
      </c>
      <c r="BF98" s="76">
        <v>0</v>
      </c>
      <c r="BG98" s="76">
        <v>0</v>
      </c>
      <c r="BH98" s="76">
        <v>0</v>
      </c>
      <c r="BI98" s="76">
        <v>0</v>
      </c>
      <c r="BJ98" s="76">
        <v>0</v>
      </c>
      <c r="BK98" s="76">
        <v>0</v>
      </c>
      <c r="BL98" s="76">
        <v>0</v>
      </c>
      <c r="BM98" s="76">
        <v>0</v>
      </c>
      <c r="BN98" s="76">
        <v>0</v>
      </c>
      <c r="BO98" s="76">
        <v>0</v>
      </c>
      <c r="BP98" s="76">
        <v>0</v>
      </c>
      <c r="BQ98" s="76">
        <v>0</v>
      </c>
      <c r="BR98" s="76">
        <v>0</v>
      </c>
      <c r="BS98" s="76">
        <v>0</v>
      </c>
      <c r="BT98" s="76">
        <v>0</v>
      </c>
      <c r="BU98" s="76">
        <v>0</v>
      </c>
      <c r="BV98" s="76">
        <v>0</v>
      </c>
      <c r="BW98" s="76">
        <v>0</v>
      </c>
      <c r="BX98" s="76">
        <v>0</v>
      </c>
      <c r="BY98" s="76">
        <v>0</v>
      </c>
      <c r="BZ98" s="76">
        <v>0</v>
      </c>
    </row>
    <row r="99" spans="1:78" x14ac:dyDescent="0.2">
      <c r="A99" s="62" t="s">
        <v>281</v>
      </c>
      <c r="B99" s="62" t="s">
        <v>12</v>
      </c>
      <c r="C99" s="62" t="s">
        <v>968</v>
      </c>
      <c r="D99" s="62" t="s">
        <v>231</v>
      </c>
      <c r="E99" s="76">
        <f>IF(B99="","",VLOOKUP(B99,dagsoorttabel1,2,FALSE))</f>
        <v>0.4</v>
      </c>
      <c r="F99" s="76">
        <v>1</v>
      </c>
      <c r="G99" s="76">
        <f>IF(prodnorm126&gt;0,1/ROUND(prodnorm126,4),0)</f>
        <v>0</v>
      </c>
      <c r="H99" s="66">
        <f>ROUND(uurtarief126,2)</f>
        <v>0</v>
      </c>
      <c r="I99" s="76">
        <v>0</v>
      </c>
      <c r="J99" s="76">
        <v>0</v>
      </c>
      <c r="K99" s="76">
        <v>0</v>
      </c>
      <c r="L99" s="76">
        <v>0</v>
      </c>
      <c r="M99" s="76">
        <v>0</v>
      </c>
      <c r="N99" s="76">
        <v>0</v>
      </c>
      <c r="O99" s="76">
        <v>0</v>
      </c>
      <c r="P99" s="76">
        <v>0</v>
      </c>
      <c r="Q99" s="76">
        <v>0</v>
      </c>
      <c r="R99" s="76">
        <v>0</v>
      </c>
      <c r="S99" s="76">
        <v>0</v>
      </c>
      <c r="T99" s="76">
        <v>0</v>
      </c>
      <c r="U99" s="76">
        <v>1.5</v>
      </c>
      <c r="V99" s="76">
        <v>0</v>
      </c>
      <c r="W99" s="76">
        <v>0</v>
      </c>
      <c r="X99" s="76">
        <v>0</v>
      </c>
      <c r="Y99" s="76">
        <v>0</v>
      </c>
      <c r="Z99" s="76">
        <v>0</v>
      </c>
      <c r="AA99" s="76">
        <v>0</v>
      </c>
      <c r="AB99" s="76">
        <v>0</v>
      </c>
      <c r="AC99" s="76">
        <v>0</v>
      </c>
      <c r="AD99" s="76">
        <v>0</v>
      </c>
      <c r="AE99" s="76">
        <v>0</v>
      </c>
      <c r="AF99" s="76">
        <v>0</v>
      </c>
      <c r="AG99" s="76">
        <v>0</v>
      </c>
      <c r="AH99" s="76">
        <v>0</v>
      </c>
      <c r="AI99" s="76">
        <v>0</v>
      </c>
      <c r="AJ99" s="76">
        <v>0</v>
      </c>
      <c r="AK99" s="76">
        <v>0</v>
      </c>
      <c r="AL99" s="76">
        <v>0</v>
      </c>
      <c r="AM99" s="76">
        <v>0</v>
      </c>
      <c r="AN99" s="76">
        <v>0</v>
      </c>
      <c r="AO99" s="76">
        <v>0</v>
      </c>
      <c r="AP99" s="76">
        <v>0</v>
      </c>
      <c r="AQ99" s="76">
        <v>0</v>
      </c>
      <c r="AR99" s="76">
        <v>6</v>
      </c>
      <c r="AS99" s="76">
        <v>0</v>
      </c>
      <c r="AT99" s="76">
        <v>0</v>
      </c>
      <c r="AU99" s="76">
        <v>0</v>
      </c>
      <c r="AV99" s="76">
        <v>0</v>
      </c>
      <c r="AW99" s="76">
        <v>0</v>
      </c>
      <c r="AX99" s="76">
        <v>0</v>
      </c>
      <c r="AY99" s="76">
        <v>0</v>
      </c>
      <c r="AZ99" s="76">
        <v>0</v>
      </c>
      <c r="BA99" s="76">
        <v>0</v>
      </c>
      <c r="BB99" s="76">
        <v>0</v>
      </c>
      <c r="BC99" s="76">
        <v>0</v>
      </c>
      <c r="BD99" s="76">
        <v>0</v>
      </c>
      <c r="BE99" s="76">
        <v>0</v>
      </c>
      <c r="BF99" s="76">
        <v>0</v>
      </c>
      <c r="BG99" s="76">
        <v>0</v>
      </c>
      <c r="BH99" s="76">
        <v>0</v>
      </c>
      <c r="BI99" s="76">
        <v>0</v>
      </c>
      <c r="BJ99" s="76">
        <v>0</v>
      </c>
      <c r="BK99" s="76">
        <v>0</v>
      </c>
      <c r="BL99" s="76">
        <v>0</v>
      </c>
      <c r="BM99" s="76">
        <v>0</v>
      </c>
      <c r="BN99" s="76">
        <v>0</v>
      </c>
      <c r="BO99" s="76">
        <v>0</v>
      </c>
      <c r="BP99" s="76">
        <v>0</v>
      </c>
      <c r="BQ99" s="76">
        <v>0</v>
      </c>
      <c r="BR99" s="76">
        <v>0</v>
      </c>
      <c r="BS99" s="76">
        <v>0</v>
      </c>
      <c r="BT99" s="76">
        <v>0</v>
      </c>
      <c r="BU99" s="76">
        <v>0</v>
      </c>
      <c r="BV99" s="76">
        <v>0</v>
      </c>
      <c r="BW99" s="76">
        <v>0</v>
      </c>
      <c r="BX99" s="76">
        <v>0</v>
      </c>
      <c r="BY99" s="76">
        <v>0</v>
      </c>
      <c r="BZ99" s="76">
        <v>0</v>
      </c>
    </row>
    <row r="100" spans="1:78" x14ac:dyDescent="0.2">
      <c r="A100" s="62" t="s">
        <v>281</v>
      </c>
      <c r="B100" s="62" t="s">
        <v>11</v>
      </c>
      <c r="C100" s="62" t="s">
        <v>968</v>
      </c>
      <c r="D100" s="62" t="s">
        <v>231</v>
      </c>
      <c r="E100" s="76">
        <f>IF(B100="","",VLOOKUP(B100,dagsoorttabel1,2,FALSE))</f>
        <v>0.6</v>
      </c>
      <c r="F100" s="76">
        <v>1</v>
      </c>
      <c r="G100" s="76">
        <f>IF(prodnorm127&gt;0,1/ROUND(prodnorm127,4),0)</f>
        <v>0</v>
      </c>
      <c r="H100" s="66">
        <f>ROUND(uurtarief127,2)</f>
        <v>0</v>
      </c>
      <c r="I100" s="76">
        <v>0</v>
      </c>
      <c r="J100" s="76">
        <v>0</v>
      </c>
      <c r="K100" s="76">
        <v>0</v>
      </c>
      <c r="L100" s="76">
        <v>0</v>
      </c>
      <c r="M100" s="76">
        <v>0</v>
      </c>
      <c r="N100" s="76">
        <v>0</v>
      </c>
      <c r="O100" s="76">
        <v>0</v>
      </c>
      <c r="P100" s="76">
        <v>0</v>
      </c>
      <c r="Q100" s="76">
        <v>0</v>
      </c>
      <c r="R100" s="76">
        <v>0</v>
      </c>
      <c r="S100" s="76">
        <v>0</v>
      </c>
      <c r="T100" s="76">
        <v>0</v>
      </c>
      <c r="U100" s="76">
        <v>0</v>
      </c>
      <c r="V100" s="76">
        <v>4</v>
      </c>
      <c r="W100" s="76">
        <v>0</v>
      </c>
      <c r="X100" s="76">
        <v>0</v>
      </c>
      <c r="Y100" s="76">
        <v>5.8</v>
      </c>
      <c r="Z100" s="76">
        <v>4.8</v>
      </c>
      <c r="AA100" s="76">
        <v>0</v>
      </c>
      <c r="AB100" s="76">
        <v>3.4299999999999997</v>
      </c>
      <c r="AC100" s="76">
        <v>3.3</v>
      </c>
      <c r="AD100" s="76">
        <v>0</v>
      </c>
      <c r="AE100" s="76">
        <v>0</v>
      </c>
      <c r="AF100" s="76">
        <v>0</v>
      </c>
      <c r="AG100" s="76">
        <v>0</v>
      </c>
      <c r="AH100" s="76">
        <v>0</v>
      </c>
      <c r="AI100" s="76">
        <v>0</v>
      </c>
      <c r="AJ100" s="76">
        <v>0</v>
      </c>
      <c r="AK100" s="76">
        <v>0</v>
      </c>
      <c r="AL100" s="76">
        <v>0</v>
      </c>
      <c r="AM100" s="76">
        <v>0</v>
      </c>
      <c r="AN100" s="76">
        <v>0</v>
      </c>
      <c r="AO100" s="76">
        <v>0</v>
      </c>
      <c r="AP100" s="76">
        <v>0</v>
      </c>
      <c r="AQ100" s="76">
        <v>0</v>
      </c>
      <c r="AR100" s="76">
        <v>0</v>
      </c>
      <c r="AS100" s="76">
        <v>0</v>
      </c>
      <c r="AT100" s="76">
        <v>0</v>
      </c>
      <c r="AU100" s="76">
        <v>0</v>
      </c>
      <c r="AV100" s="76">
        <v>0</v>
      </c>
      <c r="AW100" s="76">
        <v>0</v>
      </c>
      <c r="AX100" s="76">
        <v>0</v>
      </c>
      <c r="AY100" s="76">
        <v>0</v>
      </c>
      <c r="AZ100" s="76">
        <v>0</v>
      </c>
      <c r="BA100" s="76">
        <v>0</v>
      </c>
      <c r="BB100" s="76">
        <v>0</v>
      </c>
      <c r="BC100" s="76">
        <v>0</v>
      </c>
      <c r="BD100" s="76">
        <v>0</v>
      </c>
      <c r="BE100" s="76">
        <v>0</v>
      </c>
      <c r="BF100" s="76">
        <v>0</v>
      </c>
      <c r="BG100" s="76">
        <v>0</v>
      </c>
      <c r="BH100" s="76">
        <v>0</v>
      </c>
      <c r="BI100" s="76">
        <v>0</v>
      </c>
      <c r="BJ100" s="76">
        <v>0</v>
      </c>
      <c r="BK100" s="76">
        <v>0</v>
      </c>
      <c r="BL100" s="76">
        <v>0</v>
      </c>
      <c r="BM100" s="76">
        <v>0</v>
      </c>
      <c r="BN100" s="76">
        <v>0</v>
      </c>
      <c r="BO100" s="76">
        <v>0</v>
      </c>
      <c r="BP100" s="76">
        <v>0</v>
      </c>
      <c r="BQ100" s="76">
        <v>0</v>
      </c>
      <c r="BR100" s="76">
        <v>0</v>
      </c>
      <c r="BS100" s="76">
        <v>0</v>
      </c>
      <c r="BT100" s="76">
        <v>0</v>
      </c>
      <c r="BU100" s="76">
        <v>0</v>
      </c>
      <c r="BV100" s="76">
        <v>0</v>
      </c>
      <c r="BW100" s="76">
        <v>0</v>
      </c>
      <c r="BX100" s="76">
        <v>0</v>
      </c>
      <c r="BY100" s="76">
        <v>0</v>
      </c>
      <c r="BZ100" s="76">
        <v>0</v>
      </c>
    </row>
    <row r="101" spans="1:78" x14ac:dyDescent="0.2">
      <c r="A101" s="62" t="s">
        <v>281</v>
      </c>
      <c r="B101" s="62" t="s">
        <v>10</v>
      </c>
      <c r="C101" s="62" t="s">
        <v>968</v>
      </c>
      <c r="D101" s="62" t="s">
        <v>231</v>
      </c>
      <c r="E101" s="76">
        <f>IF(B101="","",VLOOKUP(B101,dagsoorttabel1,2,FALSE))</f>
        <v>0.8</v>
      </c>
      <c r="F101" s="76">
        <v>1</v>
      </c>
      <c r="G101" s="76">
        <f>IF(prodnorm128&gt;0,1/ROUND(prodnorm128,4),0)</f>
        <v>0</v>
      </c>
      <c r="H101" s="66">
        <f>ROUND(uurtarief128,2)</f>
        <v>0</v>
      </c>
      <c r="I101" s="76">
        <v>0</v>
      </c>
      <c r="J101" s="76">
        <v>13.729999999999999</v>
      </c>
      <c r="K101" s="76">
        <v>0</v>
      </c>
      <c r="L101" s="76">
        <v>0</v>
      </c>
      <c r="M101" s="76">
        <v>0</v>
      </c>
      <c r="N101" s="76">
        <v>0</v>
      </c>
      <c r="O101" s="76">
        <v>0</v>
      </c>
      <c r="P101" s="76">
        <v>0</v>
      </c>
      <c r="Q101" s="76">
        <v>0</v>
      </c>
      <c r="R101" s="76">
        <v>0</v>
      </c>
      <c r="S101" s="76">
        <v>0</v>
      </c>
      <c r="T101" s="76">
        <v>0</v>
      </c>
      <c r="U101" s="76">
        <v>0</v>
      </c>
      <c r="V101" s="76">
        <v>0</v>
      </c>
      <c r="W101" s="76">
        <v>0</v>
      </c>
      <c r="X101" s="76">
        <v>0</v>
      </c>
      <c r="Y101" s="76">
        <v>0</v>
      </c>
      <c r="Z101" s="76">
        <v>0</v>
      </c>
      <c r="AA101" s="76">
        <v>0</v>
      </c>
      <c r="AB101" s="76">
        <v>0</v>
      </c>
      <c r="AC101" s="76">
        <v>0</v>
      </c>
      <c r="AD101" s="76">
        <v>0</v>
      </c>
      <c r="AE101" s="76">
        <v>0</v>
      </c>
      <c r="AF101" s="76">
        <v>0</v>
      </c>
      <c r="AG101" s="76">
        <v>0</v>
      </c>
      <c r="AH101" s="76">
        <v>0</v>
      </c>
      <c r="AI101" s="76">
        <v>0</v>
      </c>
      <c r="AJ101" s="76">
        <v>0</v>
      </c>
      <c r="AK101" s="76">
        <v>0</v>
      </c>
      <c r="AL101" s="76">
        <v>0</v>
      </c>
      <c r="AM101" s="76">
        <v>0</v>
      </c>
      <c r="AN101" s="76">
        <v>0</v>
      </c>
      <c r="AO101" s="76">
        <v>0</v>
      </c>
      <c r="AP101" s="76">
        <v>0</v>
      </c>
      <c r="AQ101" s="76">
        <v>0</v>
      </c>
      <c r="AR101" s="76">
        <v>0</v>
      </c>
      <c r="AS101" s="76">
        <v>0</v>
      </c>
      <c r="AT101" s="76">
        <v>0</v>
      </c>
      <c r="AU101" s="76">
        <v>0</v>
      </c>
      <c r="AV101" s="76">
        <v>0</v>
      </c>
      <c r="AW101" s="76">
        <v>0</v>
      </c>
      <c r="AX101" s="76">
        <v>0</v>
      </c>
      <c r="AY101" s="76">
        <v>0</v>
      </c>
      <c r="AZ101" s="76">
        <v>0</v>
      </c>
      <c r="BA101" s="76">
        <v>0</v>
      </c>
      <c r="BB101" s="76">
        <v>0</v>
      </c>
      <c r="BC101" s="76">
        <v>0</v>
      </c>
      <c r="BD101" s="76">
        <v>0</v>
      </c>
      <c r="BE101" s="76">
        <v>0</v>
      </c>
      <c r="BF101" s="76">
        <v>0</v>
      </c>
      <c r="BG101" s="76">
        <v>0</v>
      </c>
      <c r="BH101" s="76">
        <v>0</v>
      </c>
      <c r="BI101" s="76">
        <v>0</v>
      </c>
      <c r="BJ101" s="76">
        <v>0</v>
      </c>
      <c r="BK101" s="76">
        <v>0</v>
      </c>
      <c r="BL101" s="76">
        <v>0</v>
      </c>
      <c r="BM101" s="76">
        <v>0</v>
      </c>
      <c r="BN101" s="76">
        <v>0</v>
      </c>
      <c r="BO101" s="76">
        <v>0</v>
      </c>
      <c r="BP101" s="76">
        <v>0</v>
      </c>
      <c r="BQ101" s="76">
        <v>0</v>
      </c>
      <c r="BR101" s="76">
        <v>0</v>
      </c>
      <c r="BS101" s="76">
        <v>0</v>
      </c>
      <c r="BT101" s="76">
        <v>0</v>
      </c>
      <c r="BU101" s="76">
        <v>0</v>
      </c>
      <c r="BV101" s="76">
        <v>0</v>
      </c>
      <c r="BW101" s="76">
        <v>0</v>
      </c>
      <c r="BX101" s="76">
        <v>0</v>
      </c>
      <c r="BY101" s="76">
        <v>0</v>
      </c>
      <c r="BZ101" s="76">
        <v>0</v>
      </c>
    </row>
    <row r="102" spans="1:78" x14ac:dyDescent="0.2">
      <c r="A102" s="62" t="s">
        <v>281</v>
      </c>
      <c r="B102" s="62" t="s">
        <v>9</v>
      </c>
      <c r="C102" s="62" t="s">
        <v>968</v>
      </c>
      <c r="D102" s="62" t="s">
        <v>231</v>
      </c>
      <c r="E102" s="76">
        <f>IF(B102="","",VLOOKUP(B102,dagsoorttabel1,2,FALSE))</f>
        <v>1</v>
      </c>
      <c r="F102" s="76">
        <v>1</v>
      </c>
      <c r="G102" s="76">
        <f>IF(prodnorm129&gt;0,1/ROUND(prodnorm129,4),0)</f>
        <v>0</v>
      </c>
      <c r="H102" s="66">
        <f>ROUND(uurtarief129,2)</f>
        <v>0</v>
      </c>
      <c r="I102" s="76">
        <v>6</v>
      </c>
      <c r="J102" s="76">
        <v>0</v>
      </c>
      <c r="K102" s="76">
        <v>5.5</v>
      </c>
      <c r="L102" s="76">
        <v>5</v>
      </c>
      <c r="M102" s="76">
        <v>0</v>
      </c>
      <c r="N102" s="76">
        <v>0</v>
      </c>
      <c r="O102" s="76">
        <v>0</v>
      </c>
      <c r="P102" s="76">
        <v>0</v>
      </c>
      <c r="Q102" s="76">
        <v>0</v>
      </c>
      <c r="R102" s="76">
        <v>1</v>
      </c>
      <c r="S102" s="76">
        <v>1.8</v>
      </c>
      <c r="T102" s="76">
        <v>0</v>
      </c>
      <c r="U102" s="76">
        <v>0</v>
      </c>
      <c r="V102" s="76">
        <v>0</v>
      </c>
      <c r="W102" s="76">
        <v>0</v>
      </c>
      <c r="X102" s="76">
        <v>0</v>
      </c>
      <c r="Y102" s="76">
        <v>0</v>
      </c>
      <c r="Z102" s="76">
        <v>0</v>
      </c>
      <c r="AA102" s="76">
        <v>0</v>
      </c>
      <c r="AB102" s="76">
        <v>0</v>
      </c>
      <c r="AC102" s="76">
        <v>0</v>
      </c>
      <c r="AD102" s="76">
        <v>0</v>
      </c>
      <c r="AE102" s="76">
        <v>0</v>
      </c>
      <c r="AF102" s="76">
        <v>0</v>
      </c>
      <c r="AG102" s="76">
        <v>0</v>
      </c>
      <c r="AH102" s="76">
        <v>0</v>
      </c>
      <c r="AI102" s="76">
        <v>0</v>
      </c>
      <c r="AJ102" s="76">
        <v>0</v>
      </c>
      <c r="AK102" s="76">
        <v>0</v>
      </c>
      <c r="AL102" s="76">
        <v>0</v>
      </c>
      <c r="AM102" s="76">
        <v>0</v>
      </c>
      <c r="AN102" s="76">
        <v>0</v>
      </c>
      <c r="AO102" s="76">
        <v>0</v>
      </c>
      <c r="AP102" s="76">
        <v>0</v>
      </c>
      <c r="AQ102" s="76">
        <v>0</v>
      </c>
      <c r="AR102" s="76">
        <v>0</v>
      </c>
      <c r="AS102" s="76">
        <v>0</v>
      </c>
      <c r="AT102" s="76">
        <v>0</v>
      </c>
      <c r="AU102" s="76">
        <v>0</v>
      </c>
      <c r="AV102" s="76">
        <v>0</v>
      </c>
      <c r="AW102" s="76">
        <v>0</v>
      </c>
      <c r="AX102" s="76">
        <v>0</v>
      </c>
      <c r="AY102" s="76">
        <v>0</v>
      </c>
      <c r="AZ102" s="76">
        <v>0</v>
      </c>
      <c r="BA102" s="76">
        <v>0</v>
      </c>
      <c r="BB102" s="76">
        <v>0</v>
      </c>
      <c r="BC102" s="76">
        <v>0</v>
      </c>
      <c r="BD102" s="76">
        <v>0</v>
      </c>
      <c r="BE102" s="76">
        <v>0</v>
      </c>
      <c r="BF102" s="76">
        <v>0</v>
      </c>
      <c r="BG102" s="76">
        <v>0</v>
      </c>
      <c r="BH102" s="76">
        <v>0</v>
      </c>
      <c r="BI102" s="76">
        <v>0</v>
      </c>
      <c r="BJ102" s="76">
        <v>0</v>
      </c>
      <c r="BK102" s="76">
        <v>0</v>
      </c>
      <c r="BL102" s="76">
        <v>0</v>
      </c>
      <c r="BM102" s="76">
        <v>0</v>
      </c>
      <c r="BN102" s="76">
        <v>0</v>
      </c>
      <c r="BO102" s="76">
        <v>0</v>
      </c>
      <c r="BP102" s="76">
        <v>0</v>
      </c>
      <c r="BQ102" s="76">
        <v>0</v>
      </c>
      <c r="BR102" s="76">
        <v>0</v>
      </c>
      <c r="BS102" s="76">
        <v>0</v>
      </c>
      <c r="BT102" s="76">
        <v>0</v>
      </c>
      <c r="BU102" s="76">
        <v>0</v>
      </c>
      <c r="BV102" s="76">
        <v>0</v>
      </c>
      <c r="BW102" s="76">
        <v>0</v>
      </c>
      <c r="BX102" s="76">
        <v>0</v>
      </c>
      <c r="BY102" s="76">
        <v>0</v>
      </c>
      <c r="BZ102" s="76">
        <v>0</v>
      </c>
    </row>
    <row r="103" spans="1:78" x14ac:dyDescent="0.2">
      <c r="A103" s="62" t="s">
        <v>283</v>
      </c>
      <c r="B103" s="62" t="s">
        <v>10</v>
      </c>
      <c r="C103" s="62" t="s">
        <v>968</v>
      </c>
      <c r="D103" s="62" t="s">
        <v>231</v>
      </c>
      <c r="E103" s="76">
        <f>IF(B103="","",VLOOKUP(B103,dagsoorttabel1,2,FALSE))</f>
        <v>0.8</v>
      </c>
      <c r="F103" s="76">
        <v>1</v>
      </c>
      <c r="G103" s="76">
        <f>IF(prodnorm130&gt;0,1/ROUND(prodnorm130,4),0)</f>
        <v>0</v>
      </c>
      <c r="H103" s="66">
        <f>ROUND(uurtarief130,2)</f>
        <v>0</v>
      </c>
      <c r="I103" s="76">
        <v>0</v>
      </c>
      <c r="J103" s="76">
        <v>1.53</v>
      </c>
      <c r="K103" s="76">
        <v>0</v>
      </c>
      <c r="L103" s="76">
        <v>0</v>
      </c>
      <c r="M103" s="76">
        <v>0</v>
      </c>
      <c r="N103" s="76">
        <v>0</v>
      </c>
      <c r="O103" s="76">
        <v>0</v>
      </c>
      <c r="P103" s="76">
        <v>0</v>
      </c>
      <c r="Q103" s="76">
        <v>0</v>
      </c>
      <c r="R103" s="76">
        <v>0</v>
      </c>
      <c r="S103" s="76">
        <v>0</v>
      </c>
      <c r="T103" s="76">
        <v>0</v>
      </c>
      <c r="U103" s="76">
        <v>0</v>
      </c>
      <c r="V103" s="76">
        <v>0</v>
      </c>
      <c r="W103" s="76">
        <v>0</v>
      </c>
      <c r="X103" s="76">
        <v>0</v>
      </c>
      <c r="Y103" s="76">
        <v>0</v>
      </c>
      <c r="Z103" s="76">
        <v>0</v>
      </c>
      <c r="AA103" s="76">
        <v>0</v>
      </c>
      <c r="AB103" s="76">
        <v>0</v>
      </c>
      <c r="AC103" s="76">
        <v>0</v>
      </c>
      <c r="AD103" s="76">
        <v>0</v>
      </c>
      <c r="AE103" s="76">
        <v>0</v>
      </c>
      <c r="AF103" s="76">
        <v>0</v>
      </c>
      <c r="AG103" s="76">
        <v>0</v>
      </c>
      <c r="AH103" s="76">
        <v>0</v>
      </c>
      <c r="AI103" s="76">
        <v>0</v>
      </c>
      <c r="AJ103" s="76">
        <v>0</v>
      </c>
      <c r="AK103" s="76">
        <v>0</v>
      </c>
      <c r="AL103" s="76">
        <v>0</v>
      </c>
      <c r="AM103" s="76">
        <v>0</v>
      </c>
      <c r="AN103" s="76">
        <v>0</v>
      </c>
      <c r="AO103" s="76">
        <v>0</v>
      </c>
      <c r="AP103" s="76">
        <v>0</v>
      </c>
      <c r="AQ103" s="76">
        <v>0</v>
      </c>
      <c r="AR103" s="76">
        <v>0</v>
      </c>
      <c r="AS103" s="76">
        <v>0</v>
      </c>
      <c r="AT103" s="76">
        <v>0</v>
      </c>
      <c r="AU103" s="76">
        <v>0</v>
      </c>
      <c r="AV103" s="76">
        <v>0</v>
      </c>
      <c r="AW103" s="76">
        <v>0</v>
      </c>
      <c r="AX103" s="76">
        <v>0</v>
      </c>
      <c r="AY103" s="76">
        <v>0</v>
      </c>
      <c r="AZ103" s="76">
        <v>0</v>
      </c>
      <c r="BA103" s="76">
        <v>0</v>
      </c>
      <c r="BB103" s="76">
        <v>0</v>
      </c>
      <c r="BC103" s="76">
        <v>0</v>
      </c>
      <c r="BD103" s="76">
        <v>0</v>
      </c>
      <c r="BE103" s="76">
        <v>0</v>
      </c>
      <c r="BF103" s="76">
        <v>0</v>
      </c>
      <c r="BG103" s="76">
        <v>0</v>
      </c>
      <c r="BH103" s="76">
        <v>0</v>
      </c>
      <c r="BI103" s="76">
        <v>0</v>
      </c>
      <c r="BJ103" s="76">
        <v>0</v>
      </c>
      <c r="BK103" s="76">
        <v>0</v>
      </c>
      <c r="BL103" s="76">
        <v>0</v>
      </c>
      <c r="BM103" s="76">
        <v>0</v>
      </c>
      <c r="BN103" s="76">
        <v>0</v>
      </c>
      <c r="BO103" s="76">
        <v>0</v>
      </c>
      <c r="BP103" s="76">
        <v>0</v>
      </c>
      <c r="BQ103" s="76">
        <v>0</v>
      </c>
      <c r="BR103" s="76">
        <v>0</v>
      </c>
      <c r="BS103" s="76">
        <v>0</v>
      </c>
      <c r="BT103" s="76">
        <v>0</v>
      </c>
      <c r="BU103" s="76">
        <v>0</v>
      </c>
      <c r="BV103" s="76">
        <v>0</v>
      </c>
      <c r="BW103" s="76">
        <v>0</v>
      </c>
      <c r="BX103" s="76">
        <v>0</v>
      </c>
      <c r="BY103" s="76">
        <v>0</v>
      </c>
      <c r="BZ103" s="76">
        <v>0</v>
      </c>
    </row>
    <row r="104" spans="1:78" x14ac:dyDescent="0.2">
      <c r="A104" s="62" t="s">
        <v>283</v>
      </c>
      <c r="B104" s="62" t="s">
        <v>9</v>
      </c>
      <c r="C104" s="62" t="s">
        <v>968</v>
      </c>
      <c r="D104" s="62" t="s">
        <v>231</v>
      </c>
      <c r="E104" s="76">
        <f>IF(B104="","",VLOOKUP(B104,dagsoorttabel1,2,FALSE))</f>
        <v>1</v>
      </c>
      <c r="F104" s="76">
        <v>1</v>
      </c>
      <c r="G104" s="76">
        <f>IF(prodnorm131&gt;0,1/ROUND(prodnorm131,4),0)</f>
        <v>0</v>
      </c>
      <c r="H104" s="66">
        <f>ROUND(uurtarief131,2)</f>
        <v>0</v>
      </c>
      <c r="I104" s="76">
        <v>3</v>
      </c>
      <c r="J104" s="76">
        <v>0</v>
      </c>
      <c r="K104" s="76">
        <v>0</v>
      </c>
      <c r="L104" s="76">
        <v>0</v>
      </c>
      <c r="M104" s="76">
        <v>0</v>
      </c>
      <c r="N104" s="76">
        <v>0</v>
      </c>
      <c r="O104" s="76">
        <v>0</v>
      </c>
      <c r="P104" s="76">
        <v>0</v>
      </c>
      <c r="Q104" s="76">
        <v>0</v>
      </c>
      <c r="R104" s="76">
        <v>0</v>
      </c>
      <c r="S104" s="76">
        <v>0</v>
      </c>
      <c r="T104" s="76">
        <v>0</v>
      </c>
      <c r="U104" s="76">
        <v>0</v>
      </c>
      <c r="V104" s="76">
        <v>0</v>
      </c>
      <c r="W104" s="76">
        <v>0</v>
      </c>
      <c r="X104" s="76">
        <v>0</v>
      </c>
      <c r="Y104" s="76">
        <v>0</v>
      </c>
      <c r="Z104" s="76">
        <v>0</v>
      </c>
      <c r="AA104" s="76">
        <v>0</v>
      </c>
      <c r="AB104" s="76">
        <v>0</v>
      </c>
      <c r="AC104" s="76">
        <v>0</v>
      </c>
      <c r="AD104" s="76">
        <v>0</v>
      </c>
      <c r="AE104" s="76">
        <v>0</v>
      </c>
      <c r="AF104" s="76">
        <v>0</v>
      </c>
      <c r="AG104" s="76">
        <v>0</v>
      </c>
      <c r="AH104" s="76">
        <v>0</v>
      </c>
      <c r="AI104" s="76">
        <v>0</v>
      </c>
      <c r="AJ104" s="76">
        <v>0</v>
      </c>
      <c r="AK104" s="76">
        <v>0</v>
      </c>
      <c r="AL104" s="76">
        <v>0</v>
      </c>
      <c r="AM104" s="76">
        <v>0</v>
      </c>
      <c r="AN104" s="76">
        <v>0</v>
      </c>
      <c r="AO104" s="76">
        <v>0</v>
      </c>
      <c r="AP104" s="76">
        <v>0</v>
      </c>
      <c r="AQ104" s="76">
        <v>0</v>
      </c>
      <c r="AR104" s="76">
        <v>0</v>
      </c>
      <c r="AS104" s="76">
        <v>0</v>
      </c>
      <c r="AT104" s="76">
        <v>0</v>
      </c>
      <c r="AU104" s="76">
        <v>0</v>
      </c>
      <c r="AV104" s="76">
        <v>0</v>
      </c>
      <c r="AW104" s="76">
        <v>0</v>
      </c>
      <c r="AX104" s="76">
        <v>0</v>
      </c>
      <c r="AY104" s="76">
        <v>0</v>
      </c>
      <c r="AZ104" s="76">
        <v>0</v>
      </c>
      <c r="BA104" s="76">
        <v>0</v>
      </c>
      <c r="BB104" s="76">
        <v>0</v>
      </c>
      <c r="BC104" s="76">
        <v>0</v>
      </c>
      <c r="BD104" s="76">
        <v>0</v>
      </c>
      <c r="BE104" s="76">
        <v>0</v>
      </c>
      <c r="BF104" s="76">
        <v>0</v>
      </c>
      <c r="BG104" s="76">
        <v>0</v>
      </c>
      <c r="BH104" s="76">
        <v>0</v>
      </c>
      <c r="BI104" s="76">
        <v>0</v>
      </c>
      <c r="BJ104" s="76">
        <v>0</v>
      </c>
      <c r="BK104" s="76">
        <v>0</v>
      </c>
      <c r="BL104" s="76">
        <v>0</v>
      </c>
      <c r="BM104" s="76">
        <v>0</v>
      </c>
      <c r="BN104" s="76">
        <v>0</v>
      </c>
      <c r="BO104" s="76">
        <v>0</v>
      </c>
      <c r="BP104" s="76">
        <v>0</v>
      </c>
      <c r="BQ104" s="76">
        <v>0</v>
      </c>
      <c r="BR104" s="76">
        <v>0</v>
      </c>
      <c r="BS104" s="76">
        <v>0</v>
      </c>
      <c r="BT104" s="76">
        <v>0</v>
      </c>
      <c r="BU104" s="76">
        <v>0</v>
      </c>
      <c r="BV104" s="76">
        <v>0</v>
      </c>
      <c r="BW104" s="76">
        <v>0</v>
      </c>
      <c r="BX104" s="76">
        <v>0</v>
      </c>
      <c r="BY104" s="76">
        <v>0</v>
      </c>
      <c r="BZ104" s="76">
        <v>0</v>
      </c>
    </row>
    <row r="105" spans="1:78" x14ac:dyDescent="0.2">
      <c r="A105" s="62" t="s">
        <v>285</v>
      </c>
      <c r="B105" s="62" t="s">
        <v>15</v>
      </c>
      <c r="C105" s="62" t="s">
        <v>968</v>
      </c>
      <c r="D105" s="62" t="s">
        <v>231</v>
      </c>
      <c r="E105" s="76">
        <f>IF(B105="","",VLOOKUP(B105,dagsoorttabel1,2,FALSE))</f>
        <v>4.7058823529411764E-2</v>
      </c>
      <c r="F105" s="76">
        <v>1</v>
      </c>
      <c r="G105" s="76">
        <f>IF(prodnorm132&gt;0,1/ROUND(prodnorm132,4),0)</f>
        <v>0</v>
      </c>
      <c r="H105" s="66">
        <f>ROUND(uurtarief132,2)</f>
        <v>0</v>
      </c>
      <c r="I105" s="76">
        <v>0</v>
      </c>
      <c r="J105" s="76">
        <v>0</v>
      </c>
      <c r="K105" s="76">
        <v>0</v>
      </c>
      <c r="L105" s="76">
        <v>0</v>
      </c>
      <c r="M105" s="76">
        <v>0</v>
      </c>
      <c r="N105" s="76">
        <v>0</v>
      </c>
      <c r="O105" s="76">
        <v>0</v>
      </c>
      <c r="P105" s="76">
        <v>0</v>
      </c>
      <c r="Q105" s="76">
        <v>0</v>
      </c>
      <c r="R105" s="76">
        <v>0</v>
      </c>
      <c r="S105" s="76">
        <v>0</v>
      </c>
      <c r="T105" s="76">
        <v>0</v>
      </c>
      <c r="U105" s="76">
        <v>0</v>
      </c>
      <c r="V105" s="76">
        <v>0</v>
      </c>
      <c r="W105" s="76">
        <v>0</v>
      </c>
      <c r="X105" s="76">
        <v>0</v>
      </c>
      <c r="Y105" s="76">
        <v>0</v>
      </c>
      <c r="Z105" s="76">
        <v>0</v>
      </c>
      <c r="AA105" s="76">
        <v>0</v>
      </c>
      <c r="AB105" s="76">
        <v>0</v>
      </c>
      <c r="AC105" s="76">
        <v>0</v>
      </c>
      <c r="AD105" s="76">
        <v>0</v>
      </c>
      <c r="AE105" s="76">
        <v>0</v>
      </c>
      <c r="AF105" s="76">
        <v>0</v>
      </c>
      <c r="AG105" s="76">
        <v>0</v>
      </c>
      <c r="AH105" s="76">
        <v>0</v>
      </c>
      <c r="AI105" s="76">
        <v>0</v>
      </c>
      <c r="AJ105" s="76">
        <v>0</v>
      </c>
      <c r="AK105" s="76">
        <v>0</v>
      </c>
      <c r="AL105" s="76">
        <v>0</v>
      </c>
      <c r="AM105" s="76">
        <v>0</v>
      </c>
      <c r="AN105" s="76">
        <v>0</v>
      </c>
      <c r="AO105" s="76">
        <v>0</v>
      </c>
      <c r="AP105" s="76">
        <v>0</v>
      </c>
      <c r="AQ105" s="76">
        <v>0</v>
      </c>
      <c r="AR105" s="76">
        <v>0</v>
      </c>
      <c r="AS105" s="76">
        <v>0</v>
      </c>
      <c r="AT105" s="76">
        <v>0</v>
      </c>
      <c r="AU105" s="76">
        <v>0</v>
      </c>
      <c r="AV105" s="76">
        <v>0</v>
      </c>
      <c r="AW105" s="76">
        <v>0</v>
      </c>
      <c r="AX105" s="76">
        <v>0</v>
      </c>
      <c r="AY105" s="76">
        <v>0</v>
      </c>
      <c r="AZ105" s="76">
        <v>0</v>
      </c>
      <c r="BA105" s="76">
        <v>0</v>
      </c>
      <c r="BB105" s="76">
        <v>0</v>
      </c>
      <c r="BC105" s="76">
        <v>0</v>
      </c>
      <c r="BD105" s="76">
        <v>0</v>
      </c>
      <c r="BE105" s="76">
        <v>0</v>
      </c>
      <c r="BF105" s="76">
        <v>0</v>
      </c>
      <c r="BG105" s="76">
        <v>0</v>
      </c>
      <c r="BH105" s="76">
        <v>0</v>
      </c>
      <c r="BI105" s="76">
        <v>0</v>
      </c>
      <c r="BJ105" s="76">
        <v>0</v>
      </c>
      <c r="BK105" s="76">
        <v>0</v>
      </c>
      <c r="BL105" s="76">
        <v>0</v>
      </c>
      <c r="BM105" s="76">
        <v>0</v>
      </c>
      <c r="BN105" s="76">
        <v>0</v>
      </c>
      <c r="BO105" s="76">
        <v>0</v>
      </c>
      <c r="BP105" s="76">
        <v>0</v>
      </c>
      <c r="BQ105" s="76">
        <v>0</v>
      </c>
      <c r="BR105" s="76">
        <v>0</v>
      </c>
      <c r="BS105" s="76">
        <v>0</v>
      </c>
      <c r="BT105" s="76">
        <v>0</v>
      </c>
      <c r="BU105" s="76">
        <v>0</v>
      </c>
      <c r="BV105" s="76">
        <v>3.8</v>
      </c>
      <c r="BW105" s="76">
        <v>0</v>
      </c>
      <c r="BX105" s="76">
        <v>0</v>
      </c>
      <c r="BY105" s="76">
        <v>0</v>
      </c>
      <c r="BZ105" s="76">
        <v>0</v>
      </c>
    </row>
    <row r="106" spans="1:78" x14ac:dyDescent="0.2">
      <c r="A106" s="62" t="s">
        <v>285</v>
      </c>
      <c r="B106" s="62" t="s">
        <v>23</v>
      </c>
      <c r="C106" s="62" t="s">
        <v>968</v>
      </c>
      <c r="D106" s="62" t="s">
        <v>231</v>
      </c>
      <c r="E106" s="76">
        <f>IF(B106="","",VLOOKUP(B106,dagsoorttabel1,2,FALSE))</f>
        <v>3.9215686274509803E-3</v>
      </c>
      <c r="F106" s="76">
        <v>1</v>
      </c>
      <c r="G106" s="76">
        <f>IF(prodnorm133&gt;0,1/ROUND(prodnorm133,4),0)</f>
        <v>0</v>
      </c>
      <c r="H106" s="66">
        <f>ROUND(uurtarief133,2)</f>
        <v>0</v>
      </c>
      <c r="I106" s="76">
        <v>0</v>
      </c>
      <c r="J106" s="76">
        <v>0</v>
      </c>
      <c r="K106" s="76">
        <v>0</v>
      </c>
      <c r="L106" s="76">
        <v>0</v>
      </c>
      <c r="M106" s="76">
        <v>0</v>
      </c>
      <c r="N106" s="76">
        <v>0</v>
      </c>
      <c r="O106" s="76">
        <v>0</v>
      </c>
      <c r="P106" s="76">
        <v>0</v>
      </c>
      <c r="Q106" s="76">
        <v>0</v>
      </c>
      <c r="R106" s="76">
        <v>0</v>
      </c>
      <c r="S106" s="76">
        <v>0</v>
      </c>
      <c r="T106" s="76">
        <v>0</v>
      </c>
      <c r="U106" s="76">
        <v>0</v>
      </c>
      <c r="V106" s="76">
        <v>0</v>
      </c>
      <c r="W106" s="76">
        <v>0</v>
      </c>
      <c r="X106" s="76">
        <v>0</v>
      </c>
      <c r="Y106" s="76">
        <v>0</v>
      </c>
      <c r="Z106" s="76">
        <v>0</v>
      </c>
      <c r="AA106" s="76">
        <v>0</v>
      </c>
      <c r="AB106" s="76">
        <v>0</v>
      </c>
      <c r="AC106" s="76">
        <v>0</v>
      </c>
      <c r="AD106" s="76">
        <v>0</v>
      </c>
      <c r="AE106" s="76">
        <v>0</v>
      </c>
      <c r="AF106" s="76">
        <v>0</v>
      </c>
      <c r="AG106" s="76">
        <v>0</v>
      </c>
      <c r="AH106" s="76">
        <v>0</v>
      </c>
      <c r="AI106" s="76">
        <v>0</v>
      </c>
      <c r="AJ106" s="76">
        <v>0</v>
      </c>
      <c r="AK106" s="76">
        <v>0</v>
      </c>
      <c r="AL106" s="76">
        <v>0</v>
      </c>
      <c r="AM106" s="76">
        <v>0</v>
      </c>
      <c r="AN106" s="76">
        <v>0</v>
      </c>
      <c r="AO106" s="76">
        <v>0</v>
      </c>
      <c r="AP106" s="76">
        <v>0</v>
      </c>
      <c r="AQ106" s="76">
        <v>0</v>
      </c>
      <c r="AR106" s="76">
        <v>0</v>
      </c>
      <c r="AS106" s="76">
        <v>0</v>
      </c>
      <c r="AT106" s="76">
        <v>0</v>
      </c>
      <c r="AU106" s="76">
        <v>0</v>
      </c>
      <c r="AV106" s="76">
        <v>0</v>
      </c>
      <c r="AW106" s="76">
        <v>0</v>
      </c>
      <c r="AX106" s="76">
        <v>0</v>
      </c>
      <c r="AY106" s="76">
        <v>0</v>
      </c>
      <c r="AZ106" s="76">
        <v>0</v>
      </c>
      <c r="BA106" s="76">
        <v>0</v>
      </c>
      <c r="BB106" s="76">
        <v>0</v>
      </c>
      <c r="BC106" s="76">
        <v>0</v>
      </c>
      <c r="BD106" s="76">
        <v>0</v>
      </c>
      <c r="BE106" s="76">
        <v>0</v>
      </c>
      <c r="BF106" s="76">
        <v>0</v>
      </c>
      <c r="BG106" s="76">
        <v>0</v>
      </c>
      <c r="BH106" s="76">
        <v>0</v>
      </c>
      <c r="BI106" s="76">
        <v>0</v>
      </c>
      <c r="BJ106" s="76">
        <v>0</v>
      </c>
      <c r="BK106" s="76">
        <v>0</v>
      </c>
      <c r="BL106" s="76">
        <v>0</v>
      </c>
      <c r="BM106" s="76">
        <v>0</v>
      </c>
      <c r="BN106" s="76">
        <v>0</v>
      </c>
      <c r="BO106" s="76">
        <v>0</v>
      </c>
      <c r="BP106" s="76">
        <v>0</v>
      </c>
      <c r="BQ106" s="76">
        <v>0</v>
      </c>
      <c r="BR106" s="76">
        <v>0</v>
      </c>
      <c r="BS106" s="76">
        <v>0</v>
      </c>
      <c r="BT106" s="76">
        <v>0</v>
      </c>
      <c r="BU106" s="76">
        <v>2</v>
      </c>
      <c r="BV106" s="76">
        <v>0</v>
      </c>
      <c r="BW106" s="76">
        <v>0</v>
      </c>
      <c r="BX106" s="76">
        <v>0</v>
      </c>
      <c r="BY106" s="76">
        <v>0</v>
      </c>
      <c r="BZ106" s="76">
        <v>0</v>
      </c>
    </row>
    <row r="107" spans="1:78" x14ac:dyDescent="0.2">
      <c r="A107" s="62" t="s">
        <v>285</v>
      </c>
      <c r="B107" s="62" t="s">
        <v>12</v>
      </c>
      <c r="C107" s="62" t="s">
        <v>968</v>
      </c>
      <c r="D107" s="62" t="s">
        <v>231</v>
      </c>
      <c r="E107" s="76">
        <f>IF(B107="","",VLOOKUP(B107,dagsoorttabel1,2,FALSE))</f>
        <v>0.4</v>
      </c>
      <c r="F107" s="76">
        <v>1</v>
      </c>
      <c r="G107" s="76">
        <f>IF(prodnorm134&gt;0,1/ROUND(prodnorm134,4),0)</f>
        <v>0</v>
      </c>
      <c r="H107" s="66">
        <f>ROUND(uurtarief134,2)</f>
        <v>0</v>
      </c>
      <c r="I107" s="76">
        <v>0</v>
      </c>
      <c r="J107" s="76">
        <v>0</v>
      </c>
      <c r="K107" s="76">
        <v>0</v>
      </c>
      <c r="L107" s="76">
        <v>0</v>
      </c>
      <c r="M107" s="76">
        <v>0</v>
      </c>
      <c r="N107" s="76">
        <v>0</v>
      </c>
      <c r="O107" s="76">
        <v>0</v>
      </c>
      <c r="P107" s="76">
        <v>0</v>
      </c>
      <c r="Q107" s="76">
        <v>0</v>
      </c>
      <c r="R107" s="76">
        <v>0</v>
      </c>
      <c r="S107" s="76">
        <v>0</v>
      </c>
      <c r="T107" s="76">
        <v>0</v>
      </c>
      <c r="U107" s="76">
        <v>0</v>
      </c>
      <c r="V107" s="76">
        <v>0</v>
      </c>
      <c r="W107" s="76">
        <v>0</v>
      </c>
      <c r="X107" s="76">
        <v>0</v>
      </c>
      <c r="Y107" s="76">
        <v>0</v>
      </c>
      <c r="Z107" s="76">
        <v>0</v>
      </c>
      <c r="AA107" s="76">
        <v>0</v>
      </c>
      <c r="AB107" s="76">
        <v>0</v>
      </c>
      <c r="AC107" s="76">
        <v>0</v>
      </c>
      <c r="AD107" s="76">
        <v>0</v>
      </c>
      <c r="AE107" s="76">
        <v>0</v>
      </c>
      <c r="AF107" s="76">
        <v>0</v>
      </c>
      <c r="AG107" s="76">
        <v>0</v>
      </c>
      <c r="AH107" s="76">
        <v>0</v>
      </c>
      <c r="AI107" s="76">
        <v>0</v>
      </c>
      <c r="AJ107" s="76">
        <v>0</v>
      </c>
      <c r="AK107" s="76">
        <v>0</v>
      </c>
      <c r="AL107" s="76">
        <v>0</v>
      </c>
      <c r="AM107" s="76">
        <v>0</v>
      </c>
      <c r="AN107" s="76">
        <v>0</v>
      </c>
      <c r="AO107" s="76">
        <v>0</v>
      </c>
      <c r="AP107" s="76">
        <v>0</v>
      </c>
      <c r="AQ107" s="76">
        <v>0</v>
      </c>
      <c r="AR107" s="76">
        <v>0</v>
      </c>
      <c r="AS107" s="76">
        <v>2.1</v>
      </c>
      <c r="AT107" s="76">
        <v>0</v>
      </c>
      <c r="AU107" s="76">
        <v>0</v>
      </c>
      <c r="AV107" s="76">
        <v>0</v>
      </c>
      <c r="AW107" s="76">
        <v>0</v>
      </c>
      <c r="AX107" s="76">
        <v>0</v>
      </c>
      <c r="AY107" s="76">
        <v>0</v>
      </c>
      <c r="AZ107" s="76">
        <v>0</v>
      </c>
      <c r="BA107" s="76">
        <v>0</v>
      </c>
      <c r="BB107" s="76">
        <v>0</v>
      </c>
      <c r="BC107" s="76">
        <v>0</v>
      </c>
      <c r="BD107" s="76">
        <v>0</v>
      </c>
      <c r="BE107" s="76">
        <v>0</v>
      </c>
      <c r="BF107" s="76">
        <v>0</v>
      </c>
      <c r="BG107" s="76">
        <v>0</v>
      </c>
      <c r="BH107" s="76">
        <v>0</v>
      </c>
      <c r="BI107" s="76">
        <v>0</v>
      </c>
      <c r="BJ107" s="76">
        <v>0</v>
      </c>
      <c r="BK107" s="76">
        <v>0</v>
      </c>
      <c r="BL107" s="76">
        <v>0</v>
      </c>
      <c r="BM107" s="76">
        <v>0</v>
      </c>
      <c r="BN107" s="76">
        <v>0</v>
      </c>
      <c r="BO107" s="76">
        <v>0</v>
      </c>
      <c r="BP107" s="76">
        <v>0</v>
      </c>
      <c r="BQ107" s="76">
        <v>0</v>
      </c>
      <c r="BR107" s="76">
        <v>0</v>
      </c>
      <c r="BS107" s="76">
        <v>0</v>
      </c>
      <c r="BT107" s="76">
        <v>0</v>
      </c>
      <c r="BU107" s="76">
        <v>0</v>
      </c>
      <c r="BV107" s="76">
        <v>0</v>
      </c>
      <c r="BW107" s="76">
        <v>0</v>
      </c>
      <c r="BX107" s="76">
        <v>0</v>
      </c>
      <c r="BY107" s="76">
        <v>0</v>
      </c>
      <c r="BZ107" s="76">
        <v>0</v>
      </c>
    </row>
    <row r="108" spans="1:78" x14ac:dyDescent="0.2">
      <c r="A108" s="62" t="s">
        <v>285</v>
      </c>
      <c r="B108" s="62" t="s">
        <v>11</v>
      </c>
      <c r="C108" s="62" t="s">
        <v>968</v>
      </c>
      <c r="D108" s="62" t="s">
        <v>231</v>
      </c>
      <c r="E108" s="76">
        <f>IF(B108="","",VLOOKUP(B108,dagsoorttabel1,2,FALSE))</f>
        <v>0.6</v>
      </c>
      <c r="F108" s="76">
        <v>1</v>
      </c>
      <c r="G108" s="76">
        <f>IF(prodnorm135&gt;0,1/ROUND(prodnorm135,4),0)</f>
        <v>0</v>
      </c>
      <c r="H108" s="66">
        <f>ROUND(uurtarief135,2)</f>
        <v>0</v>
      </c>
      <c r="I108" s="76">
        <v>0</v>
      </c>
      <c r="J108" s="76">
        <v>0</v>
      </c>
      <c r="K108" s="76">
        <v>0</v>
      </c>
      <c r="L108" s="76">
        <v>0</v>
      </c>
      <c r="M108" s="76">
        <v>0</v>
      </c>
      <c r="N108" s="76">
        <v>0</v>
      </c>
      <c r="O108" s="76">
        <v>0</v>
      </c>
      <c r="P108" s="76">
        <v>0</v>
      </c>
      <c r="Q108" s="76">
        <v>0</v>
      </c>
      <c r="R108" s="76">
        <v>0</v>
      </c>
      <c r="S108" s="76">
        <v>0</v>
      </c>
      <c r="T108" s="76">
        <v>0</v>
      </c>
      <c r="U108" s="76">
        <v>0</v>
      </c>
      <c r="V108" s="76">
        <v>0</v>
      </c>
      <c r="W108" s="76">
        <v>0</v>
      </c>
      <c r="X108" s="76">
        <v>0</v>
      </c>
      <c r="Y108" s="76">
        <v>0</v>
      </c>
      <c r="Z108" s="76">
        <v>0</v>
      </c>
      <c r="AA108" s="76">
        <v>0</v>
      </c>
      <c r="AB108" s="76">
        <v>8.2299999999999986</v>
      </c>
      <c r="AC108" s="76">
        <v>0</v>
      </c>
      <c r="AD108" s="76">
        <v>0</v>
      </c>
      <c r="AE108" s="76">
        <v>0</v>
      </c>
      <c r="AF108" s="76">
        <v>0</v>
      </c>
      <c r="AG108" s="76">
        <v>0</v>
      </c>
      <c r="AH108" s="76">
        <v>0</v>
      </c>
      <c r="AI108" s="76">
        <v>0</v>
      </c>
      <c r="AJ108" s="76">
        <v>0</v>
      </c>
      <c r="AK108" s="76">
        <v>0</v>
      </c>
      <c r="AL108" s="76">
        <v>0</v>
      </c>
      <c r="AM108" s="76">
        <v>0</v>
      </c>
      <c r="AN108" s="76">
        <v>0</v>
      </c>
      <c r="AO108" s="76">
        <v>0</v>
      </c>
      <c r="AP108" s="76">
        <v>0</v>
      </c>
      <c r="AQ108" s="76">
        <v>0</v>
      </c>
      <c r="AR108" s="76">
        <v>0</v>
      </c>
      <c r="AS108" s="76">
        <v>0</v>
      </c>
      <c r="AT108" s="76">
        <v>0</v>
      </c>
      <c r="AU108" s="76">
        <v>3.3</v>
      </c>
      <c r="AV108" s="76">
        <v>0</v>
      </c>
      <c r="AW108" s="76">
        <v>0</v>
      </c>
      <c r="AX108" s="76">
        <v>0</v>
      </c>
      <c r="AY108" s="76">
        <v>0</v>
      </c>
      <c r="AZ108" s="76">
        <v>0</v>
      </c>
      <c r="BA108" s="76">
        <v>0</v>
      </c>
      <c r="BB108" s="76">
        <v>0</v>
      </c>
      <c r="BC108" s="76">
        <v>0</v>
      </c>
      <c r="BD108" s="76">
        <v>0</v>
      </c>
      <c r="BE108" s="76">
        <v>0</v>
      </c>
      <c r="BF108" s="76">
        <v>0</v>
      </c>
      <c r="BG108" s="76">
        <v>0</v>
      </c>
      <c r="BH108" s="76">
        <v>0</v>
      </c>
      <c r="BI108" s="76">
        <v>0</v>
      </c>
      <c r="BJ108" s="76">
        <v>0</v>
      </c>
      <c r="BK108" s="76">
        <v>0</v>
      </c>
      <c r="BL108" s="76">
        <v>0</v>
      </c>
      <c r="BM108" s="76">
        <v>0</v>
      </c>
      <c r="BN108" s="76">
        <v>0</v>
      </c>
      <c r="BO108" s="76">
        <v>0</v>
      </c>
      <c r="BP108" s="76">
        <v>0</v>
      </c>
      <c r="BQ108" s="76">
        <v>0</v>
      </c>
      <c r="BR108" s="76">
        <v>0</v>
      </c>
      <c r="BS108" s="76">
        <v>0</v>
      </c>
      <c r="BT108" s="76">
        <v>0</v>
      </c>
      <c r="BU108" s="76">
        <v>0</v>
      </c>
      <c r="BV108" s="76">
        <v>0</v>
      </c>
      <c r="BW108" s="76">
        <v>0</v>
      </c>
      <c r="BX108" s="76">
        <v>0</v>
      </c>
      <c r="BY108" s="76">
        <v>0</v>
      </c>
      <c r="BZ108" s="76">
        <v>0</v>
      </c>
    </row>
    <row r="109" spans="1:78" x14ac:dyDescent="0.2">
      <c r="A109" s="62" t="s">
        <v>287</v>
      </c>
      <c r="B109" s="62" t="s">
        <v>9</v>
      </c>
      <c r="C109" s="62" t="s">
        <v>968</v>
      </c>
      <c r="D109" s="62" t="s">
        <v>231</v>
      </c>
      <c r="E109" s="76">
        <f>IF(B109="","",VLOOKUP(B109,dagsoorttabel1,2,FALSE))</f>
        <v>1</v>
      </c>
      <c r="F109" s="76">
        <v>1</v>
      </c>
      <c r="G109" s="76">
        <f>IF(prodnorm136&gt;0,1/ROUND(prodnorm136,4),0)</f>
        <v>0</v>
      </c>
      <c r="H109" s="66">
        <f>ROUND(uurtarief136,2)</f>
        <v>0</v>
      </c>
      <c r="I109" s="76">
        <v>0</v>
      </c>
      <c r="J109" s="76">
        <v>0</v>
      </c>
      <c r="K109" s="76">
        <v>14.7</v>
      </c>
      <c r="L109" s="76">
        <v>0</v>
      </c>
      <c r="M109" s="76">
        <v>0</v>
      </c>
      <c r="N109" s="76">
        <v>0</v>
      </c>
      <c r="O109" s="76">
        <v>0</v>
      </c>
      <c r="P109" s="76">
        <v>0</v>
      </c>
      <c r="Q109" s="76">
        <v>0</v>
      </c>
      <c r="R109" s="76">
        <v>0</v>
      </c>
      <c r="S109" s="76">
        <v>0</v>
      </c>
      <c r="T109" s="76">
        <v>0</v>
      </c>
      <c r="U109" s="76">
        <v>0</v>
      </c>
      <c r="V109" s="76">
        <v>0</v>
      </c>
      <c r="W109" s="76">
        <v>0</v>
      </c>
      <c r="X109" s="76">
        <v>0</v>
      </c>
      <c r="Y109" s="76">
        <v>0</v>
      </c>
      <c r="Z109" s="76">
        <v>0</v>
      </c>
      <c r="AA109" s="76">
        <v>0</v>
      </c>
      <c r="AB109" s="76">
        <v>0</v>
      </c>
      <c r="AC109" s="76">
        <v>0</v>
      </c>
      <c r="AD109" s="76">
        <v>0</v>
      </c>
      <c r="AE109" s="76">
        <v>0</v>
      </c>
      <c r="AF109" s="76">
        <v>0</v>
      </c>
      <c r="AG109" s="76">
        <v>0</v>
      </c>
      <c r="AH109" s="76">
        <v>0</v>
      </c>
      <c r="AI109" s="76">
        <v>0</v>
      </c>
      <c r="AJ109" s="76">
        <v>0</v>
      </c>
      <c r="AK109" s="76">
        <v>0</v>
      </c>
      <c r="AL109" s="76">
        <v>0</v>
      </c>
      <c r="AM109" s="76">
        <v>0</v>
      </c>
      <c r="AN109" s="76">
        <v>0</v>
      </c>
      <c r="AO109" s="76">
        <v>0</v>
      </c>
      <c r="AP109" s="76">
        <v>0</v>
      </c>
      <c r="AQ109" s="76">
        <v>0</v>
      </c>
      <c r="AR109" s="76">
        <v>0</v>
      </c>
      <c r="AS109" s="76">
        <v>0</v>
      </c>
      <c r="AT109" s="76">
        <v>0</v>
      </c>
      <c r="AU109" s="76">
        <v>0</v>
      </c>
      <c r="AV109" s="76">
        <v>0</v>
      </c>
      <c r="AW109" s="76">
        <v>0</v>
      </c>
      <c r="AX109" s="76">
        <v>0</v>
      </c>
      <c r="AY109" s="76">
        <v>0</v>
      </c>
      <c r="AZ109" s="76">
        <v>0</v>
      </c>
      <c r="BA109" s="76">
        <v>0</v>
      </c>
      <c r="BB109" s="76">
        <v>0</v>
      </c>
      <c r="BC109" s="76">
        <v>0</v>
      </c>
      <c r="BD109" s="76">
        <v>0</v>
      </c>
      <c r="BE109" s="76">
        <v>0</v>
      </c>
      <c r="BF109" s="76">
        <v>0</v>
      </c>
      <c r="BG109" s="76">
        <v>0</v>
      </c>
      <c r="BH109" s="76">
        <v>0</v>
      </c>
      <c r="BI109" s="76">
        <v>0</v>
      </c>
      <c r="BJ109" s="76">
        <v>0</v>
      </c>
      <c r="BK109" s="76">
        <v>0</v>
      </c>
      <c r="BL109" s="76">
        <v>0</v>
      </c>
      <c r="BM109" s="76">
        <v>0</v>
      </c>
      <c r="BN109" s="76">
        <v>0</v>
      </c>
      <c r="BO109" s="76">
        <v>0</v>
      </c>
      <c r="BP109" s="76">
        <v>0</v>
      </c>
      <c r="BQ109" s="76">
        <v>0</v>
      </c>
      <c r="BR109" s="76">
        <v>0</v>
      </c>
      <c r="BS109" s="76">
        <v>0</v>
      </c>
      <c r="BT109" s="76">
        <v>0</v>
      </c>
      <c r="BU109" s="76">
        <v>0</v>
      </c>
      <c r="BV109" s="76">
        <v>0</v>
      </c>
      <c r="BW109" s="76">
        <v>0</v>
      </c>
      <c r="BX109" s="76">
        <v>0</v>
      </c>
      <c r="BY109" s="76">
        <v>0</v>
      </c>
      <c r="BZ109" s="76">
        <v>0</v>
      </c>
    </row>
    <row r="110" spans="1:78" x14ac:dyDescent="0.2">
      <c r="A110" s="62" t="s">
        <v>288</v>
      </c>
      <c r="B110" s="62" t="s">
        <v>22</v>
      </c>
      <c r="C110" s="62" t="s">
        <v>968</v>
      </c>
      <c r="D110" s="62" t="s">
        <v>231</v>
      </c>
      <c r="E110" s="76">
        <f>IF(B110="","",VLOOKUP(B110,dagsoorttabel1,2,FALSE))</f>
        <v>7.8431372549019607E-3</v>
      </c>
      <c r="F110" s="76">
        <v>1</v>
      </c>
      <c r="G110" s="76">
        <f>IF(prodnorm137&gt;0,1/ROUND(prodnorm137,4),0)</f>
        <v>0</v>
      </c>
      <c r="H110" s="66">
        <f>ROUND(uurtarief137,2)</f>
        <v>0</v>
      </c>
      <c r="I110" s="76">
        <v>0</v>
      </c>
      <c r="J110" s="76">
        <v>0</v>
      </c>
      <c r="K110" s="76">
        <v>0</v>
      </c>
      <c r="L110" s="76">
        <v>0</v>
      </c>
      <c r="M110" s="76">
        <v>0</v>
      </c>
      <c r="N110" s="76">
        <v>0</v>
      </c>
      <c r="O110" s="76">
        <v>0</v>
      </c>
      <c r="P110" s="76">
        <v>0</v>
      </c>
      <c r="Q110" s="76">
        <v>0</v>
      </c>
      <c r="R110" s="76">
        <v>0</v>
      </c>
      <c r="S110" s="76">
        <v>0</v>
      </c>
      <c r="T110" s="76">
        <v>0</v>
      </c>
      <c r="U110" s="76">
        <v>0</v>
      </c>
      <c r="V110" s="76">
        <v>0</v>
      </c>
      <c r="W110" s="76">
        <v>0</v>
      </c>
      <c r="X110" s="76">
        <v>0</v>
      </c>
      <c r="Y110" s="76">
        <v>0</v>
      </c>
      <c r="Z110" s="76">
        <v>0</v>
      </c>
      <c r="AA110" s="76">
        <v>0</v>
      </c>
      <c r="AB110" s="76">
        <v>0</v>
      </c>
      <c r="AC110" s="76">
        <v>0</v>
      </c>
      <c r="AD110" s="76">
        <v>0</v>
      </c>
      <c r="AE110" s="76">
        <v>0</v>
      </c>
      <c r="AF110" s="76">
        <v>0</v>
      </c>
      <c r="AG110" s="76">
        <v>0</v>
      </c>
      <c r="AH110" s="76">
        <v>0</v>
      </c>
      <c r="AI110" s="76">
        <v>0</v>
      </c>
      <c r="AJ110" s="76">
        <v>0</v>
      </c>
      <c r="AK110" s="76">
        <v>0</v>
      </c>
      <c r="AL110" s="76">
        <v>0</v>
      </c>
      <c r="AM110" s="76">
        <v>0</v>
      </c>
      <c r="AN110" s="76">
        <v>0</v>
      </c>
      <c r="AO110" s="76">
        <v>0</v>
      </c>
      <c r="AP110" s="76">
        <v>0</v>
      </c>
      <c r="AQ110" s="76">
        <v>0</v>
      </c>
      <c r="AR110" s="76">
        <v>0</v>
      </c>
      <c r="AS110" s="76">
        <v>0</v>
      </c>
      <c r="AT110" s="76">
        <v>0</v>
      </c>
      <c r="AU110" s="76">
        <v>0</v>
      </c>
      <c r="AV110" s="76">
        <v>0</v>
      </c>
      <c r="AW110" s="76">
        <v>116</v>
      </c>
      <c r="AX110" s="76">
        <v>0</v>
      </c>
      <c r="AY110" s="76">
        <v>27.6</v>
      </c>
      <c r="AZ110" s="76">
        <v>0</v>
      </c>
      <c r="BA110" s="76">
        <v>0</v>
      </c>
      <c r="BB110" s="76">
        <v>0</v>
      </c>
      <c r="BC110" s="76">
        <v>0</v>
      </c>
      <c r="BD110" s="76">
        <v>32.9</v>
      </c>
      <c r="BE110" s="76">
        <v>0</v>
      </c>
      <c r="BF110" s="76">
        <v>0</v>
      </c>
      <c r="BG110" s="76">
        <v>65.5</v>
      </c>
      <c r="BH110" s="76">
        <v>0</v>
      </c>
      <c r="BI110" s="76">
        <v>0</v>
      </c>
      <c r="BJ110" s="76">
        <v>0</v>
      </c>
      <c r="BK110" s="76">
        <v>0</v>
      </c>
      <c r="BL110" s="76">
        <v>0</v>
      </c>
      <c r="BM110" s="76">
        <v>0</v>
      </c>
      <c r="BN110" s="76">
        <v>0</v>
      </c>
      <c r="BO110" s="76">
        <v>0</v>
      </c>
      <c r="BP110" s="76">
        <v>50.9</v>
      </c>
      <c r="BQ110" s="76">
        <v>0</v>
      </c>
      <c r="BR110" s="76">
        <v>0</v>
      </c>
      <c r="BS110" s="76">
        <v>0</v>
      </c>
      <c r="BT110" s="76">
        <v>0</v>
      </c>
      <c r="BU110" s="76">
        <v>0</v>
      </c>
      <c r="BV110" s="76">
        <v>0</v>
      </c>
      <c r="BW110" s="76">
        <v>0</v>
      </c>
      <c r="BX110" s="76">
        <v>0</v>
      </c>
      <c r="BY110" s="76">
        <v>0</v>
      </c>
      <c r="BZ110" s="76">
        <v>0</v>
      </c>
    </row>
    <row r="111" spans="1:78" x14ac:dyDescent="0.2">
      <c r="A111" s="62" t="s">
        <v>288</v>
      </c>
      <c r="B111" s="62" t="s">
        <v>20</v>
      </c>
      <c r="C111" s="62" t="s">
        <v>968</v>
      </c>
      <c r="D111" s="62" t="s">
        <v>231</v>
      </c>
      <c r="E111" s="76">
        <f>IF(B111="","",VLOOKUP(B111,dagsoorttabel1,2,FALSE))</f>
        <v>1.5686274509803921E-2</v>
      </c>
      <c r="F111" s="76">
        <v>1</v>
      </c>
      <c r="G111" s="76">
        <f>IF(prodnorm138&gt;0,1/ROUND(prodnorm138,4),0)</f>
        <v>0</v>
      </c>
      <c r="H111" s="66">
        <f>ROUND(uurtarief138,2)</f>
        <v>0</v>
      </c>
      <c r="I111" s="76">
        <v>0</v>
      </c>
      <c r="J111" s="76">
        <v>0</v>
      </c>
      <c r="K111" s="76">
        <v>0</v>
      </c>
      <c r="L111" s="76">
        <v>0</v>
      </c>
      <c r="M111" s="76">
        <v>0</v>
      </c>
      <c r="N111" s="76">
        <v>0</v>
      </c>
      <c r="O111" s="76">
        <v>0</v>
      </c>
      <c r="P111" s="76">
        <v>0</v>
      </c>
      <c r="Q111" s="76">
        <v>0</v>
      </c>
      <c r="R111" s="76">
        <v>0</v>
      </c>
      <c r="S111" s="76">
        <v>0</v>
      </c>
      <c r="T111" s="76">
        <v>0</v>
      </c>
      <c r="U111" s="76">
        <v>0</v>
      </c>
      <c r="V111" s="76">
        <v>0</v>
      </c>
      <c r="W111" s="76">
        <v>0</v>
      </c>
      <c r="X111" s="76">
        <v>0</v>
      </c>
      <c r="Y111" s="76">
        <v>0</v>
      </c>
      <c r="Z111" s="76">
        <v>0</v>
      </c>
      <c r="AA111" s="76">
        <v>6.2</v>
      </c>
      <c r="AB111" s="76">
        <v>0</v>
      </c>
      <c r="AC111" s="76">
        <v>239</v>
      </c>
      <c r="AD111" s="76">
        <v>0</v>
      </c>
      <c r="AE111" s="76">
        <v>0</v>
      </c>
      <c r="AF111" s="76">
        <v>0</v>
      </c>
      <c r="AG111" s="76">
        <v>0</v>
      </c>
      <c r="AH111" s="76">
        <v>0</v>
      </c>
      <c r="AI111" s="76">
        <v>0</v>
      </c>
      <c r="AJ111" s="76">
        <v>0</v>
      </c>
      <c r="AK111" s="76">
        <v>0</v>
      </c>
      <c r="AL111" s="76">
        <v>68.7</v>
      </c>
      <c r="AM111" s="76">
        <v>25</v>
      </c>
      <c r="AN111" s="76">
        <v>0</v>
      </c>
      <c r="AO111" s="76">
        <v>0</v>
      </c>
      <c r="AP111" s="76">
        <v>0</v>
      </c>
      <c r="AQ111" s="76">
        <v>0</v>
      </c>
      <c r="AR111" s="76">
        <v>0</v>
      </c>
      <c r="AS111" s="76">
        <v>0</v>
      </c>
      <c r="AT111" s="76">
        <v>0</v>
      </c>
      <c r="AU111" s="76">
        <v>0</v>
      </c>
      <c r="AV111" s="76">
        <v>0</v>
      </c>
      <c r="AW111" s="76">
        <v>0</v>
      </c>
      <c r="AX111" s="76">
        <v>0</v>
      </c>
      <c r="AY111" s="76">
        <v>0</v>
      </c>
      <c r="AZ111" s="76">
        <v>0</v>
      </c>
      <c r="BA111" s="76">
        <v>0</v>
      </c>
      <c r="BB111" s="76">
        <v>0</v>
      </c>
      <c r="BC111" s="76">
        <v>0</v>
      </c>
      <c r="BD111" s="76">
        <v>0</v>
      </c>
      <c r="BE111" s="76">
        <v>0</v>
      </c>
      <c r="BF111" s="76">
        <v>0</v>
      </c>
      <c r="BG111" s="76">
        <v>0</v>
      </c>
      <c r="BH111" s="76">
        <v>0</v>
      </c>
      <c r="BI111" s="76">
        <v>0</v>
      </c>
      <c r="BJ111" s="76">
        <v>0</v>
      </c>
      <c r="BK111" s="76">
        <v>0</v>
      </c>
      <c r="BL111" s="76">
        <v>0</v>
      </c>
      <c r="BM111" s="76">
        <v>0</v>
      </c>
      <c r="BN111" s="76">
        <v>0</v>
      </c>
      <c r="BO111" s="76">
        <v>0</v>
      </c>
      <c r="BP111" s="76">
        <v>0</v>
      </c>
      <c r="BQ111" s="76">
        <v>0</v>
      </c>
      <c r="BR111" s="76">
        <v>0</v>
      </c>
      <c r="BS111" s="76">
        <v>0</v>
      </c>
      <c r="BT111" s="76">
        <v>0</v>
      </c>
      <c r="BU111" s="76">
        <v>0</v>
      </c>
      <c r="BV111" s="76">
        <v>169.39999999999998</v>
      </c>
      <c r="BW111" s="76">
        <v>0</v>
      </c>
      <c r="BX111" s="76">
        <v>0</v>
      </c>
      <c r="BY111" s="76">
        <v>0</v>
      </c>
      <c r="BZ111" s="76">
        <v>0</v>
      </c>
    </row>
    <row r="112" spans="1:78" x14ac:dyDescent="0.2">
      <c r="A112" s="62" t="s">
        <v>290</v>
      </c>
      <c r="B112" s="62" t="s">
        <v>15</v>
      </c>
      <c r="C112" s="62" t="s">
        <v>968</v>
      </c>
      <c r="D112" s="62" t="s">
        <v>231</v>
      </c>
      <c r="E112" s="76">
        <f>IF(B112="","",VLOOKUP(B112,dagsoorttabel1,2,FALSE))</f>
        <v>4.7058823529411764E-2</v>
      </c>
      <c r="F112" s="76">
        <v>1</v>
      </c>
      <c r="G112" s="76">
        <f>IF(prodnorm139&gt;0,1/ROUND(prodnorm139,4),0)</f>
        <v>0</v>
      </c>
      <c r="H112" s="66">
        <f>ROUND(uurtarief139,2)</f>
        <v>0</v>
      </c>
      <c r="I112" s="76">
        <v>0</v>
      </c>
      <c r="J112" s="76">
        <v>0</v>
      </c>
      <c r="K112" s="76">
        <v>0</v>
      </c>
      <c r="L112" s="76">
        <v>0</v>
      </c>
      <c r="M112" s="76">
        <v>0</v>
      </c>
      <c r="N112" s="76">
        <v>0</v>
      </c>
      <c r="O112" s="76">
        <v>0</v>
      </c>
      <c r="P112" s="76">
        <v>0</v>
      </c>
      <c r="Q112" s="76">
        <v>0</v>
      </c>
      <c r="R112" s="76">
        <v>0</v>
      </c>
      <c r="S112" s="76">
        <v>0</v>
      </c>
      <c r="T112" s="76">
        <v>0</v>
      </c>
      <c r="U112" s="76">
        <v>0</v>
      </c>
      <c r="V112" s="76">
        <v>0</v>
      </c>
      <c r="W112" s="76">
        <v>0</v>
      </c>
      <c r="X112" s="76">
        <v>0</v>
      </c>
      <c r="Y112" s="76">
        <v>0</v>
      </c>
      <c r="Z112" s="76">
        <v>0</v>
      </c>
      <c r="AA112" s="76">
        <v>0</v>
      </c>
      <c r="AB112" s="76">
        <v>0</v>
      </c>
      <c r="AC112" s="76">
        <v>0</v>
      </c>
      <c r="AD112" s="76">
        <v>0</v>
      </c>
      <c r="AE112" s="76">
        <v>0</v>
      </c>
      <c r="AF112" s="76">
        <v>0</v>
      </c>
      <c r="AG112" s="76">
        <v>0</v>
      </c>
      <c r="AH112" s="76">
        <v>0</v>
      </c>
      <c r="AI112" s="76">
        <v>0</v>
      </c>
      <c r="AJ112" s="76">
        <v>0</v>
      </c>
      <c r="AK112" s="76">
        <v>0</v>
      </c>
      <c r="AL112" s="76">
        <v>0</v>
      </c>
      <c r="AM112" s="76">
        <v>0</v>
      </c>
      <c r="AN112" s="76">
        <v>0</v>
      </c>
      <c r="AO112" s="76">
        <v>0</v>
      </c>
      <c r="AP112" s="76">
        <v>0</v>
      </c>
      <c r="AQ112" s="76">
        <v>0</v>
      </c>
      <c r="AR112" s="76">
        <v>0</v>
      </c>
      <c r="AS112" s="76">
        <v>0</v>
      </c>
      <c r="AT112" s="76">
        <v>0</v>
      </c>
      <c r="AU112" s="76">
        <v>0</v>
      </c>
      <c r="AV112" s="76">
        <v>0</v>
      </c>
      <c r="AW112" s="76">
        <v>0</v>
      </c>
      <c r="AX112" s="76">
        <v>0</v>
      </c>
      <c r="AY112" s="76">
        <v>0</v>
      </c>
      <c r="AZ112" s="76">
        <v>0</v>
      </c>
      <c r="BA112" s="76">
        <v>0</v>
      </c>
      <c r="BB112" s="76">
        <v>0</v>
      </c>
      <c r="BC112" s="76">
        <v>0</v>
      </c>
      <c r="BD112" s="76">
        <v>0</v>
      </c>
      <c r="BE112" s="76">
        <v>0</v>
      </c>
      <c r="BF112" s="76">
        <v>0</v>
      </c>
      <c r="BG112" s="76">
        <v>0</v>
      </c>
      <c r="BH112" s="76">
        <v>0</v>
      </c>
      <c r="BI112" s="76">
        <v>0</v>
      </c>
      <c r="BJ112" s="76">
        <v>0</v>
      </c>
      <c r="BK112" s="76">
        <v>0</v>
      </c>
      <c r="BL112" s="76">
        <v>0</v>
      </c>
      <c r="BM112" s="76">
        <v>0</v>
      </c>
      <c r="BN112" s="76">
        <v>0</v>
      </c>
      <c r="BO112" s="76">
        <v>0</v>
      </c>
      <c r="BP112" s="76">
        <v>0</v>
      </c>
      <c r="BQ112" s="76">
        <v>0</v>
      </c>
      <c r="BR112" s="76">
        <v>0</v>
      </c>
      <c r="BS112" s="76">
        <v>0</v>
      </c>
      <c r="BT112" s="76">
        <v>0</v>
      </c>
      <c r="BU112" s="76">
        <v>0</v>
      </c>
      <c r="BV112" s="76">
        <v>15</v>
      </c>
      <c r="BW112" s="76">
        <v>0</v>
      </c>
      <c r="BX112" s="76">
        <v>0</v>
      </c>
      <c r="BY112" s="76">
        <v>0</v>
      </c>
      <c r="BZ112" s="76">
        <v>0</v>
      </c>
    </row>
    <row r="113" spans="1:78" x14ac:dyDescent="0.2">
      <c r="A113" s="62" t="s">
        <v>290</v>
      </c>
      <c r="B113" s="62" t="s">
        <v>13</v>
      </c>
      <c r="C113" s="62" t="s">
        <v>968</v>
      </c>
      <c r="D113" s="62" t="s">
        <v>231</v>
      </c>
      <c r="E113" s="76">
        <f>IF(B113="","",VLOOKUP(B113,dagsoorttabel1,2,FALSE))</f>
        <v>0.2</v>
      </c>
      <c r="F113" s="76">
        <v>1</v>
      </c>
      <c r="G113" s="76">
        <f>IF(prodnorm140&gt;0,1/ROUND(prodnorm140,4),0)</f>
        <v>0</v>
      </c>
      <c r="H113" s="66">
        <f>ROUND(uurtarief140,2)</f>
        <v>0</v>
      </c>
      <c r="I113" s="76">
        <v>0</v>
      </c>
      <c r="J113" s="76">
        <v>0</v>
      </c>
      <c r="K113" s="76">
        <v>0</v>
      </c>
      <c r="L113" s="76">
        <v>0</v>
      </c>
      <c r="M113" s="76">
        <v>0</v>
      </c>
      <c r="N113" s="76">
        <v>0</v>
      </c>
      <c r="O113" s="76">
        <v>0</v>
      </c>
      <c r="P113" s="76">
        <v>1</v>
      </c>
      <c r="Q113" s="76">
        <v>0</v>
      </c>
      <c r="R113" s="76">
        <v>0</v>
      </c>
      <c r="S113" s="76">
        <v>0</v>
      </c>
      <c r="T113" s="76">
        <v>0</v>
      </c>
      <c r="U113" s="76">
        <v>0</v>
      </c>
      <c r="V113" s="76">
        <v>0</v>
      </c>
      <c r="W113" s="76">
        <v>0</v>
      </c>
      <c r="X113" s="76">
        <v>0</v>
      </c>
      <c r="Y113" s="76">
        <v>0</v>
      </c>
      <c r="Z113" s="76">
        <v>0</v>
      </c>
      <c r="AA113" s="76">
        <v>0</v>
      </c>
      <c r="AB113" s="76">
        <v>0</v>
      </c>
      <c r="AC113" s="76">
        <v>0</v>
      </c>
      <c r="AD113" s="76">
        <v>0</v>
      </c>
      <c r="AE113" s="76">
        <v>0</v>
      </c>
      <c r="AF113" s="76">
        <v>0</v>
      </c>
      <c r="AG113" s="76">
        <v>0</v>
      </c>
      <c r="AH113" s="76">
        <v>0</v>
      </c>
      <c r="AI113" s="76">
        <v>0</v>
      </c>
      <c r="AJ113" s="76">
        <v>0</v>
      </c>
      <c r="AK113" s="76">
        <v>0</v>
      </c>
      <c r="AL113" s="76">
        <v>0</v>
      </c>
      <c r="AM113" s="76">
        <v>0</v>
      </c>
      <c r="AN113" s="76">
        <v>0</v>
      </c>
      <c r="AO113" s="76">
        <v>0</v>
      </c>
      <c r="AP113" s="76">
        <v>0</v>
      </c>
      <c r="AQ113" s="76">
        <v>3.3</v>
      </c>
      <c r="AR113" s="76">
        <v>0</v>
      </c>
      <c r="AS113" s="76">
        <v>0</v>
      </c>
      <c r="AT113" s="76">
        <v>0</v>
      </c>
      <c r="AU113" s="76">
        <v>0</v>
      </c>
      <c r="AV113" s="76">
        <v>0</v>
      </c>
      <c r="AW113" s="76">
        <v>0</v>
      </c>
      <c r="AX113" s="76">
        <v>0</v>
      </c>
      <c r="AY113" s="76">
        <v>0</v>
      </c>
      <c r="AZ113" s="76">
        <v>0</v>
      </c>
      <c r="BA113" s="76">
        <v>0</v>
      </c>
      <c r="BB113" s="76">
        <v>0</v>
      </c>
      <c r="BC113" s="76">
        <v>0</v>
      </c>
      <c r="BD113" s="76">
        <v>0</v>
      </c>
      <c r="BE113" s="76">
        <v>0</v>
      </c>
      <c r="BF113" s="76">
        <v>0</v>
      </c>
      <c r="BG113" s="76">
        <v>0</v>
      </c>
      <c r="BH113" s="76">
        <v>0</v>
      </c>
      <c r="BI113" s="76">
        <v>0</v>
      </c>
      <c r="BJ113" s="76">
        <v>0</v>
      </c>
      <c r="BK113" s="76">
        <v>0</v>
      </c>
      <c r="BL113" s="76">
        <v>0</v>
      </c>
      <c r="BM113" s="76">
        <v>0</v>
      </c>
      <c r="BN113" s="76">
        <v>0</v>
      </c>
      <c r="BO113" s="76">
        <v>0</v>
      </c>
      <c r="BP113" s="76">
        <v>0</v>
      </c>
      <c r="BQ113" s="76">
        <v>0</v>
      </c>
      <c r="BR113" s="76">
        <v>0</v>
      </c>
      <c r="BS113" s="76">
        <v>0</v>
      </c>
      <c r="BT113" s="76">
        <v>0</v>
      </c>
      <c r="BU113" s="76">
        <v>0</v>
      </c>
      <c r="BV113" s="76">
        <v>0</v>
      </c>
      <c r="BW113" s="76">
        <v>0</v>
      </c>
      <c r="BX113" s="76">
        <v>0</v>
      </c>
      <c r="BY113" s="76">
        <v>0</v>
      </c>
      <c r="BZ113" s="76">
        <v>0</v>
      </c>
    </row>
    <row r="114" spans="1:78" x14ac:dyDescent="0.2">
      <c r="A114" s="62" t="s">
        <v>290</v>
      </c>
      <c r="B114" s="62" t="s">
        <v>14</v>
      </c>
      <c r="C114" s="62" t="s">
        <v>968</v>
      </c>
      <c r="D114" s="62" t="s">
        <v>231</v>
      </c>
      <c r="E114" s="76">
        <f>IF(B114="","",VLOOKUP(B114,dagsoorttabel1,2,FALSE))</f>
        <v>0.10196078431372549</v>
      </c>
      <c r="F114" s="76">
        <v>1</v>
      </c>
      <c r="G114" s="76">
        <f>IF(prodnorm141&gt;0,1/ROUND(prodnorm141,4),0)</f>
        <v>0</v>
      </c>
      <c r="H114" s="66">
        <f>ROUND(uurtarief141,2)</f>
        <v>0</v>
      </c>
      <c r="I114" s="76">
        <v>0</v>
      </c>
      <c r="J114" s="76">
        <v>0</v>
      </c>
      <c r="K114" s="76">
        <v>0</v>
      </c>
      <c r="L114" s="76">
        <v>0</v>
      </c>
      <c r="M114" s="76">
        <v>0</v>
      </c>
      <c r="N114" s="76">
        <v>0</v>
      </c>
      <c r="O114" s="76">
        <v>0</v>
      </c>
      <c r="P114" s="76">
        <v>0</v>
      </c>
      <c r="Q114" s="76">
        <v>0</v>
      </c>
      <c r="R114" s="76">
        <v>0</v>
      </c>
      <c r="S114" s="76">
        <v>0</v>
      </c>
      <c r="T114" s="76">
        <v>0</v>
      </c>
      <c r="U114" s="76">
        <v>0</v>
      </c>
      <c r="V114" s="76">
        <v>0</v>
      </c>
      <c r="W114" s="76">
        <v>0</v>
      </c>
      <c r="X114" s="76">
        <v>8</v>
      </c>
      <c r="Y114" s="76">
        <v>0</v>
      </c>
      <c r="Z114" s="76">
        <v>0</v>
      </c>
      <c r="AA114" s="76">
        <v>0</v>
      </c>
      <c r="AB114" s="76">
        <v>0</v>
      </c>
      <c r="AC114" s="76">
        <v>0</v>
      </c>
      <c r="AD114" s="76">
        <v>0</v>
      </c>
      <c r="AE114" s="76">
        <v>0</v>
      </c>
      <c r="AF114" s="76">
        <v>0</v>
      </c>
      <c r="AG114" s="76">
        <v>0</v>
      </c>
      <c r="AH114" s="76">
        <v>0</v>
      </c>
      <c r="AI114" s="76">
        <v>0</v>
      </c>
      <c r="AJ114" s="76">
        <v>0</v>
      </c>
      <c r="AK114" s="76">
        <v>0</v>
      </c>
      <c r="AL114" s="76">
        <v>0</v>
      </c>
      <c r="AM114" s="76">
        <v>0</v>
      </c>
      <c r="AN114" s="76">
        <v>0</v>
      </c>
      <c r="AO114" s="76">
        <v>0</v>
      </c>
      <c r="AP114" s="76">
        <v>0</v>
      </c>
      <c r="AQ114" s="76">
        <v>0</v>
      </c>
      <c r="AR114" s="76">
        <v>0</v>
      </c>
      <c r="AS114" s="76">
        <v>0</v>
      </c>
      <c r="AT114" s="76">
        <v>0</v>
      </c>
      <c r="AU114" s="76">
        <v>0</v>
      </c>
      <c r="AV114" s="76">
        <v>0</v>
      </c>
      <c r="AW114" s="76">
        <v>0</v>
      </c>
      <c r="AX114" s="76">
        <v>0</v>
      </c>
      <c r="AY114" s="76">
        <v>0</v>
      </c>
      <c r="AZ114" s="76">
        <v>0</v>
      </c>
      <c r="BA114" s="76">
        <v>0</v>
      </c>
      <c r="BB114" s="76">
        <v>0</v>
      </c>
      <c r="BC114" s="76">
        <v>0</v>
      </c>
      <c r="BD114" s="76">
        <v>0</v>
      </c>
      <c r="BE114" s="76">
        <v>0</v>
      </c>
      <c r="BF114" s="76">
        <v>0</v>
      </c>
      <c r="BG114" s="76">
        <v>0</v>
      </c>
      <c r="BH114" s="76">
        <v>0</v>
      </c>
      <c r="BI114" s="76">
        <v>0</v>
      </c>
      <c r="BJ114" s="76">
        <v>0</v>
      </c>
      <c r="BK114" s="76">
        <v>0</v>
      </c>
      <c r="BL114" s="76">
        <v>0</v>
      </c>
      <c r="BM114" s="76">
        <v>0</v>
      </c>
      <c r="BN114" s="76">
        <v>0</v>
      </c>
      <c r="BO114" s="76">
        <v>0</v>
      </c>
      <c r="BP114" s="76">
        <v>0</v>
      </c>
      <c r="BQ114" s="76">
        <v>0</v>
      </c>
      <c r="BR114" s="76">
        <v>0</v>
      </c>
      <c r="BS114" s="76">
        <v>0</v>
      </c>
      <c r="BT114" s="76">
        <v>0</v>
      </c>
      <c r="BU114" s="76">
        <v>0</v>
      </c>
      <c r="BV114" s="76">
        <v>0</v>
      </c>
      <c r="BW114" s="76">
        <v>0</v>
      </c>
      <c r="BX114" s="76">
        <v>0</v>
      </c>
      <c r="BY114" s="76">
        <v>0</v>
      </c>
      <c r="BZ114" s="76">
        <v>0</v>
      </c>
    </row>
    <row r="115" spans="1:78" x14ac:dyDescent="0.2">
      <c r="A115" s="62" t="s">
        <v>290</v>
      </c>
      <c r="B115" s="62" t="s">
        <v>22</v>
      </c>
      <c r="C115" s="62" t="s">
        <v>968</v>
      </c>
      <c r="D115" s="62" t="s">
        <v>231</v>
      </c>
      <c r="E115" s="76">
        <f>IF(B115="","",VLOOKUP(B115,dagsoorttabel1,2,FALSE))</f>
        <v>7.8431372549019607E-3</v>
      </c>
      <c r="F115" s="76">
        <v>1</v>
      </c>
      <c r="G115" s="76">
        <f>IF(prodnorm142&gt;0,1/ROUND(prodnorm142,4),0)</f>
        <v>0</v>
      </c>
      <c r="H115" s="66">
        <f>ROUND(uurtarief142,2)</f>
        <v>0</v>
      </c>
      <c r="I115" s="76">
        <v>0</v>
      </c>
      <c r="J115" s="76">
        <v>0</v>
      </c>
      <c r="K115" s="76">
        <v>0</v>
      </c>
      <c r="L115" s="76">
        <v>0</v>
      </c>
      <c r="M115" s="76">
        <v>0</v>
      </c>
      <c r="N115" s="76">
        <v>0</v>
      </c>
      <c r="O115" s="76">
        <v>0</v>
      </c>
      <c r="P115" s="76">
        <v>0</v>
      </c>
      <c r="Q115" s="76">
        <v>0</v>
      </c>
      <c r="R115" s="76">
        <v>0</v>
      </c>
      <c r="S115" s="76">
        <v>0</v>
      </c>
      <c r="T115" s="76">
        <v>0</v>
      </c>
      <c r="U115" s="76">
        <v>0</v>
      </c>
      <c r="V115" s="76">
        <v>0</v>
      </c>
      <c r="W115" s="76">
        <v>0</v>
      </c>
      <c r="X115" s="76">
        <v>0</v>
      </c>
      <c r="Y115" s="76">
        <v>0</v>
      </c>
      <c r="Z115" s="76">
        <v>0</v>
      </c>
      <c r="AA115" s="76">
        <v>0</v>
      </c>
      <c r="AB115" s="76">
        <v>0</v>
      </c>
      <c r="AC115" s="76">
        <v>0</v>
      </c>
      <c r="AD115" s="76">
        <v>0</v>
      </c>
      <c r="AE115" s="76">
        <v>0</v>
      </c>
      <c r="AF115" s="76">
        <v>0</v>
      </c>
      <c r="AG115" s="76">
        <v>0</v>
      </c>
      <c r="AH115" s="76">
        <v>0</v>
      </c>
      <c r="AI115" s="76">
        <v>0</v>
      </c>
      <c r="AJ115" s="76">
        <v>0</v>
      </c>
      <c r="AK115" s="76">
        <v>0</v>
      </c>
      <c r="AL115" s="76">
        <v>0</v>
      </c>
      <c r="AM115" s="76">
        <v>0</v>
      </c>
      <c r="AN115" s="76">
        <v>0</v>
      </c>
      <c r="AO115" s="76">
        <v>0</v>
      </c>
      <c r="AP115" s="76">
        <v>0</v>
      </c>
      <c r="AQ115" s="76">
        <v>0</v>
      </c>
      <c r="AR115" s="76">
        <v>0</v>
      </c>
      <c r="AS115" s="76">
        <v>0</v>
      </c>
      <c r="AT115" s="76">
        <v>0</v>
      </c>
      <c r="AU115" s="76">
        <v>0</v>
      </c>
      <c r="AV115" s="76">
        <v>0</v>
      </c>
      <c r="AW115" s="76">
        <v>15</v>
      </c>
      <c r="AX115" s="76">
        <v>13</v>
      </c>
      <c r="AY115" s="76">
        <v>12</v>
      </c>
      <c r="AZ115" s="76">
        <v>0</v>
      </c>
      <c r="BA115" s="76">
        <v>0</v>
      </c>
      <c r="BB115" s="76">
        <v>0</v>
      </c>
      <c r="BC115" s="76">
        <v>0</v>
      </c>
      <c r="BD115" s="76">
        <v>0</v>
      </c>
      <c r="BE115" s="76">
        <v>0</v>
      </c>
      <c r="BF115" s="76">
        <v>0</v>
      </c>
      <c r="BG115" s="76">
        <v>8</v>
      </c>
      <c r="BH115" s="76">
        <v>0</v>
      </c>
      <c r="BI115" s="76">
        <v>0</v>
      </c>
      <c r="BJ115" s="76">
        <v>0</v>
      </c>
      <c r="BK115" s="76">
        <v>18</v>
      </c>
      <c r="BL115" s="76">
        <v>5</v>
      </c>
      <c r="BM115" s="76">
        <v>0</v>
      </c>
      <c r="BN115" s="76">
        <v>0</v>
      </c>
      <c r="BO115" s="76">
        <v>0</v>
      </c>
      <c r="BP115" s="76">
        <v>11.1</v>
      </c>
      <c r="BQ115" s="76">
        <v>4</v>
      </c>
      <c r="BR115" s="76">
        <v>0</v>
      </c>
      <c r="BS115" s="76">
        <v>0</v>
      </c>
      <c r="BT115" s="76">
        <v>12</v>
      </c>
      <c r="BU115" s="76">
        <v>0</v>
      </c>
      <c r="BV115" s="76">
        <v>0</v>
      </c>
      <c r="BW115" s="76">
        <v>0</v>
      </c>
      <c r="BX115" s="76">
        <v>0</v>
      </c>
      <c r="BY115" s="76">
        <v>0</v>
      </c>
      <c r="BZ115" s="76">
        <v>0</v>
      </c>
    </row>
    <row r="116" spans="1:78" x14ac:dyDescent="0.2">
      <c r="A116" s="62" t="s">
        <v>290</v>
      </c>
      <c r="B116" s="62" t="s">
        <v>12</v>
      </c>
      <c r="C116" s="62" t="s">
        <v>968</v>
      </c>
      <c r="D116" s="62" t="s">
        <v>231</v>
      </c>
      <c r="E116" s="76">
        <f>IF(B116="","",VLOOKUP(B116,dagsoorttabel1,2,FALSE))</f>
        <v>0.4</v>
      </c>
      <c r="F116" s="76">
        <v>1</v>
      </c>
      <c r="G116" s="76">
        <f>IF(prodnorm143&gt;0,1/ROUND(prodnorm143,4),0)</f>
        <v>0</v>
      </c>
      <c r="H116" s="66">
        <f>ROUND(uurtarief143,2)</f>
        <v>0</v>
      </c>
      <c r="I116" s="76">
        <v>0</v>
      </c>
      <c r="J116" s="76">
        <v>0</v>
      </c>
      <c r="K116" s="76">
        <v>0</v>
      </c>
      <c r="L116" s="76">
        <v>0</v>
      </c>
      <c r="M116" s="76">
        <v>0</v>
      </c>
      <c r="N116" s="76">
        <v>0</v>
      </c>
      <c r="O116" s="76">
        <v>0</v>
      </c>
      <c r="P116" s="76">
        <v>0</v>
      </c>
      <c r="Q116" s="76">
        <v>0</v>
      </c>
      <c r="R116" s="76">
        <v>0</v>
      </c>
      <c r="S116" s="76">
        <v>0</v>
      </c>
      <c r="T116" s="76">
        <v>0</v>
      </c>
      <c r="U116" s="76">
        <v>15.7</v>
      </c>
      <c r="V116" s="76">
        <v>0</v>
      </c>
      <c r="W116" s="76">
        <v>0</v>
      </c>
      <c r="X116" s="76">
        <v>0</v>
      </c>
      <c r="Y116" s="76">
        <v>0</v>
      </c>
      <c r="Z116" s="76">
        <v>0</v>
      </c>
      <c r="AA116" s="76">
        <v>0</v>
      </c>
      <c r="AB116" s="76">
        <v>0</v>
      </c>
      <c r="AC116" s="76">
        <v>0</v>
      </c>
      <c r="AD116" s="76">
        <v>0</v>
      </c>
      <c r="AE116" s="76">
        <v>0</v>
      </c>
      <c r="AF116" s="76">
        <v>0</v>
      </c>
      <c r="AG116" s="76">
        <v>0</v>
      </c>
      <c r="AH116" s="76">
        <v>0</v>
      </c>
      <c r="AI116" s="76">
        <v>0</v>
      </c>
      <c r="AJ116" s="76">
        <v>0</v>
      </c>
      <c r="AK116" s="76">
        <v>0</v>
      </c>
      <c r="AL116" s="76">
        <v>0</v>
      </c>
      <c r="AM116" s="76">
        <v>0</v>
      </c>
      <c r="AN116" s="76">
        <v>0</v>
      </c>
      <c r="AO116" s="76">
        <v>0</v>
      </c>
      <c r="AP116" s="76">
        <v>10</v>
      </c>
      <c r="AQ116" s="76">
        <v>0</v>
      </c>
      <c r="AR116" s="76">
        <v>27</v>
      </c>
      <c r="AS116" s="76">
        <v>10.780000000000001</v>
      </c>
      <c r="AT116" s="76">
        <v>0</v>
      </c>
      <c r="AU116" s="76">
        <v>0</v>
      </c>
      <c r="AV116" s="76">
        <v>0</v>
      </c>
      <c r="AW116" s="76">
        <v>0</v>
      </c>
      <c r="AX116" s="76">
        <v>0</v>
      </c>
      <c r="AY116" s="76">
        <v>0</v>
      </c>
      <c r="AZ116" s="76">
        <v>0</v>
      </c>
      <c r="BA116" s="76">
        <v>0</v>
      </c>
      <c r="BB116" s="76">
        <v>0</v>
      </c>
      <c r="BC116" s="76">
        <v>0</v>
      </c>
      <c r="BD116" s="76">
        <v>0</v>
      </c>
      <c r="BE116" s="76">
        <v>0</v>
      </c>
      <c r="BF116" s="76">
        <v>0</v>
      </c>
      <c r="BG116" s="76">
        <v>0</v>
      </c>
      <c r="BH116" s="76">
        <v>0</v>
      </c>
      <c r="BI116" s="76">
        <v>0</v>
      </c>
      <c r="BJ116" s="76">
        <v>0</v>
      </c>
      <c r="BK116" s="76">
        <v>0</v>
      </c>
      <c r="BL116" s="76">
        <v>0</v>
      </c>
      <c r="BM116" s="76">
        <v>0</v>
      </c>
      <c r="BN116" s="76">
        <v>0</v>
      </c>
      <c r="BO116" s="76">
        <v>0</v>
      </c>
      <c r="BP116" s="76">
        <v>0</v>
      </c>
      <c r="BQ116" s="76">
        <v>0</v>
      </c>
      <c r="BR116" s="76">
        <v>0</v>
      </c>
      <c r="BS116" s="76">
        <v>0</v>
      </c>
      <c r="BT116" s="76">
        <v>0</v>
      </c>
      <c r="BU116" s="76">
        <v>0</v>
      </c>
      <c r="BV116" s="76">
        <v>0</v>
      </c>
      <c r="BW116" s="76">
        <v>0</v>
      </c>
      <c r="BX116" s="76">
        <v>0</v>
      </c>
      <c r="BY116" s="76">
        <v>0</v>
      </c>
      <c r="BZ116" s="76">
        <v>0</v>
      </c>
    </row>
    <row r="117" spans="1:78" x14ac:dyDescent="0.2">
      <c r="A117" s="62" t="s">
        <v>290</v>
      </c>
      <c r="B117" s="62" t="s">
        <v>11</v>
      </c>
      <c r="C117" s="62" t="s">
        <v>968</v>
      </c>
      <c r="D117" s="62" t="s">
        <v>231</v>
      </c>
      <c r="E117" s="76">
        <f>IF(B117="","",VLOOKUP(B117,dagsoorttabel1,2,FALSE))</f>
        <v>0.6</v>
      </c>
      <c r="F117" s="76">
        <v>1</v>
      </c>
      <c r="G117" s="76">
        <f>IF(prodnorm144&gt;0,1/ROUND(prodnorm144,4),0)</f>
        <v>0</v>
      </c>
      <c r="H117" s="66">
        <f>ROUND(uurtarief144,2)</f>
        <v>0</v>
      </c>
      <c r="I117" s="76">
        <v>0</v>
      </c>
      <c r="J117" s="76">
        <v>0</v>
      </c>
      <c r="K117" s="76">
        <v>0</v>
      </c>
      <c r="L117" s="76">
        <v>0</v>
      </c>
      <c r="M117" s="76">
        <v>0</v>
      </c>
      <c r="N117" s="76">
        <v>0</v>
      </c>
      <c r="O117" s="76">
        <v>0</v>
      </c>
      <c r="P117" s="76">
        <v>0</v>
      </c>
      <c r="Q117" s="76">
        <v>0</v>
      </c>
      <c r="R117" s="76">
        <v>0</v>
      </c>
      <c r="S117" s="76">
        <v>0</v>
      </c>
      <c r="T117" s="76">
        <v>0</v>
      </c>
      <c r="U117" s="76">
        <v>0</v>
      </c>
      <c r="V117" s="76">
        <v>0</v>
      </c>
      <c r="W117" s="76">
        <v>0</v>
      </c>
      <c r="X117" s="76">
        <v>0</v>
      </c>
      <c r="Y117" s="76">
        <v>10</v>
      </c>
      <c r="Z117" s="76">
        <v>0</v>
      </c>
      <c r="AA117" s="76">
        <v>0</v>
      </c>
      <c r="AB117" s="76">
        <v>0</v>
      </c>
      <c r="AC117" s="76">
        <v>12</v>
      </c>
      <c r="AD117" s="76">
        <v>0</v>
      </c>
      <c r="AE117" s="76">
        <v>0</v>
      </c>
      <c r="AF117" s="76">
        <v>0</v>
      </c>
      <c r="AG117" s="76">
        <v>0</v>
      </c>
      <c r="AH117" s="76">
        <v>0</v>
      </c>
      <c r="AI117" s="76">
        <v>0</v>
      </c>
      <c r="AJ117" s="76">
        <v>0</v>
      </c>
      <c r="AK117" s="76">
        <v>0</v>
      </c>
      <c r="AL117" s="76">
        <v>0</v>
      </c>
      <c r="AM117" s="76">
        <v>0</v>
      </c>
      <c r="AN117" s="76">
        <v>0</v>
      </c>
      <c r="AO117" s="76">
        <v>0</v>
      </c>
      <c r="AP117" s="76">
        <v>0</v>
      </c>
      <c r="AQ117" s="76">
        <v>0</v>
      </c>
      <c r="AR117" s="76">
        <v>0</v>
      </c>
      <c r="AS117" s="76">
        <v>0</v>
      </c>
      <c r="AT117" s="76">
        <v>0</v>
      </c>
      <c r="AU117" s="76">
        <v>32.9</v>
      </c>
      <c r="AV117" s="76">
        <v>0</v>
      </c>
      <c r="AW117" s="76">
        <v>0</v>
      </c>
      <c r="AX117" s="76">
        <v>0</v>
      </c>
      <c r="AY117" s="76">
        <v>0</v>
      </c>
      <c r="AZ117" s="76">
        <v>0</v>
      </c>
      <c r="BA117" s="76">
        <v>0</v>
      </c>
      <c r="BB117" s="76">
        <v>0</v>
      </c>
      <c r="BC117" s="76">
        <v>0</v>
      </c>
      <c r="BD117" s="76">
        <v>0</v>
      </c>
      <c r="BE117" s="76">
        <v>0</v>
      </c>
      <c r="BF117" s="76">
        <v>0</v>
      </c>
      <c r="BG117" s="76">
        <v>0</v>
      </c>
      <c r="BH117" s="76">
        <v>0</v>
      </c>
      <c r="BI117" s="76">
        <v>0</v>
      </c>
      <c r="BJ117" s="76">
        <v>0</v>
      </c>
      <c r="BK117" s="76">
        <v>0</v>
      </c>
      <c r="BL117" s="76">
        <v>0</v>
      </c>
      <c r="BM117" s="76">
        <v>0</v>
      </c>
      <c r="BN117" s="76">
        <v>0</v>
      </c>
      <c r="BO117" s="76">
        <v>0</v>
      </c>
      <c r="BP117" s="76">
        <v>0</v>
      </c>
      <c r="BQ117" s="76">
        <v>0</v>
      </c>
      <c r="BR117" s="76">
        <v>0</v>
      </c>
      <c r="BS117" s="76">
        <v>0</v>
      </c>
      <c r="BT117" s="76">
        <v>0</v>
      </c>
      <c r="BU117" s="76">
        <v>0</v>
      </c>
      <c r="BV117" s="76">
        <v>0</v>
      </c>
      <c r="BW117" s="76">
        <v>0</v>
      </c>
      <c r="BX117" s="76">
        <v>0</v>
      </c>
      <c r="BY117" s="76">
        <v>0</v>
      </c>
      <c r="BZ117" s="76">
        <v>0</v>
      </c>
    </row>
    <row r="118" spans="1:78" x14ac:dyDescent="0.2">
      <c r="A118" s="62" t="s">
        <v>290</v>
      </c>
      <c r="B118" s="62" t="s">
        <v>20</v>
      </c>
      <c r="C118" s="62" t="s">
        <v>968</v>
      </c>
      <c r="D118" s="62" t="s">
        <v>231</v>
      </c>
      <c r="E118" s="76">
        <f>IF(B118="","",VLOOKUP(B118,dagsoorttabel1,2,FALSE))</f>
        <v>1.5686274509803921E-2</v>
      </c>
      <c r="F118" s="76">
        <v>1</v>
      </c>
      <c r="G118" s="76">
        <f>IF(prodnorm145&gt;0,1/ROUND(prodnorm145,4),0)</f>
        <v>0</v>
      </c>
      <c r="H118" s="66">
        <f>ROUND(uurtarief145,2)</f>
        <v>0</v>
      </c>
      <c r="I118" s="76">
        <v>0</v>
      </c>
      <c r="J118" s="76">
        <v>0</v>
      </c>
      <c r="K118" s="76">
        <v>0</v>
      </c>
      <c r="L118" s="76">
        <v>0</v>
      </c>
      <c r="M118" s="76">
        <v>0</v>
      </c>
      <c r="N118" s="76">
        <v>0</v>
      </c>
      <c r="O118" s="76">
        <v>0</v>
      </c>
      <c r="P118" s="76">
        <v>0</v>
      </c>
      <c r="Q118" s="76">
        <v>0</v>
      </c>
      <c r="R118" s="76">
        <v>0</v>
      </c>
      <c r="S118" s="76">
        <v>0</v>
      </c>
      <c r="T118" s="76">
        <v>0</v>
      </c>
      <c r="U118" s="76">
        <v>0</v>
      </c>
      <c r="V118" s="76">
        <v>0</v>
      </c>
      <c r="W118" s="76">
        <v>0</v>
      </c>
      <c r="X118" s="76">
        <v>0</v>
      </c>
      <c r="Y118" s="76">
        <v>0</v>
      </c>
      <c r="Z118" s="76">
        <v>0</v>
      </c>
      <c r="AA118" s="76">
        <v>0</v>
      </c>
      <c r="AB118" s="76">
        <v>0</v>
      </c>
      <c r="AC118" s="76">
        <v>0</v>
      </c>
      <c r="AD118" s="76">
        <v>0</v>
      </c>
      <c r="AE118" s="76">
        <v>0</v>
      </c>
      <c r="AF118" s="76">
        <v>0</v>
      </c>
      <c r="AG118" s="76">
        <v>0</v>
      </c>
      <c r="AH118" s="76">
        <v>0</v>
      </c>
      <c r="AI118" s="76">
        <v>0</v>
      </c>
      <c r="AJ118" s="76">
        <v>0</v>
      </c>
      <c r="AK118" s="76">
        <v>1</v>
      </c>
      <c r="AL118" s="76">
        <v>6</v>
      </c>
      <c r="AM118" s="76">
        <v>0</v>
      </c>
      <c r="AN118" s="76">
        <v>0</v>
      </c>
      <c r="AO118" s="76">
        <v>0</v>
      </c>
      <c r="AP118" s="76">
        <v>0</v>
      </c>
      <c r="AQ118" s="76">
        <v>0</v>
      </c>
      <c r="AR118" s="76">
        <v>0</v>
      </c>
      <c r="AS118" s="76">
        <v>0</v>
      </c>
      <c r="AT118" s="76">
        <v>1.7</v>
      </c>
      <c r="AU118" s="76">
        <v>0</v>
      </c>
      <c r="AV118" s="76">
        <v>0</v>
      </c>
      <c r="AW118" s="76">
        <v>0</v>
      </c>
      <c r="AX118" s="76">
        <v>0</v>
      </c>
      <c r="AY118" s="76">
        <v>0</v>
      </c>
      <c r="AZ118" s="76">
        <v>0</v>
      </c>
      <c r="BA118" s="76">
        <v>0</v>
      </c>
      <c r="BB118" s="76">
        <v>0</v>
      </c>
      <c r="BC118" s="76">
        <v>0</v>
      </c>
      <c r="BD118" s="76">
        <v>6</v>
      </c>
      <c r="BE118" s="76">
        <v>0</v>
      </c>
      <c r="BF118" s="76">
        <v>0</v>
      </c>
      <c r="BG118" s="76">
        <v>0</v>
      </c>
      <c r="BH118" s="76">
        <v>0</v>
      </c>
      <c r="BI118" s="76">
        <v>0</v>
      </c>
      <c r="BJ118" s="76">
        <v>0</v>
      </c>
      <c r="BK118" s="76">
        <v>0</v>
      </c>
      <c r="BL118" s="76">
        <v>0</v>
      </c>
      <c r="BM118" s="76">
        <v>0</v>
      </c>
      <c r="BN118" s="76">
        <v>0</v>
      </c>
      <c r="BO118" s="76">
        <v>0</v>
      </c>
      <c r="BP118" s="76">
        <v>0</v>
      </c>
      <c r="BQ118" s="76">
        <v>0</v>
      </c>
      <c r="BR118" s="76">
        <v>0</v>
      </c>
      <c r="BS118" s="76">
        <v>0</v>
      </c>
      <c r="BT118" s="76">
        <v>0</v>
      </c>
      <c r="BU118" s="76">
        <v>0</v>
      </c>
      <c r="BV118" s="76">
        <v>0</v>
      </c>
      <c r="BW118" s="76">
        <v>0</v>
      </c>
      <c r="BX118" s="76">
        <v>0</v>
      </c>
      <c r="BY118" s="76">
        <v>0</v>
      </c>
      <c r="BZ118" s="76">
        <v>0</v>
      </c>
    </row>
    <row r="119" spans="1:78" x14ac:dyDescent="0.2">
      <c r="A119" s="62" t="s">
        <v>290</v>
      </c>
      <c r="B119" s="62" t="s">
        <v>9</v>
      </c>
      <c r="C119" s="62" t="s">
        <v>968</v>
      </c>
      <c r="D119" s="62" t="s">
        <v>231</v>
      </c>
      <c r="E119" s="76">
        <f>IF(B119="","",VLOOKUP(B119,dagsoorttabel1,2,FALSE))</f>
        <v>1</v>
      </c>
      <c r="F119" s="76">
        <v>1</v>
      </c>
      <c r="G119" s="76">
        <f>IF(prodnorm146&gt;0,1/ROUND(prodnorm146,4),0)</f>
        <v>0</v>
      </c>
      <c r="H119" s="66">
        <f>ROUND(uurtarief146,2)</f>
        <v>0</v>
      </c>
      <c r="I119" s="76">
        <v>75.800000000000011</v>
      </c>
      <c r="J119" s="76">
        <v>0</v>
      </c>
      <c r="K119" s="76">
        <v>12.5</v>
      </c>
      <c r="L119" s="76">
        <v>0</v>
      </c>
      <c r="M119" s="76">
        <v>8</v>
      </c>
      <c r="N119" s="76">
        <v>0</v>
      </c>
      <c r="O119" s="76">
        <v>0</v>
      </c>
      <c r="P119" s="76">
        <v>0</v>
      </c>
      <c r="Q119" s="76">
        <v>0</v>
      </c>
      <c r="R119" s="76">
        <v>6.5</v>
      </c>
      <c r="S119" s="76">
        <v>0</v>
      </c>
      <c r="T119" s="76">
        <v>0</v>
      </c>
      <c r="U119" s="76">
        <v>0</v>
      </c>
      <c r="V119" s="76">
        <v>0</v>
      </c>
      <c r="W119" s="76">
        <v>0</v>
      </c>
      <c r="X119" s="76">
        <v>0</v>
      </c>
      <c r="Y119" s="76">
        <v>0</v>
      </c>
      <c r="Z119" s="76">
        <v>0</v>
      </c>
      <c r="AA119" s="76">
        <v>0</v>
      </c>
      <c r="AB119" s="76">
        <v>0</v>
      </c>
      <c r="AC119" s="76">
        <v>0</v>
      </c>
      <c r="AD119" s="76">
        <v>0</v>
      </c>
      <c r="AE119" s="76">
        <v>0</v>
      </c>
      <c r="AF119" s="76">
        <v>0</v>
      </c>
      <c r="AG119" s="76">
        <v>0</v>
      </c>
      <c r="AH119" s="76">
        <v>0</v>
      </c>
      <c r="AI119" s="76">
        <v>0</v>
      </c>
      <c r="AJ119" s="76">
        <v>0</v>
      </c>
      <c r="AK119" s="76">
        <v>0</v>
      </c>
      <c r="AL119" s="76">
        <v>0</v>
      </c>
      <c r="AM119" s="76">
        <v>0</v>
      </c>
      <c r="AN119" s="76">
        <v>0</v>
      </c>
      <c r="AO119" s="76">
        <v>0</v>
      </c>
      <c r="AP119" s="76">
        <v>0</v>
      </c>
      <c r="AQ119" s="76">
        <v>0</v>
      </c>
      <c r="AR119" s="76">
        <v>0</v>
      </c>
      <c r="AS119" s="76">
        <v>0</v>
      </c>
      <c r="AT119" s="76">
        <v>0</v>
      </c>
      <c r="AU119" s="76">
        <v>0</v>
      </c>
      <c r="AV119" s="76">
        <v>0</v>
      </c>
      <c r="AW119" s="76">
        <v>0</v>
      </c>
      <c r="AX119" s="76">
        <v>0</v>
      </c>
      <c r="AY119" s="76">
        <v>0</v>
      </c>
      <c r="AZ119" s="76">
        <v>0</v>
      </c>
      <c r="BA119" s="76">
        <v>0</v>
      </c>
      <c r="BB119" s="76">
        <v>0</v>
      </c>
      <c r="BC119" s="76">
        <v>0</v>
      </c>
      <c r="BD119" s="76">
        <v>0</v>
      </c>
      <c r="BE119" s="76">
        <v>0</v>
      </c>
      <c r="BF119" s="76">
        <v>0</v>
      </c>
      <c r="BG119" s="76">
        <v>0</v>
      </c>
      <c r="BH119" s="76">
        <v>0</v>
      </c>
      <c r="BI119" s="76">
        <v>0</v>
      </c>
      <c r="BJ119" s="76">
        <v>0</v>
      </c>
      <c r="BK119" s="76">
        <v>0</v>
      </c>
      <c r="BL119" s="76">
        <v>0</v>
      </c>
      <c r="BM119" s="76">
        <v>0</v>
      </c>
      <c r="BN119" s="76">
        <v>0</v>
      </c>
      <c r="BO119" s="76">
        <v>0</v>
      </c>
      <c r="BP119" s="76">
        <v>0</v>
      </c>
      <c r="BQ119" s="76">
        <v>0</v>
      </c>
      <c r="BR119" s="76">
        <v>0</v>
      </c>
      <c r="BS119" s="76">
        <v>0</v>
      </c>
      <c r="BT119" s="76">
        <v>0</v>
      </c>
      <c r="BU119" s="76">
        <v>0</v>
      </c>
      <c r="BV119" s="76">
        <v>0</v>
      </c>
      <c r="BW119" s="76">
        <v>0</v>
      </c>
      <c r="BX119" s="76">
        <v>0</v>
      </c>
      <c r="BY119" s="76">
        <v>0</v>
      </c>
      <c r="BZ119" s="76">
        <v>0</v>
      </c>
    </row>
    <row r="120" spans="1:78" x14ac:dyDescent="0.2">
      <c r="A120" s="62" t="s">
        <v>292</v>
      </c>
      <c r="B120" s="62" t="s">
        <v>13</v>
      </c>
      <c r="C120" s="62" t="s">
        <v>968</v>
      </c>
      <c r="D120" s="62" t="s">
        <v>231</v>
      </c>
      <c r="E120" s="76">
        <f>IF(B120="","",VLOOKUP(B120,dagsoorttabel1,2,FALSE))</f>
        <v>0.2</v>
      </c>
      <c r="F120" s="76">
        <v>1</v>
      </c>
      <c r="G120" s="76">
        <f>IF(prodnorm147&gt;0,1/ROUND(prodnorm147,4),0)</f>
        <v>0</v>
      </c>
      <c r="H120" s="66">
        <f>ROUND(uurtarief147,2)</f>
        <v>0</v>
      </c>
      <c r="I120" s="76">
        <v>0</v>
      </c>
      <c r="J120" s="76">
        <v>0</v>
      </c>
      <c r="K120" s="76">
        <v>0</v>
      </c>
      <c r="L120" s="76">
        <v>0</v>
      </c>
      <c r="M120" s="76">
        <v>0</v>
      </c>
      <c r="N120" s="76">
        <v>0</v>
      </c>
      <c r="O120" s="76">
        <v>0</v>
      </c>
      <c r="P120" s="76">
        <v>0</v>
      </c>
      <c r="Q120" s="76">
        <v>0</v>
      </c>
      <c r="R120" s="76">
        <v>0</v>
      </c>
      <c r="S120" s="76">
        <v>0</v>
      </c>
      <c r="T120" s="76">
        <v>0</v>
      </c>
      <c r="U120" s="76">
        <v>0</v>
      </c>
      <c r="V120" s="76">
        <v>0</v>
      </c>
      <c r="W120" s="76">
        <v>0</v>
      </c>
      <c r="X120" s="76">
        <v>0</v>
      </c>
      <c r="Y120" s="76">
        <v>0</v>
      </c>
      <c r="Z120" s="76">
        <v>0</v>
      </c>
      <c r="AA120" s="76">
        <v>0</v>
      </c>
      <c r="AB120" s="76">
        <v>0</v>
      </c>
      <c r="AC120" s="76">
        <v>0</v>
      </c>
      <c r="AD120" s="76">
        <v>0</v>
      </c>
      <c r="AE120" s="76">
        <v>7.2</v>
      </c>
      <c r="AF120" s="76">
        <v>0</v>
      </c>
      <c r="AG120" s="76">
        <v>0</v>
      </c>
      <c r="AH120" s="76">
        <v>0</v>
      </c>
      <c r="AI120" s="76">
        <v>0</v>
      </c>
      <c r="AJ120" s="76">
        <v>0</v>
      </c>
      <c r="AK120" s="76">
        <v>0</v>
      </c>
      <c r="AL120" s="76">
        <v>0</v>
      </c>
      <c r="AM120" s="76">
        <v>0</v>
      </c>
      <c r="AN120" s="76">
        <v>0</v>
      </c>
      <c r="AO120" s="76">
        <v>0</v>
      </c>
      <c r="AP120" s="76">
        <v>0</v>
      </c>
      <c r="AQ120" s="76">
        <v>0</v>
      </c>
      <c r="AR120" s="76">
        <v>0</v>
      </c>
      <c r="AS120" s="76">
        <v>0</v>
      </c>
      <c r="AT120" s="76">
        <v>0</v>
      </c>
      <c r="AU120" s="76">
        <v>0</v>
      </c>
      <c r="AV120" s="76">
        <v>0</v>
      </c>
      <c r="AW120" s="76">
        <v>0</v>
      </c>
      <c r="AX120" s="76">
        <v>0</v>
      </c>
      <c r="AY120" s="76">
        <v>0</v>
      </c>
      <c r="AZ120" s="76">
        <v>0</v>
      </c>
      <c r="BA120" s="76">
        <v>0</v>
      </c>
      <c r="BB120" s="76">
        <v>0</v>
      </c>
      <c r="BC120" s="76">
        <v>0</v>
      </c>
      <c r="BD120" s="76">
        <v>0</v>
      </c>
      <c r="BE120" s="76">
        <v>0</v>
      </c>
      <c r="BF120" s="76">
        <v>0</v>
      </c>
      <c r="BG120" s="76">
        <v>0</v>
      </c>
      <c r="BH120" s="76">
        <v>0</v>
      </c>
      <c r="BI120" s="76">
        <v>0</v>
      </c>
      <c r="BJ120" s="76">
        <v>0</v>
      </c>
      <c r="BK120" s="76">
        <v>0</v>
      </c>
      <c r="BL120" s="76">
        <v>0</v>
      </c>
      <c r="BM120" s="76">
        <v>0</v>
      </c>
      <c r="BN120" s="76">
        <v>0</v>
      </c>
      <c r="BO120" s="76">
        <v>0</v>
      </c>
      <c r="BP120" s="76">
        <v>0</v>
      </c>
      <c r="BQ120" s="76">
        <v>0</v>
      </c>
      <c r="BR120" s="76">
        <v>0</v>
      </c>
      <c r="BS120" s="76">
        <v>0</v>
      </c>
      <c r="BT120" s="76">
        <v>0</v>
      </c>
      <c r="BU120" s="76">
        <v>0</v>
      </c>
      <c r="BV120" s="76">
        <v>0</v>
      </c>
      <c r="BW120" s="76">
        <v>0</v>
      </c>
      <c r="BX120" s="76">
        <v>0</v>
      </c>
      <c r="BY120" s="76">
        <v>0</v>
      </c>
      <c r="BZ120" s="76">
        <v>0</v>
      </c>
    </row>
    <row r="121" spans="1:78" x14ac:dyDescent="0.2">
      <c r="A121" s="62" t="s">
        <v>292</v>
      </c>
      <c r="B121" s="62" t="s">
        <v>12</v>
      </c>
      <c r="C121" s="62" t="s">
        <v>968</v>
      </c>
      <c r="D121" s="62" t="s">
        <v>231</v>
      </c>
      <c r="E121" s="76">
        <f>IF(B121="","",VLOOKUP(B121,dagsoorttabel1,2,FALSE))</f>
        <v>0.4</v>
      </c>
      <c r="F121" s="76">
        <v>1</v>
      </c>
      <c r="G121" s="76">
        <f>IF(prodnorm148&gt;0,1/ROUND(prodnorm148,4),0)</f>
        <v>0</v>
      </c>
      <c r="H121" s="66">
        <f>ROUND(uurtarief148,2)</f>
        <v>0</v>
      </c>
      <c r="I121" s="76">
        <v>0</v>
      </c>
      <c r="J121" s="76">
        <v>0</v>
      </c>
      <c r="K121" s="76">
        <v>0</v>
      </c>
      <c r="L121" s="76">
        <v>0</v>
      </c>
      <c r="M121" s="76">
        <v>0</v>
      </c>
      <c r="N121" s="76">
        <v>0</v>
      </c>
      <c r="O121" s="76">
        <v>0</v>
      </c>
      <c r="P121" s="76">
        <v>0</v>
      </c>
      <c r="Q121" s="76">
        <v>0</v>
      </c>
      <c r="R121" s="76">
        <v>0</v>
      </c>
      <c r="S121" s="76">
        <v>0</v>
      </c>
      <c r="T121" s="76">
        <v>0</v>
      </c>
      <c r="U121" s="76">
        <v>0</v>
      </c>
      <c r="V121" s="76">
        <v>0</v>
      </c>
      <c r="W121" s="76">
        <v>0</v>
      </c>
      <c r="X121" s="76">
        <v>0</v>
      </c>
      <c r="Y121" s="76">
        <v>0</v>
      </c>
      <c r="Z121" s="76">
        <v>0</v>
      </c>
      <c r="AA121" s="76">
        <v>0</v>
      </c>
      <c r="AB121" s="76">
        <v>0</v>
      </c>
      <c r="AC121" s="76">
        <v>0</v>
      </c>
      <c r="AD121" s="76">
        <v>0</v>
      </c>
      <c r="AE121" s="76">
        <v>0</v>
      </c>
      <c r="AF121" s="76">
        <v>0</v>
      </c>
      <c r="AG121" s="76">
        <v>0</v>
      </c>
      <c r="AH121" s="76">
        <v>0</v>
      </c>
      <c r="AI121" s="76">
        <v>0</v>
      </c>
      <c r="AJ121" s="76">
        <v>0</v>
      </c>
      <c r="AK121" s="76">
        <v>0</v>
      </c>
      <c r="AL121" s="76">
        <v>0</v>
      </c>
      <c r="AM121" s="76">
        <v>0</v>
      </c>
      <c r="AN121" s="76">
        <v>0</v>
      </c>
      <c r="AO121" s="76">
        <v>0</v>
      </c>
      <c r="AP121" s="76">
        <v>0</v>
      </c>
      <c r="AQ121" s="76">
        <v>0</v>
      </c>
      <c r="AR121" s="76">
        <v>11.8</v>
      </c>
      <c r="AS121" s="76">
        <v>0</v>
      </c>
      <c r="AT121" s="76">
        <v>0</v>
      </c>
      <c r="AU121" s="76">
        <v>0</v>
      </c>
      <c r="AV121" s="76">
        <v>0</v>
      </c>
      <c r="AW121" s="76">
        <v>0</v>
      </c>
      <c r="AX121" s="76">
        <v>0</v>
      </c>
      <c r="AY121" s="76">
        <v>0</v>
      </c>
      <c r="AZ121" s="76">
        <v>0</v>
      </c>
      <c r="BA121" s="76">
        <v>0</v>
      </c>
      <c r="BB121" s="76">
        <v>0</v>
      </c>
      <c r="BC121" s="76">
        <v>0</v>
      </c>
      <c r="BD121" s="76">
        <v>0</v>
      </c>
      <c r="BE121" s="76">
        <v>0</v>
      </c>
      <c r="BF121" s="76">
        <v>0</v>
      </c>
      <c r="BG121" s="76">
        <v>0</v>
      </c>
      <c r="BH121" s="76">
        <v>0</v>
      </c>
      <c r="BI121" s="76">
        <v>0</v>
      </c>
      <c r="BJ121" s="76">
        <v>0</v>
      </c>
      <c r="BK121" s="76">
        <v>0</v>
      </c>
      <c r="BL121" s="76">
        <v>0</v>
      </c>
      <c r="BM121" s="76">
        <v>0</v>
      </c>
      <c r="BN121" s="76">
        <v>0</v>
      </c>
      <c r="BO121" s="76">
        <v>0</v>
      </c>
      <c r="BP121" s="76">
        <v>0</v>
      </c>
      <c r="BQ121" s="76">
        <v>0</v>
      </c>
      <c r="BR121" s="76">
        <v>0</v>
      </c>
      <c r="BS121" s="76">
        <v>0</v>
      </c>
      <c r="BT121" s="76">
        <v>0</v>
      </c>
      <c r="BU121" s="76">
        <v>0</v>
      </c>
      <c r="BV121" s="76">
        <v>0</v>
      </c>
      <c r="BW121" s="76">
        <v>0</v>
      </c>
      <c r="BX121" s="76">
        <v>0</v>
      </c>
      <c r="BY121" s="76">
        <v>0</v>
      </c>
      <c r="BZ121" s="76">
        <v>0</v>
      </c>
    </row>
    <row r="122" spans="1:78" x14ac:dyDescent="0.2">
      <c r="A122" s="62" t="s">
        <v>292</v>
      </c>
      <c r="B122" s="62" t="s">
        <v>10</v>
      </c>
      <c r="C122" s="62" t="s">
        <v>968</v>
      </c>
      <c r="D122" s="62" t="s">
        <v>231</v>
      </c>
      <c r="E122" s="76">
        <f>IF(B122="","",VLOOKUP(B122,dagsoorttabel1,2,FALSE))</f>
        <v>0.8</v>
      </c>
      <c r="F122" s="76">
        <v>1</v>
      </c>
      <c r="G122" s="76">
        <f>IF(prodnorm149&gt;0,1/ROUND(prodnorm149,4),0)</f>
        <v>0</v>
      </c>
      <c r="H122" s="66">
        <f>ROUND(uurtarief149,2)</f>
        <v>0</v>
      </c>
      <c r="I122" s="76">
        <v>0</v>
      </c>
      <c r="J122" s="76">
        <v>57.239999999999995</v>
      </c>
      <c r="K122" s="76">
        <v>0</v>
      </c>
      <c r="L122" s="76">
        <v>0</v>
      </c>
      <c r="M122" s="76">
        <v>0</v>
      </c>
      <c r="N122" s="76">
        <v>0</v>
      </c>
      <c r="O122" s="76">
        <v>0</v>
      </c>
      <c r="P122" s="76">
        <v>0</v>
      </c>
      <c r="Q122" s="76">
        <v>0</v>
      </c>
      <c r="R122" s="76">
        <v>0</v>
      </c>
      <c r="S122" s="76">
        <v>0</v>
      </c>
      <c r="T122" s="76">
        <v>0</v>
      </c>
      <c r="U122" s="76">
        <v>0</v>
      </c>
      <c r="V122" s="76">
        <v>0</v>
      </c>
      <c r="W122" s="76">
        <v>0</v>
      </c>
      <c r="X122" s="76">
        <v>0</v>
      </c>
      <c r="Y122" s="76">
        <v>0</v>
      </c>
      <c r="Z122" s="76">
        <v>0</v>
      </c>
      <c r="AA122" s="76">
        <v>0</v>
      </c>
      <c r="AB122" s="76">
        <v>0</v>
      </c>
      <c r="AC122" s="76">
        <v>0</v>
      </c>
      <c r="AD122" s="76">
        <v>0</v>
      </c>
      <c r="AE122" s="76">
        <v>0</v>
      </c>
      <c r="AF122" s="76">
        <v>0</v>
      </c>
      <c r="AG122" s="76">
        <v>0</v>
      </c>
      <c r="AH122" s="76">
        <v>0</v>
      </c>
      <c r="AI122" s="76">
        <v>0</v>
      </c>
      <c r="AJ122" s="76">
        <v>0</v>
      </c>
      <c r="AK122" s="76">
        <v>0</v>
      </c>
      <c r="AL122" s="76">
        <v>0</v>
      </c>
      <c r="AM122" s="76">
        <v>0</v>
      </c>
      <c r="AN122" s="76">
        <v>0</v>
      </c>
      <c r="AO122" s="76">
        <v>0</v>
      </c>
      <c r="AP122" s="76">
        <v>0</v>
      </c>
      <c r="AQ122" s="76">
        <v>0</v>
      </c>
      <c r="AR122" s="76">
        <v>0</v>
      </c>
      <c r="AS122" s="76">
        <v>0</v>
      </c>
      <c r="AT122" s="76">
        <v>0</v>
      </c>
      <c r="AU122" s="76">
        <v>0</v>
      </c>
      <c r="AV122" s="76">
        <v>0</v>
      </c>
      <c r="AW122" s="76">
        <v>0</v>
      </c>
      <c r="AX122" s="76">
        <v>0</v>
      </c>
      <c r="AY122" s="76">
        <v>0</v>
      </c>
      <c r="AZ122" s="76">
        <v>0</v>
      </c>
      <c r="BA122" s="76">
        <v>0</v>
      </c>
      <c r="BB122" s="76">
        <v>0</v>
      </c>
      <c r="BC122" s="76">
        <v>0</v>
      </c>
      <c r="BD122" s="76">
        <v>0</v>
      </c>
      <c r="BE122" s="76">
        <v>0</v>
      </c>
      <c r="BF122" s="76">
        <v>0</v>
      </c>
      <c r="BG122" s="76">
        <v>0</v>
      </c>
      <c r="BH122" s="76">
        <v>0</v>
      </c>
      <c r="BI122" s="76">
        <v>0</v>
      </c>
      <c r="BJ122" s="76">
        <v>0</v>
      </c>
      <c r="BK122" s="76">
        <v>0</v>
      </c>
      <c r="BL122" s="76">
        <v>0</v>
      </c>
      <c r="BM122" s="76">
        <v>0</v>
      </c>
      <c r="BN122" s="76">
        <v>0</v>
      </c>
      <c r="BO122" s="76">
        <v>0</v>
      </c>
      <c r="BP122" s="76">
        <v>0</v>
      </c>
      <c r="BQ122" s="76">
        <v>0</v>
      </c>
      <c r="BR122" s="76">
        <v>0</v>
      </c>
      <c r="BS122" s="76">
        <v>0</v>
      </c>
      <c r="BT122" s="76">
        <v>0</v>
      </c>
      <c r="BU122" s="76">
        <v>0</v>
      </c>
      <c r="BV122" s="76">
        <v>0</v>
      </c>
      <c r="BW122" s="76">
        <v>0</v>
      </c>
      <c r="BX122" s="76">
        <v>0</v>
      </c>
      <c r="BY122" s="76">
        <v>0</v>
      </c>
      <c r="BZ122" s="76">
        <v>0</v>
      </c>
    </row>
    <row r="123" spans="1:78" x14ac:dyDescent="0.2">
      <c r="A123" s="62" t="s">
        <v>292</v>
      </c>
      <c r="B123" s="62" t="s">
        <v>9</v>
      </c>
      <c r="C123" s="62" t="s">
        <v>968</v>
      </c>
      <c r="D123" s="62" t="s">
        <v>231</v>
      </c>
      <c r="E123" s="76">
        <f>IF(B123="","",VLOOKUP(B123,dagsoorttabel1,2,FALSE))</f>
        <v>1</v>
      </c>
      <c r="F123" s="76">
        <v>1</v>
      </c>
      <c r="G123" s="76">
        <f>IF(prodnorm150&gt;0,1/ROUND(prodnorm150,4),0)</f>
        <v>0</v>
      </c>
      <c r="H123" s="66">
        <f>ROUND(uurtarief150,2)</f>
        <v>0</v>
      </c>
      <c r="I123" s="76">
        <v>29.999999999999996</v>
      </c>
      <c r="J123" s="76">
        <v>0</v>
      </c>
      <c r="K123" s="76">
        <v>0</v>
      </c>
      <c r="L123" s="76">
        <v>0</v>
      </c>
      <c r="M123" s="76">
        <v>0</v>
      </c>
      <c r="N123" s="76">
        <v>0</v>
      </c>
      <c r="O123" s="76">
        <v>0</v>
      </c>
      <c r="P123" s="76">
        <v>0</v>
      </c>
      <c r="Q123" s="76">
        <v>0</v>
      </c>
      <c r="R123" s="76">
        <v>0</v>
      </c>
      <c r="S123" s="76">
        <v>0</v>
      </c>
      <c r="T123" s="76">
        <v>0</v>
      </c>
      <c r="U123" s="76">
        <v>0</v>
      </c>
      <c r="V123" s="76">
        <v>0</v>
      </c>
      <c r="W123" s="76">
        <v>0</v>
      </c>
      <c r="X123" s="76">
        <v>0</v>
      </c>
      <c r="Y123" s="76">
        <v>0</v>
      </c>
      <c r="Z123" s="76">
        <v>0</v>
      </c>
      <c r="AA123" s="76">
        <v>0</v>
      </c>
      <c r="AB123" s="76">
        <v>0</v>
      </c>
      <c r="AC123" s="76">
        <v>0</v>
      </c>
      <c r="AD123" s="76">
        <v>0</v>
      </c>
      <c r="AE123" s="76">
        <v>0</v>
      </c>
      <c r="AF123" s="76">
        <v>0</v>
      </c>
      <c r="AG123" s="76">
        <v>0</v>
      </c>
      <c r="AH123" s="76">
        <v>0</v>
      </c>
      <c r="AI123" s="76">
        <v>0</v>
      </c>
      <c r="AJ123" s="76">
        <v>0</v>
      </c>
      <c r="AK123" s="76">
        <v>0</v>
      </c>
      <c r="AL123" s="76">
        <v>0</v>
      </c>
      <c r="AM123" s="76">
        <v>0</v>
      </c>
      <c r="AN123" s="76">
        <v>0</v>
      </c>
      <c r="AO123" s="76">
        <v>0</v>
      </c>
      <c r="AP123" s="76">
        <v>0</v>
      </c>
      <c r="AQ123" s="76">
        <v>0</v>
      </c>
      <c r="AR123" s="76">
        <v>0</v>
      </c>
      <c r="AS123" s="76">
        <v>0</v>
      </c>
      <c r="AT123" s="76">
        <v>0</v>
      </c>
      <c r="AU123" s="76">
        <v>0</v>
      </c>
      <c r="AV123" s="76">
        <v>0</v>
      </c>
      <c r="AW123" s="76">
        <v>0</v>
      </c>
      <c r="AX123" s="76">
        <v>0</v>
      </c>
      <c r="AY123" s="76">
        <v>0</v>
      </c>
      <c r="AZ123" s="76">
        <v>0</v>
      </c>
      <c r="BA123" s="76">
        <v>0</v>
      </c>
      <c r="BB123" s="76">
        <v>0</v>
      </c>
      <c r="BC123" s="76">
        <v>0</v>
      </c>
      <c r="BD123" s="76">
        <v>0</v>
      </c>
      <c r="BE123" s="76">
        <v>0</v>
      </c>
      <c r="BF123" s="76">
        <v>0</v>
      </c>
      <c r="BG123" s="76">
        <v>0</v>
      </c>
      <c r="BH123" s="76">
        <v>0</v>
      </c>
      <c r="BI123" s="76">
        <v>0</v>
      </c>
      <c r="BJ123" s="76">
        <v>0</v>
      </c>
      <c r="BK123" s="76">
        <v>0</v>
      </c>
      <c r="BL123" s="76">
        <v>0</v>
      </c>
      <c r="BM123" s="76">
        <v>0</v>
      </c>
      <c r="BN123" s="76">
        <v>0</v>
      </c>
      <c r="BO123" s="76">
        <v>0</v>
      </c>
      <c r="BP123" s="76">
        <v>0</v>
      </c>
      <c r="BQ123" s="76">
        <v>0</v>
      </c>
      <c r="BR123" s="76">
        <v>0</v>
      </c>
      <c r="BS123" s="76">
        <v>0</v>
      </c>
      <c r="BT123" s="76">
        <v>0</v>
      </c>
      <c r="BU123" s="76">
        <v>0</v>
      </c>
      <c r="BV123" s="76">
        <v>0</v>
      </c>
      <c r="BW123" s="76">
        <v>0</v>
      </c>
      <c r="BX123" s="76">
        <v>0</v>
      </c>
      <c r="BY123" s="76">
        <v>0</v>
      </c>
      <c r="BZ123" s="76">
        <v>0</v>
      </c>
    </row>
    <row r="124" spans="1:78" x14ac:dyDescent="0.2">
      <c r="A124" s="62" t="s">
        <v>294</v>
      </c>
      <c r="B124" s="62" t="s">
        <v>23</v>
      </c>
      <c r="C124" s="62" t="s">
        <v>968</v>
      </c>
      <c r="D124" s="62" t="s">
        <v>231</v>
      </c>
      <c r="E124" s="76">
        <f>IF(B124="","",VLOOKUP(B124,dagsoorttabel1,2,FALSE))</f>
        <v>3.9215686274509803E-3</v>
      </c>
      <c r="F124" s="76">
        <v>1</v>
      </c>
      <c r="G124" s="76">
        <f>IF(prodnorm151&gt;0,1/ROUND(prodnorm151,4),0)</f>
        <v>0</v>
      </c>
      <c r="H124" s="66">
        <f>ROUND(uurtarief151,2)</f>
        <v>0</v>
      </c>
      <c r="I124" s="76">
        <v>60</v>
      </c>
      <c r="J124" s="76">
        <v>0</v>
      </c>
      <c r="K124" s="76">
        <v>0</v>
      </c>
      <c r="L124" s="76">
        <v>0</v>
      </c>
      <c r="M124" s="76">
        <v>0</v>
      </c>
      <c r="N124" s="76">
        <v>0</v>
      </c>
      <c r="O124" s="76">
        <v>0</v>
      </c>
      <c r="P124" s="76">
        <v>0</v>
      </c>
      <c r="Q124" s="76">
        <v>0</v>
      </c>
      <c r="R124" s="76">
        <v>0</v>
      </c>
      <c r="S124" s="76">
        <v>0</v>
      </c>
      <c r="T124" s="76">
        <v>0</v>
      </c>
      <c r="U124" s="76">
        <v>0</v>
      </c>
      <c r="V124" s="76">
        <v>0</v>
      </c>
      <c r="W124" s="76">
        <v>0</v>
      </c>
      <c r="X124" s="76">
        <v>0</v>
      </c>
      <c r="Y124" s="76">
        <v>0</v>
      </c>
      <c r="Z124" s="76">
        <v>0</v>
      </c>
      <c r="AA124" s="76">
        <v>0</v>
      </c>
      <c r="AB124" s="76">
        <v>0</v>
      </c>
      <c r="AC124" s="76">
        <v>0</v>
      </c>
      <c r="AD124" s="76">
        <v>0</v>
      </c>
      <c r="AE124" s="76">
        <v>0</v>
      </c>
      <c r="AF124" s="76">
        <v>0</v>
      </c>
      <c r="AG124" s="76">
        <v>0</v>
      </c>
      <c r="AH124" s="76">
        <v>0</v>
      </c>
      <c r="AI124" s="76">
        <v>0</v>
      </c>
      <c r="AJ124" s="76">
        <v>0</v>
      </c>
      <c r="AK124" s="76">
        <v>0</v>
      </c>
      <c r="AL124" s="76">
        <v>0</v>
      </c>
      <c r="AM124" s="76">
        <v>0</v>
      </c>
      <c r="AN124" s="76">
        <v>0</v>
      </c>
      <c r="AO124" s="76">
        <v>0</v>
      </c>
      <c r="AP124" s="76">
        <v>0</v>
      </c>
      <c r="AQ124" s="76">
        <v>0</v>
      </c>
      <c r="AR124" s="76">
        <v>0</v>
      </c>
      <c r="AS124" s="76">
        <v>0</v>
      </c>
      <c r="AT124" s="76">
        <v>0</v>
      </c>
      <c r="AU124" s="76">
        <v>0</v>
      </c>
      <c r="AV124" s="76">
        <v>0</v>
      </c>
      <c r="AW124" s="76">
        <v>0</v>
      </c>
      <c r="AX124" s="76">
        <v>0</v>
      </c>
      <c r="AY124" s="76">
        <v>0</v>
      </c>
      <c r="AZ124" s="76">
        <v>0</v>
      </c>
      <c r="BA124" s="76">
        <v>0</v>
      </c>
      <c r="BB124" s="76">
        <v>0</v>
      </c>
      <c r="BC124" s="76">
        <v>0</v>
      </c>
      <c r="BD124" s="76">
        <v>0</v>
      </c>
      <c r="BE124" s="76">
        <v>0</v>
      </c>
      <c r="BF124" s="76">
        <v>0</v>
      </c>
      <c r="BG124" s="76">
        <v>0</v>
      </c>
      <c r="BH124" s="76">
        <v>0</v>
      </c>
      <c r="BI124" s="76">
        <v>0</v>
      </c>
      <c r="BJ124" s="76">
        <v>0</v>
      </c>
      <c r="BK124" s="76">
        <v>0</v>
      </c>
      <c r="BL124" s="76">
        <v>0</v>
      </c>
      <c r="BM124" s="76">
        <v>0</v>
      </c>
      <c r="BN124" s="76">
        <v>0</v>
      </c>
      <c r="BO124" s="76">
        <v>0</v>
      </c>
      <c r="BP124" s="76">
        <v>0</v>
      </c>
      <c r="BQ124" s="76">
        <v>0</v>
      </c>
      <c r="BR124" s="76">
        <v>0</v>
      </c>
      <c r="BS124" s="76">
        <v>0</v>
      </c>
      <c r="BT124" s="76">
        <v>0</v>
      </c>
      <c r="BU124" s="76">
        <v>0</v>
      </c>
      <c r="BV124" s="76">
        <v>0</v>
      </c>
      <c r="BW124" s="76">
        <v>0</v>
      </c>
      <c r="BX124" s="76">
        <v>0</v>
      </c>
      <c r="BY124" s="76">
        <v>0</v>
      </c>
      <c r="BZ124" s="76">
        <v>0</v>
      </c>
    </row>
    <row r="125" spans="1:78" x14ac:dyDescent="0.2">
      <c r="A125" s="62" t="s">
        <v>296</v>
      </c>
      <c r="B125" s="62" t="s">
        <v>23</v>
      </c>
      <c r="C125" s="62" t="s">
        <v>968</v>
      </c>
      <c r="D125" s="62" t="s">
        <v>231</v>
      </c>
      <c r="E125" s="76">
        <f>IF(B125="","",VLOOKUP(B125,dagsoorttabel1,2,FALSE))</f>
        <v>3.9215686274509803E-3</v>
      </c>
      <c r="F125" s="76">
        <v>1</v>
      </c>
      <c r="G125" s="76">
        <f>IF(prodnorm152&gt;0,1/ROUND(prodnorm152,4),0)</f>
        <v>0</v>
      </c>
      <c r="H125" s="66">
        <f>ROUND(uurtarief152,2)</f>
        <v>0</v>
      </c>
      <c r="I125" s="76">
        <v>26.099999999999998</v>
      </c>
      <c r="J125" s="76">
        <v>0</v>
      </c>
      <c r="K125" s="76">
        <v>0</v>
      </c>
      <c r="L125" s="76">
        <v>0</v>
      </c>
      <c r="M125" s="76">
        <v>0</v>
      </c>
      <c r="N125" s="76">
        <v>0</v>
      </c>
      <c r="O125" s="76">
        <v>0</v>
      </c>
      <c r="P125" s="76">
        <v>0</v>
      </c>
      <c r="Q125" s="76">
        <v>0</v>
      </c>
      <c r="R125" s="76">
        <v>0</v>
      </c>
      <c r="S125" s="76">
        <v>0</v>
      </c>
      <c r="T125" s="76">
        <v>0</v>
      </c>
      <c r="U125" s="76">
        <v>0</v>
      </c>
      <c r="V125" s="76">
        <v>0</v>
      </c>
      <c r="W125" s="76">
        <v>0</v>
      </c>
      <c r="X125" s="76">
        <v>0</v>
      </c>
      <c r="Y125" s="76">
        <v>0</v>
      </c>
      <c r="Z125" s="76">
        <v>0</v>
      </c>
      <c r="AA125" s="76">
        <v>0</v>
      </c>
      <c r="AB125" s="76">
        <v>0</v>
      </c>
      <c r="AC125" s="76">
        <v>0</v>
      </c>
      <c r="AD125" s="76">
        <v>0</v>
      </c>
      <c r="AE125" s="76">
        <v>0</v>
      </c>
      <c r="AF125" s="76">
        <v>0</v>
      </c>
      <c r="AG125" s="76">
        <v>0</v>
      </c>
      <c r="AH125" s="76">
        <v>0</v>
      </c>
      <c r="AI125" s="76">
        <v>0</v>
      </c>
      <c r="AJ125" s="76">
        <v>0</v>
      </c>
      <c r="AK125" s="76">
        <v>0</v>
      </c>
      <c r="AL125" s="76">
        <v>0</v>
      </c>
      <c r="AM125" s="76">
        <v>0</v>
      </c>
      <c r="AN125" s="76">
        <v>0</v>
      </c>
      <c r="AO125" s="76">
        <v>0</v>
      </c>
      <c r="AP125" s="76">
        <v>0</v>
      </c>
      <c r="AQ125" s="76">
        <v>0</v>
      </c>
      <c r="AR125" s="76">
        <v>0</v>
      </c>
      <c r="AS125" s="76">
        <v>0</v>
      </c>
      <c r="AT125" s="76">
        <v>0</v>
      </c>
      <c r="AU125" s="76">
        <v>0</v>
      </c>
      <c r="AV125" s="76">
        <v>0</v>
      </c>
      <c r="AW125" s="76">
        <v>0</v>
      </c>
      <c r="AX125" s="76">
        <v>0</v>
      </c>
      <c r="AY125" s="76">
        <v>0</v>
      </c>
      <c r="AZ125" s="76">
        <v>0</v>
      </c>
      <c r="BA125" s="76">
        <v>0</v>
      </c>
      <c r="BB125" s="76">
        <v>0</v>
      </c>
      <c r="BC125" s="76">
        <v>0</v>
      </c>
      <c r="BD125" s="76">
        <v>0</v>
      </c>
      <c r="BE125" s="76">
        <v>0</v>
      </c>
      <c r="BF125" s="76">
        <v>0</v>
      </c>
      <c r="BG125" s="76">
        <v>0</v>
      </c>
      <c r="BH125" s="76">
        <v>0</v>
      </c>
      <c r="BI125" s="76">
        <v>0</v>
      </c>
      <c r="BJ125" s="76">
        <v>0</v>
      </c>
      <c r="BK125" s="76">
        <v>0</v>
      </c>
      <c r="BL125" s="76">
        <v>0</v>
      </c>
      <c r="BM125" s="76">
        <v>0</v>
      </c>
      <c r="BN125" s="76">
        <v>0</v>
      </c>
      <c r="BO125" s="76">
        <v>0</v>
      </c>
      <c r="BP125" s="76">
        <v>0</v>
      </c>
      <c r="BQ125" s="76">
        <v>0</v>
      </c>
      <c r="BR125" s="76">
        <v>0</v>
      </c>
      <c r="BS125" s="76">
        <v>0</v>
      </c>
      <c r="BT125" s="76">
        <v>0</v>
      </c>
      <c r="BU125" s="76">
        <v>0</v>
      </c>
      <c r="BV125" s="76">
        <v>0</v>
      </c>
      <c r="BW125" s="76">
        <v>0</v>
      </c>
      <c r="BX125" s="76">
        <v>0</v>
      </c>
      <c r="BY125" s="76">
        <v>0</v>
      </c>
      <c r="BZ125" s="76">
        <v>0</v>
      </c>
    </row>
    <row r="126" spans="1:78" x14ac:dyDescent="0.2">
      <c r="A126" s="62" t="s">
        <v>298</v>
      </c>
      <c r="B126" s="62" t="s">
        <v>13</v>
      </c>
      <c r="C126" s="62" t="s">
        <v>968</v>
      </c>
      <c r="D126" s="62" t="s">
        <v>299</v>
      </c>
      <c r="E126" s="76">
        <f>IF(B126="","",VLOOKUP(B126,dagsoorttabel1,2,FALSE))</f>
        <v>0.2</v>
      </c>
      <c r="F126" s="76">
        <v>1</v>
      </c>
      <c r="G126" s="76">
        <f>ROUND(prodnorm21,4)/60</f>
        <v>0</v>
      </c>
      <c r="H126" s="66">
        <f>ROUND(uurtarief21,2)</f>
        <v>0</v>
      </c>
      <c r="I126" s="76">
        <v>0</v>
      </c>
      <c r="J126" s="76">
        <v>0</v>
      </c>
      <c r="K126" s="76">
        <v>1</v>
      </c>
      <c r="L126" s="76">
        <v>0</v>
      </c>
      <c r="M126" s="76">
        <v>1</v>
      </c>
      <c r="N126" s="76">
        <v>0</v>
      </c>
      <c r="O126" s="76">
        <v>0</v>
      </c>
      <c r="P126" s="76">
        <v>0</v>
      </c>
      <c r="Q126" s="76">
        <v>0</v>
      </c>
      <c r="R126" s="76">
        <v>1</v>
      </c>
      <c r="S126" s="76">
        <v>1</v>
      </c>
      <c r="T126" s="76">
        <v>1</v>
      </c>
      <c r="U126" s="76">
        <v>0</v>
      </c>
      <c r="V126" s="76">
        <v>1</v>
      </c>
      <c r="W126" s="76">
        <v>0</v>
      </c>
      <c r="X126" s="76">
        <v>0</v>
      </c>
      <c r="Y126" s="76">
        <v>1</v>
      </c>
      <c r="Z126" s="76">
        <v>0</v>
      </c>
      <c r="AA126" s="76">
        <v>1</v>
      </c>
      <c r="AB126" s="76">
        <v>0</v>
      </c>
      <c r="AC126" s="76">
        <v>0</v>
      </c>
      <c r="AD126" s="76">
        <v>0</v>
      </c>
      <c r="AE126" s="76">
        <v>1</v>
      </c>
      <c r="AF126" s="76">
        <v>0</v>
      </c>
      <c r="AG126" s="76">
        <v>0</v>
      </c>
      <c r="AH126" s="76">
        <v>0</v>
      </c>
      <c r="AI126" s="76">
        <v>0</v>
      </c>
      <c r="AJ126" s="76">
        <v>0</v>
      </c>
      <c r="AK126" s="76">
        <v>0</v>
      </c>
      <c r="AL126" s="76">
        <v>0</v>
      </c>
      <c r="AM126" s="76">
        <v>0</v>
      </c>
      <c r="AN126" s="76">
        <v>0</v>
      </c>
      <c r="AO126" s="76">
        <v>0</v>
      </c>
      <c r="AP126" s="76">
        <v>1</v>
      </c>
      <c r="AQ126" s="76">
        <v>1</v>
      </c>
      <c r="AR126" s="76">
        <v>1</v>
      </c>
      <c r="AS126" s="76">
        <v>0</v>
      </c>
      <c r="AT126" s="76">
        <v>0</v>
      </c>
      <c r="AU126" s="76">
        <v>2</v>
      </c>
      <c r="AV126" s="76">
        <v>0</v>
      </c>
      <c r="AW126" s="76">
        <v>0</v>
      </c>
      <c r="AX126" s="76">
        <v>0</v>
      </c>
      <c r="AY126" s="76">
        <v>0</v>
      </c>
      <c r="AZ126" s="76">
        <v>0</v>
      </c>
      <c r="BA126" s="76">
        <v>0</v>
      </c>
      <c r="BB126" s="76">
        <v>0</v>
      </c>
      <c r="BC126" s="76">
        <v>0</v>
      </c>
      <c r="BD126" s="76">
        <v>0</v>
      </c>
      <c r="BE126" s="76">
        <v>0</v>
      </c>
      <c r="BF126" s="76">
        <v>0</v>
      </c>
      <c r="BG126" s="76">
        <v>0</v>
      </c>
      <c r="BH126" s="76">
        <v>0</v>
      </c>
      <c r="BI126" s="76">
        <v>0</v>
      </c>
      <c r="BJ126" s="76">
        <v>0</v>
      </c>
      <c r="BK126" s="76">
        <v>0</v>
      </c>
      <c r="BL126" s="76">
        <v>0</v>
      </c>
      <c r="BM126" s="76">
        <v>0</v>
      </c>
      <c r="BN126" s="76">
        <v>0</v>
      </c>
      <c r="BO126" s="76">
        <v>0</v>
      </c>
      <c r="BP126" s="76">
        <v>0</v>
      </c>
      <c r="BQ126" s="76">
        <v>0</v>
      </c>
      <c r="BR126" s="76">
        <v>0</v>
      </c>
      <c r="BS126" s="76">
        <v>0</v>
      </c>
      <c r="BT126" s="76">
        <v>0</v>
      </c>
      <c r="BU126" s="76">
        <v>0</v>
      </c>
      <c r="BV126" s="76">
        <v>0</v>
      </c>
      <c r="BW126" s="76">
        <v>0</v>
      </c>
      <c r="BX126" s="76">
        <v>0</v>
      </c>
      <c r="BY126" s="76">
        <v>0</v>
      </c>
      <c r="BZ126" s="76">
        <v>0</v>
      </c>
    </row>
    <row r="127" spans="1:78" x14ac:dyDescent="0.2">
      <c r="A127" s="62" t="s">
        <v>298</v>
      </c>
      <c r="B127" s="62" t="s">
        <v>12</v>
      </c>
      <c r="C127" s="62" t="s">
        <v>968</v>
      </c>
      <c r="D127" s="62" t="s">
        <v>299</v>
      </c>
      <c r="E127" s="76">
        <f>IF(B127="","",VLOOKUP(B127,dagsoorttabel1,2,FALSE))</f>
        <v>0.4</v>
      </c>
      <c r="F127" s="76">
        <v>1</v>
      </c>
      <c r="G127" s="76">
        <f>ROUND(prodnorm22,4)/60</f>
        <v>0</v>
      </c>
      <c r="H127" s="66">
        <f>ROUND(uurtarief22,2)</f>
        <v>0</v>
      </c>
      <c r="I127" s="76">
        <v>0</v>
      </c>
      <c r="J127" s="76">
        <v>0</v>
      </c>
      <c r="K127" s="76">
        <v>0</v>
      </c>
      <c r="L127" s="76">
        <v>2</v>
      </c>
      <c r="M127" s="76">
        <v>0</v>
      </c>
      <c r="N127" s="76">
        <v>0</v>
      </c>
      <c r="O127" s="76">
        <v>0</v>
      </c>
      <c r="P127" s="76">
        <v>0</v>
      </c>
      <c r="Q127" s="76">
        <v>0</v>
      </c>
      <c r="R127" s="76">
        <v>0</v>
      </c>
      <c r="S127" s="76">
        <v>0</v>
      </c>
      <c r="T127" s="76">
        <v>0</v>
      </c>
      <c r="U127" s="76">
        <v>0</v>
      </c>
      <c r="V127" s="76">
        <v>0</v>
      </c>
      <c r="W127" s="76">
        <v>0</v>
      </c>
      <c r="X127" s="76">
        <v>0</v>
      </c>
      <c r="Y127" s="76">
        <v>0</v>
      </c>
      <c r="Z127" s="76">
        <v>0</v>
      </c>
      <c r="AA127" s="76">
        <v>0</v>
      </c>
      <c r="AB127" s="76">
        <v>0</v>
      </c>
      <c r="AC127" s="76">
        <v>0</v>
      </c>
      <c r="AD127" s="76">
        <v>0</v>
      </c>
      <c r="AE127" s="76">
        <v>0</v>
      </c>
      <c r="AF127" s="76">
        <v>0</v>
      </c>
      <c r="AG127" s="76">
        <v>0</v>
      </c>
      <c r="AH127" s="76">
        <v>0</v>
      </c>
      <c r="AI127" s="76">
        <v>0</v>
      </c>
      <c r="AJ127" s="76">
        <v>0</v>
      </c>
      <c r="AK127" s="76">
        <v>0</v>
      </c>
      <c r="AL127" s="76">
        <v>0</v>
      </c>
      <c r="AM127" s="76">
        <v>0</v>
      </c>
      <c r="AN127" s="76">
        <v>0</v>
      </c>
      <c r="AO127" s="76">
        <v>0</v>
      </c>
      <c r="AP127" s="76">
        <v>0</v>
      </c>
      <c r="AQ127" s="76">
        <v>0</v>
      </c>
      <c r="AR127" s="76">
        <v>0</v>
      </c>
      <c r="AS127" s="76">
        <v>2</v>
      </c>
      <c r="AT127" s="76">
        <v>0</v>
      </c>
      <c r="AU127" s="76">
        <v>0</v>
      </c>
      <c r="AV127" s="76">
        <v>0</v>
      </c>
      <c r="AW127" s="76">
        <v>0</v>
      </c>
      <c r="AX127" s="76">
        <v>0</v>
      </c>
      <c r="AY127" s="76">
        <v>0</v>
      </c>
      <c r="AZ127" s="76">
        <v>0</v>
      </c>
      <c r="BA127" s="76">
        <v>0</v>
      </c>
      <c r="BB127" s="76">
        <v>0</v>
      </c>
      <c r="BC127" s="76">
        <v>0</v>
      </c>
      <c r="BD127" s="76">
        <v>0</v>
      </c>
      <c r="BE127" s="76">
        <v>0</v>
      </c>
      <c r="BF127" s="76">
        <v>0</v>
      </c>
      <c r="BG127" s="76">
        <v>0</v>
      </c>
      <c r="BH127" s="76">
        <v>0</v>
      </c>
      <c r="BI127" s="76">
        <v>0</v>
      </c>
      <c r="BJ127" s="76">
        <v>0</v>
      </c>
      <c r="BK127" s="76">
        <v>0</v>
      </c>
      <c r="BL127" s="76">
        <v>0</v>
      </c>
      <c r="BM127" s="76">
        <v>0</v>
      </c>
      <c r="BN127" s="76">
        <v>0</v>
      </c>
      <c r="BO127" s="76">
        <v>0</v>
      </c>
      <c r="BP127" s="76">
        <v>0</v>
      </c>
      <c r="BQ127" s="76">
        <v>0</v>
      </c>
      <c r="BR127" s="76">
        <v>0</v>
      </c>
      <c r="BS127" s="76">
        <v>0</v>
      </c>
      <c r="BT127" s="76">
        <v>0</v>
      </c>
      <c r="BU127" s="76">
        <v>0</v>
      </c>
      <c r="BV127" s="76">
        <v>0</v>
      </c>
      <c r="BW127" s="76">
        <v>0</v>
      </c>
      <c r="BX127" s="76">
        <v>0</v>
      </c>
      <c r="BY127" s="76">
        <v>0</v>
      </c>
      <c r="BZ127" s="76">
        <v>0</v>
      </c>
    </row>
    <row r="128" spans="1:78" x14ac:dyDescent="0.2">
      <c r="A128" s="62" t="s">
        <v>302</v>
      </c>
      <c r="B128" s="62" t="s">
        <v>15</v>
      </c>
      <c r="C128" s="62" t="s">
        <v>968</v>
      </c>
      <c r="D128" s="62" t="s">
        <v>299</v>
      </c>
      <c r="E128" s="76">
        <f>IF(B128="","",VLOOKUP(B128,dagsoorttabel1,2,FALSE))</f>
        <v>4.7058823529411764E-2</v>
      </c>
      <c r="F128" s="76">
        <v>1</v>
      </c>
      <c r="G128" s="76">
        <f>ROUND(prodnorm24,4)/60</f>
        <v>0</v>
      </c>
      <c r="H128" s="66">
        <f>ROUND(uurtarief24,2)</f>
        <v>0</v>
      </c>
      <c r="I128" s="76">
        <v>6</v>
      </c>
      <c r="J128" s="76">
        <v>0</v>
      </c>
      <c r="K128" s="76">
        <v>1</v>
      </c>
      <c r="L128" s="76">
        <v>1</v>
      </c>
      <c r="M128" s="76">
        <v>1</v>
      </c>
      <c r="N128" s="76">
        <v>0</v>
      </c>
      <c r="O128" s="76">
        <v>0</v>
      </c>
      <c r="P128" s="76">
        <v>0</v>
      </c>
      <c r="Q128" s="76">
        <v>1</v>
      </c>
      <c r="R128" s="76">
        <v>1</v>
      </c>
      <c r="S128" s="76">
        <v>1</v>
      </c>
      <c r="T128" s="76">
        <v>1</v>
      </c>
      <c r="U128" s="76">
        <v>1</v>
      </c>
      <c r="V128" s="76">
        <v>1</v>
      </c>
      <c r="W128" s="76">
        <v>1</v>
      </c>
      <c r="X128" s="76">
        <v>0</v>
      </c>
      <c r="Y128" s="76">
        <v>1</v>
      </c>
      <c r="Z128" s="76">
        <v>1</v>
      </c>
      <c r="AA128" s="76">
        <v>1</v>
      </c>
      <c r="AB128" s="76">
        <v>1</v>
      </c>
      <c r="AC128" s="76">
        <v>1</v>
      </c>
      <c r="AD128" s="76">
        <v>1</v>
      </c>
      <c r="AE128" s="76">
        <v>0</v>
      </c>
      <c r="AF128" s="76">
        <v>0</v>
      </c>
      <c r="AG128" s="76">
        <v>0</v>
      </c>
      <c r="AH128" s="76">
        <v>0</v>
      </c>
      <c r="AI128" s="76">
        <v>0</v>
      </c>
      <c r="AJ128" s="76">
        <v>0</v>
      </c>
      <c r="AK128" s="76">
        <v>0</v>
      </c>
      <c r="AL128" s="76">
        <v>0</v>
      </c>
      <c r="AM128" s="76">
        <v>0</v>
      </c>
      <c r="AN128" s="76">
        <v>0</v>
      </c>
      <c r="AO128" s="76">
        <v>0</v>
      </c>
      <c r="AP128" s="76">
        <v>1</v>
      </c>
      <c r="AQ128" s="76">
        <v>0</v>
      </c>
      <c r="AR128" s="76">
        <v>0</v>
      </c>
      <c r="AS128" s="76">
        <v>1</v>
      </c>
      <c r="AT128" s="76">
        <v>0</v>
      </c>
      <c r="AU128" s="76">
        <v>1</v>
      </c>
      <c r="AV128" s="76">
        <v>0</v>
      </c>
      <c r="AW128" s="76">
        <v>0</v>
      </c>
      <c r="AX128" s="76">
        <v>0</v>
      </c>
      <c r="AY128" s="76">
        <v>0</v>
      </c>
      <c r="AZ128" s="76">
        <v>0</v>
      </c>
      <c r="BA128" s="76">
        <v>0</v>
      </c>
      <c r="BB128" s="76">
        <v>0</v>
      </c>
      <c r="BC128" s="76">
        <v>0</v>
      </c>
      <c r="BD128" s="76">
        <v>0</v>
      </c>
      <c r="BE128" s="76">
        <v>0</v>
      </c>
      <c r="BF128" s="76">
        <v>0</v>
      </c>
      <c r="BG128" s="76">
        <v>0</v>
      </c>
      <c r="BH128" s="76">
        <v>0</v>
      </c>
      <c r="BI128" s="76">
        <v>0</v>
      </c>
      <c r="BJ128" s="76">
        <v>0</v>
      </c>
      <c r="BK128" s="76">
        <v>0</v>
      </c>
      <c r="BL128" s="76">
        <v>0</v>
      </c>
      <c r="BM128" s="76">
        <v>0</v>
      </c>
      <c r="BN128" s="76">
        <v>0</v>
      </c>
      <c r="BO128" s="76">
        <v>0</v>
      </c>
      <c r="BP128" s="76">
        <v>0</v>
      </c>
      <c r="BQ128" s="76">
        <v>0</v>
      </c>
      <c r="BR128" s="76">
        <v>0</v>
      </c>
      <c r="BS128" s="76">
        <v>0</v>
      </c>
      <c r="BT128" s="76">
        <v>0</v>
      </c>
      <c r="BU128" s="76">
        <v>0</v>
      </c>
      <c r="BV128" s="76">
        <v>0</v>
      </c>
      <c r="BW128" s="76">
        <v>0</v>
      </c>
      <c r="BX128" s="76">
        <v>0</v>
      </c>
      <c r="BY128" s="76">
        <v>0</v>
      </c>
      <c r="BZ128" s="76">
        <v>0</v>
      </c>
    </row>
    <row r="129" spans="1:78" x14ac:dyDescent="0.2">
      <c r="A129" s="62" t="s">
        <v>304</v>
      </c>
      <c r="B129" s="62" t="s">
        <v>13</v>
      </c>
      <c r="C129" s="62" t="s">
        <v>968</v>
      </c>
      <c r="D129" s="62" t="s">
        <v>299</v>
      </c>
      <c r="E129" s="76">
        <f>IF(B129="","",VLOOKUP(B129,dagsoorttabel1,2,FALSE))</f>
        <v>0.2</v>
      </c>
      <c r="F129" s="76">
        <v>1</v>
      </c>
      <c r="G129" s="76">
        <f>ROUND(prodnorm25,4)/60</f>
        <v>0</v>
      </c>
      <c r="H129" s="66">
        <f>ROUND(uurtarief25,2)</f>
        <v>0</v>
      </c>
      <c r="I129" s="76">
        <v>0</v>
      </c>
      <c r="J129" s="76">
        <v>0</v>
      </c>
      <c r="K129" s="76">
        <v>0</v>
      </c>
      <c r="L129" s="76">
        <v>0</v>
      </c>
      <c r="M129" s="76">
        <v>0</v>
      </c>
      <c r="N129" s="76">
        <v>0</v>
      </c>
      <c r="O129" s="76">
        <v>0</v>
      </c>
      <c r="P129" s="76">
        <v>0</v>
      </c>
      <c r="Q129" s="76">
        <v>0</v>
      </c>
      <c r="R129" s="76">
        <v>0</v>
      </c>
      <c r="S129" s="76">
        <v>1</v>
      </c>
      <c r="T129" s="76">
        <v>0</v>
      </c>
      <c r="U129" s="76">
        <v>1</v>
      </c>
      <c r="V129" s="76">
        <v>0</v>
      </c>
      <c r="W129" s="76">
        <v>0</v>
      </c>
      <c r="X129" s="76">
        <v>0</v>
      </c>
      <c r="Y129" s="76">
        <v>0</v>
      </c>
      <c r="Z129" s="76">
        <v>0</v>
      </c>
      <c r="AA129" s="76">
        <v>0</v>
      </c>
      <c r="AB129" s="76">
        <v>0</v>
      </c>
      <c r="AC129" s="76">
        <v>0</v>
      </c>
      <c r="AD129" s="76">
        <v>0</v>
      </c>
      <c r="AE129" s="76">
        <v>0</v>
      </c>
      <c r="AF129" s="76">
        <v>0</v>
      </c>
      <c r="AG129" s="76">
        <v>0</v>
      </c>
      <c r="AH129" s="76">
        <v>0</v>
      </c>
      <c r="AI129" s="76">
        <v>0</v>
      </c>
      <c r="AJ129" s="76">
        <v>0</v>
      </c>
      <c r="AK129" s="76">
        <v>0</v>
      </c>
      <c r="AL129" s="76">
        <v>0</v>
      </c>
      <c r="AM129" s="76">
        <v>0</v>
      </c>
      <c r="AN129" s="76">
        <v>0</v>
      </c>
      <c r="AO129" s="76">
        <v>0</v>
      </c>
      <c r="AP129" s="76">
        <v>1</v>
      </c>
      <c r="AQ129" s="76">
        <v>0</v>
      </c>
      <c r="AR129" s="76">
        <v>0</v>
      </c>
      <c r="AS129" s="76">
        <v>0</v>
      </c>
      <c r="AT129" s="76">
        <v>0</v>
      </c>
      <c r="AU129" s="76">
        <v>1</v>
      </c>
      <c r="AV129" s="76">
        <v>0</v>
      </c>
      <c r="AW129" s="76">
        <v>0</v>
      </c>
      <c r="AX129" s="76">
        <v>0</v>
      </c>
      <c r="AY129" s="76">
        <v>0</v>
      </c>
      <c r="AZ129" s="76">
        <v>0</v>
      </c>
      <c r="BA129" s="76">
        <v>0</v>
      </c>
      <c r="BB129" s="76">
        <v>0</v>
      </c>
      <c r="BC129" s="76">
        <v>0</v>
      </c>
      <c r="BD129" s="76">
        <v>0</v>
      </c>
      <c r="BE129" s="76">
        <v>0</v>
      </c>
      <c r="BF129" s="76">
        <v>0</v>
      </c>
      <c r="BG129" s="76">
        <v>0</v>
      </c>
      <c r="BH129" s="76">
        <v>0</v>
      </c>
      <c r="BI129" s="76">
        <v>0</v>
      </c>
      <c r="BJ129" s="76">
        <v>0</v>
      </c>
      <c r="BK129" s="76">
        <v>0</v>
      </c>
      <c r="BL129" s="76">
        <v>0</v>
      </c>
      <c r="BM129" s="76">
        <v>0</v>
      </c>
      <c r="BN129" s="76">
        <v>0</v>
      </c>
      <c r="BO129" s="76">
        <v>0</v>
      </c>
      <c r="BP129" s="76">
        <v>0</v>
      </c>
      <c r="BQ129" s="76">
        <v>0</v>
      </c>
      <c r="BR129" s="76">
        <v>0</v>
      </c>
      <c r="BS129" s="76">
        <v>0</v>
      </c>
      <c r="BT129" s="76">
        <v>0</v>
      </c>
      <c r="BU129" s="76">
        <v>0</v>
      </c>
      <c r="BV129" s="76">
        <v>0</v>
      </c>
      <c r="BW129" s="76">
        <v>0</v>
      </c>
      <c r="BX129" s="76">
        <v>0</v>
      </c>
      <c r="BY129" s="76">
        <v>0</v>
      </c>
      <c r="BZ129" s="76">
        <v>0</v>
      </c>
    </row>
    <row r="130" spans="1:78" x14ac:dyDescent="0.2">
      <c r="A130" s="62" t="s">
        <v>306</v>
      </c>
      <c r="B130" s="62" t="s">
        <v>13</v>
      </c>
      <c r="C130" s="62" t="s">
        <v>968</v>
      </c>
      <c r="D130" s="62" t="s">
        <v>299</v>
      </c>
      <c r="E130" s="76">
        <f>IF(B130="","",VLOOKUP(B130,dagsoorttabel1,2,FALSE))</f>
        <v>0.2</v>
      </c>
      <c r="F130" s="76">
        <v>1</v>
      </c>
      <c r="G130" s="76">
        <f>IF(prodnorm26&gt;0,1/ROUND(prodnorm26,4),0)</f>
        <v>0</v>
      </c>
      <c r="H130" s="66">
        <f>ROUND(uurtarief26,2)</f>
        <v>0</v>
      </c>
      <c r="I130" s="76">
        <v>0</v>
      </c>
      <c r="J130" s="76">
        <v>0</v>
      </c>
      <c r="K130" s="76">
        <v>0</v>
      </c>
      <c r="L130" s="76">
        <v>0</v>
      </c>
      <c r="M130" s="76">
        <v>0</v>
      </c>
      <c r="N130" s="76">
        <v>0</v>
      </c>
      <c r="O130" s="76">
        <v>0</v>
      </c>
      <c r="P130" s="76">
        <v>0</v>
      </c>
      <c r="Q130" s="76">
        <v>0</v>
      </c>
      <c r="R130" s="76">
        <v>0</v>
      </c>
      <c r="S130" s="76">
        <v>0</v>
      </c>
      <c r="T130" s="76">
        <v>0</v>
      </c>
      <c r="U130" s="76">
        <v>0</v>
      </c>
      <c r="V130" s="76">
        <v>0</v>
      </c>
      <c r="W130" s="76">
        <v>0</v>
      </c>
      <c r="X130" s="76">
        <v>0</v>
      </c>
      <c r="Y130" s="76">
        <v>0</v>
      </c>
      <c r="Z130" s="76">
        <v>0</v>
      </c>
      <c r="AA130" s="76">
        <v>0</v>
      </c>
      <c r="AB130" s="76">
        <v>0</v>
      </c>
      <c r="AC130" s="76">
        <v>0</v>
      </c>
      <c r="AD130" s="76">
        <v>33.200000000000003</v>
      </c>
      <c r="AE130" s="76">
        <v>0</v>
      </c>
      <c r="AF130" s="76">
        <v>0</v>
      </c>
      <c r="AG130" s="76">
        <v>0</v>
      </c>
      <c r="AH130" s="76">
        <v>0</v>
      </c>
      <c r="AI130" s="76">
        <v>0</v>
      </c>
      <c r="AJ130" s="76">
        <v>0</v>
      </c>
      <c r="AK130" s="76">
        <v>0</v>
      </c>
      <c r="AL130" s="76">
        <v>0</v>
      </c>
      <c r="AM130" s="76">
        <v>0</v>
      </c>
      <c r="AN130" s="76">
        <v>0</v>
      </c>
      <c r="AO130" s="76">
        <v>0</v>
      </c>
      <c r="AP130" s="76">
        <v>0</v>
      </c>
      <c r="AQ130" s="76">
        <v>0</v>
      </c>
      <c r="AR130" s="76">
        <v>0</v>
      </c>
      <c r="AS130" s="76">
        <v>0</v>
      </c>
      <c r="AT130" s="76">
        <v>0</v>
      </c>
      <c r="AU130" s="76">
        <v>0</v>
      </c>
      <c r="AV130" s="76">
        <v>0</v>
      </c>
      <c r="AW130" s="76">
        <v>0</v>
      </c>
      <c r="AX130" s="76">
        <v>0</v>
      </c>
      <c r="AY130" s="76">
        <v>0</v>
      </c>
      <c r="AZ130" s="76">
        <v>0</v>
      </c>
      <c r="BA130" s="76">
        <v>0</v>
      </c>
      <c r="BB130" s="76">
        <v>0</v>
      </c>
      <c r="BC130" s="76">
        <v>0</v>
      </c>
      <c r="BD130" s="76">
        <v>0</v>
      </c>
      <c r="BE130" s="76">
        <v>0</v>
      </c>
      <c r="BF130" s="76">
        <v>0</v>
      </c>
      <c r="BG130" s="76">
        <v>0</v>
      </c>
      <c r="BH130" s="76">
        <v>0</v>
      </c>
      <c r="BI130" s="76">
        <v>0</v>
      </c>
      <c r="BJ130" s="76">
        <v>0</v>
      </c>
      <c r="BK130" s="76">
        <v>0</v>
      </c>
      <c r="BL130" s="76">
        <v>0</v>
      </c>
      <c r="BM130" s="76">
        <v>0</v>
      </c>
      <c r="BN130" s="76">
        <v>0</v>
      </c>
      <c r="BO130" s="76">
        <v>0</v>
      </c>
      <c r="BP130" s="76">
        <v>0</v>
      </c>
      <c r="BQ130" s="76">
        <v>0</v>
      </c>
      <c r="BR130" s="76">
        <v>0</v>
      </c>
      <c r="BS130" s="76">
        <v>0</v>
      </c>
      <c r="BT130" s="76">
        <v>0</v>
      </c>
      <c r="BU130" s="76">
        <v>0</v>
      </c>
      <c r="BV130" s="76">
        <v>0</v>
      </c>
      <c r="BW130" s="76">
        <v>0</v>
      </c>
      <c r="BX130" s="76">
        <v>0</v>
      </c>
      <c r="BY130" s="76">
        <v>0</v>
      </c>
      <c r="BZ130" s="76">
        <v>0</v>
      </c>
    </row>
    <row r="131" spans="1:78" x14ac:dyDescent="0.2">
      <c r="A131" s="62" t="s">
        <v>306</v>
      </c>
      <c r="B131" s="62" t="s">
        <v>14</v>
      </c>
      <c r="C131" s="62" t="s">
        <v>968</v>
      </c>
      <c r="D131" s="62" t="s">
        <v>299</v>
      </c>
      <c r="E131" s="76">
        <f>IF(B131="","",VLOOKUP(B131,dagsoorttabel1,2,FALSE))</f>
        <v>0.10196078431372549</v>
      </c>
      <c r="F131" s="76">
        <v>1</v>
      </c>
      <c r="G131" s="76">
        <f>IF(prodnorm27&gt;0,1/ROUND(prodnorm27,4),0)</f>
        <v>0</v>
      </c>
      <c r="H131" s="66">
        <f>ROUND(uurtarief27,2)</f>
        <v>0</v>
      </c>
      <c r="I131" s="76">
        <v>0</v>
      </c>
      <c r="J131" s="76">
        <v>0</v>
      </c>
      <c r="K131" s="76">
        <v>0</v>
      </c>
      <c r="L131" s="76">
        <v>0</v>
      </c>
      <c r="M131" s="76">
        <v>0</v>
      </c>
      <c r="N131" s="76">
        <v>0</v>
      </c>
      <c r="O131" s="76">
        <v>0</v>
      </c>
      <c r="P131" s="76">
        <v>0</v>
      </c>
      <c r="Q131" s="76">
        <v>0</v>
      </c>
      <c r="R131" s="76">
        <v>0</v>
      </c>
      <c r="S131" s="76">
        <v>0</v>
      </c>
      <c r="T131" s="76">
        <v>0</v>
      </c>
      <c r="U131" s="76">
        <v>0</v>
      </c>
      <c r="V131" s="76">
        <v>0</v>
      </c>
      <c r="W131" s="76">
        <v>0</v>
      </c>
      <c r="X131" s="76">
        <v>0</v>
      </c>
      <c r="Y131" s="76">
        <v>0</v>
      </c>
      <c r="Z131" s="76">
        <v>0</v>
      </c>
      <c r="AA131" s="76">
        <v>0</v>
      </c>
      <c r="AB131" s="76">
        <v>0</v>
      </c>
      <c r="AC131" s="76">
        <v>0</v>
      </c>
      <c r="AD131" s="76">
        <v>0</v>
      </c>
      <c r="AE131" s="76">
        <v>0</v>
      </c>
      <c r="AF131" s="76">
        <v>0</v>
      </c>
      <c r="AG131" s="76">
        <v>0</v>
      </c>
      <c r="AH131" s="76">
        <v>0</v>
      </c>
      <c r="AI131" s="76">
        <v>0</v>
      </c>
      <c r="AJ131" s="76">
        <v>0</v>
      </c>
      <c r="AK131" s="76">
        <v>0</v>
      </c>
      <c r="AL131" s="76">
        <v>0</v>
      </c>
      <c r="AM131" s="76">
        <v>0</v>
      </c>
      <c r="AN131" s="76">
        <v>0</v>
      </c>
      <c r="AO131" s="76">
        <v>26</v>
      </c>
      <c r="AP131" s="76">
        <v>0</v>
      </c>
      <c r="AQ131" s="76">
        <v>0</v>
      </c>
      <c r="AR131" s="76">
        <v>0</v>
      </c>
      <c r="AS131" s="76">
        <v>0</v>
      </c>
      <c r="AT131" s="76">
        <v>0</v>
      </c>
      <c r="AU131" s="76">
        <v>0</v>
      </c>
      <c r="AV131" s="76">
        <v>0</v>
      </c>
      <c r="AW131" s="76">
        <v>0</v>
      </c>
      <c r="AX131" s="76">
        <v>0</v>
      </c>
      <c r="AY131" s="76">
        <v>0</v>
      </c>
      <c r="AZ131" s="76">
        <v>0</v>
      </c>
      <c r="BA131" s="76">
        <v>0</v>
      </c>
      <c r="BB131" s="76">
        <v>0</v>
      </c>
      <c r="BC131" s="76">
        <v>0</v>
      </c>
      <c r="BD131" s="76">
        <v>0</v>
      </c>
      <c r="BE131" s="76">
        <v>0</v>
      </c>
      <c r="BF131" s="76">
        <v>0</v>
      </c>
      <c r="BG131" s="76">
        <v>0</v>
      </c>
      <c r="BH131" s="76">
        <v>0</v>
      </c>
      <c r="BI131" s="76">
        <v>0</v>
      </c>
      <c r="BJ131" s="76">
        <v>0</v>
      </c>
      <c r="BK131" s="76">
        <v>0</v>
      </c>
      <c r="BL131" s="76">
        <v>0</v>
      </c>
      <c r="BM131" s="76">
        <v>0</v>
      </c>
      <c r="BN131" s="76">
        <v>0</v>
      </c>
      <c r="BO131" s="76">
        <v>0</v>
      </c>
      <c r="BP131" s="76">
        <v>0</v>
      </c>
      <c r="BQ131" s="76">
        <v>0</v>
      </c>
      <c r="BR131" s="76">
        <v>0</v>
      </c>
      <c r="BS131" s="76">
        <v>0</v>
      </c>
      <c r="BT131" s="76">
        <v>0</v>
      </c>
      <c r="BU131" s="76">
        <v>0</v>
      </c>
      <c r="BV131" s="76">
        <v>0</v>
      </c>
      <c r="BW131" s="76">
        <v>0</v>
      </c>
      <c r="BX131" s="76">
        <v>0</v>
      </c>
      <c r="BY131" s="76">
        <v>0</v>
      </c>
      <c r="BZ131" s="76">
        <v>0</v>
      </c>
    </row>
    <row r="132" spans="1:78" x14ac:dyDescent="0.2">
      <c r="A132" s="62" t="s">
        <v>306</v>
      </c>
      <c r="B132" s="62" t="s">
        <v>22</v>
      </c>
      <c r="C132" s="62" t="s">
        <v>968</v>
      </c>
      <c r="D132" s="62" t="s">
        <v>299</v>
      </c>
      <c r="E132" s="76">
        <f>IF(B132="","",VLOOKUP(B132,dagsoorttabel1,2,FALSE))</f>
        <v>7.8431372549019607E-3</v>
      </c>
      <c r="F132" s="76">
        <v>1</v>
      </c>
      <c r="G132" s="76">
        <f>IF(prodnorm28&gt;0,1/ROUND(prodnorm28,4),0)</f>
        <v>0</v>
      </c>
      <c r="H132" s="66">
        <f>ROUND(uurtarief28,2)</f>
        <v>0</v>
      </c>
      <c r="I132" s="76">
        <v>0</v>
      </c>
      <c r="J132" s="76">
        <v>0</v>
      </c>
      <c r="K132" s="76">
        <v>0</v>
      </c>
      <c r="L132" s="76">
        <v>0</v>
      </c>
      <c r="M132" s="76">
        <v>0</v>
      </c>
      <c r="N132" s="76">
        <v>0</v>
      </c>
      <c r="O132" s="76">
        <v>0</v>
      </c>
      <c r="P132" s="76">
        <v>0</v>
      </c>
      <c r="Q132" s="76">
        <v>0</v>
      </c>
      <c r="R132" s="76">
        <v>0</v>
      </c>
      <c r="S132" s="76">
        <v>0</v>
      </c>
      <c r="T132" s="76">
        <v>0</v>
      </c>
      <c r="U132" s="76">
        <v>0</v>
      </c>
      <c r="V132" s="76">
        <v>0</v>
      </c>
      <c r="W132" s="76">
        <v>0</v>
      </c>
      <c r="X132" s="76">
        <v>0</v>
      </c>
      <c r="Y132" s="76">
        <v>0</v>
      </c>
      <c r="Z132" s="76">
        <v>0</v>
      </c>
      <c r="AA132" s="76">
        <v>0</v>
      </c>
      <c r="AB132" s="76">
        <v>0</v>
      </c>
      <c r="AC132" s="76">
        <v>0</v>
      </c>
      <c r="AD132" s="76">
        <v>0</v>
      </c>
      <c r="AE132" s="76">
        <v>0</v>
      </c>
      <c r="AF132" s="76">
        <v>0</v>
      </c>
      <c r="AG132" s="76">
        <v>0</v>
      </c>
      <c r="AH132" s="76">
        <v>0</v>
      </c>
      <c r="AI132" s="76">
        <v>0</v>
      </c>
      <c r="AJ132" s="76">
        <v>0</v>
      </c>
      <c r="AK132" s="76">
        <v>0</v>
      </c>
      <c r="AL132" s="76">
        <v>0</v>
      </c>
      <c r="AM132" s="76">
        <v>0</v>
      </c>
      <c r="AN132" s="76">
        <v>0</v>
      </c>
      <c r="AO132" s="76">
        <v>0</v>
      </c>
      <c r="AP132" s="76">
        <v>0</v>
      </c>
      <c r="AQ132" s="76">
        <v>0</v>
      </c>
      <c r="AR132" s="76">
        <v>0</v>
      </c>
      <c r="AS132" s="76">
        <v>0</v>
      </c>
      <c r="AT132" s="76">
        <v>0</v>
      </c>
      <c r="AU132" s="76">
        <v>0</v>
      </c>
      <c r="AV132" s="76">
        <v>4.5999999999999996</v>
      </c>
      <c r="AW132" s="76">
        <v>33.5</v>
      </c>
      <c r="AX132" s="76">
        <v>36.1</v>
      </c>
      <c r="AY132" s="76">
        <v>36.799999999999997</v>
      </c>
      <c r="AZ132" s="76">
        <v>10.7</v>
      </c>
      <c r="BA132" s="76">
        <v>8.8000000000000007</v>
      </c>
      <c r="BB132" s="76">
        <v>11.7</v>
      </c>
      <c r="BC132" s="76">
        <v>5.4</v>
      </c>
      <c r="BD132" s="76">
        <v>0</v>
      </c>
      <c r="BE132" s="76">
        <v>10</v>
      </c>
      <c r="BF132" s="76">
        <v>4.0999999999999996</v>
      </c>
      <c r="BG132" s="76">
        <v>20.399999999999999</v>
      </c>
      <c r="BH132" s="76">
        <v>16.8</v>
      </c>
      <c r="BI132" s="76">
        <v>4.5999999999999996</v>
      </c>
      <c r="BJ132" s="76">
        <v>11.2</v>
      </c>
      <c r="BK132" s="76">
        <v>20.100000000000001</v>
      </c>
      <c r="BL132" s="76">
        <v>19</v>
      </c>
      <c r="BM132" s="76">
        <v>7.4</v>
      </c>
      <c r="BN132" s="76">
        <v>10.7</v>
      </c>
      <c r="BO132" s="76">
        <v>19.7</v>
      </c>
      <c r="BP132" s="76">
        <v>30.8</v>
      </c>
      <c r="BQ132" s="76">
        <v>39.1</v>
      </c>
      <c r="BR132" s="76">
        <v>11.2</v>
      </c>
      <c r="BS132" s="76">
        <v>9.1</v>
      </c>
      <c r="BT132" s="76">
        <v>40.1</v>
      </c>
      <c r="BU132" s="76">
        <v>22.1</v>
      </c>
      <c r="BV132" s="76">
        <v>0</v>
      </c>
      <c r="BW132" s="76">
        <v>5.4</v>
      </c>
      <c r="BX132" s="76">
        <v>3.6</v>
      </c>
      <c r="BY132" s="76">
        <v>3</v>
      </c>
      <c r="BZ132" s="76">
        <v>7.4</v>
      </c>
    </row>
    <row r="133" spans="1:78" x14ac:dyDescent="0.2">
      <c r="A133" s="62" t="s">
        <v>306</v>
      </c>
      <c r="B133" s="62" t="s">
        <v>11</v>
      </c>
      <c r="C133" s="62" t="s">
        <v>968</v>
      </c>
      <c r="D133" s="62" t="s">
        <v>299</v>
      </c>
      <c r="E133" s="76">
        <f>IF(B133="","",VLOOKUP(B133,dagsoorttabel1,2,FALSE))</f>
        <v>0.6</v>
      </c>
      <c r="F133" s="76">
        <v>1</v>
      </c>
      <c r="G133" s="76">
        <f>IF(prodnorm29&gt;0,1/ROUND(prodnorm29,4),0)</f>
        <v>0</v>
      </c>
      <c r="H133" s="66">
        <f>ROUND(uurtarief29,2)</f>
        <v>0</v>
      </c>
      <c r="I133" s="76">
        <v>0</v>
      </c>
      <c r="J133" s="76">
        <v>0</v>
      </c>
      <c r="K133" s="76">
        <v>0</v>
      </c>
      <c r="L133" s="76">
        <v>0</v>
      </c>
      <c r="M133" s="76">
        <v>0</v>
      </c>
      <c r="N133" s="76">
        <v>0</v>
      </c>
      <c r="O133" s="76">
        <v>0</v>
      </c>
      <c r="P133" s="76">
        <v>0</v>
      </c>
      <c r="Q133" s="76">
        <v>0</v>
      </c>
      <c r="R133" s="76">
        <v>0</v>
      </c>
      <c r="S133" s="76">
        <v>0</v>
      </c>
      <c r="T133" s="76">
        <v>0</v>
      </c>
      <c r="U133" s="76">
        <v>0</v>
      </c>
      <c r="V133" s="76">
        <v>0</v>
      </c>
      <c r="W133" s="76">
        <v>0</v>
      </c>
      <c r="X133" s="76">
        <v>0</v>
      </c>
      <c r="Y133" s="76">
        <v>0</v>
      </c>
      <c r="Z133" s="76">
        <v>86.7</v>
      </c>
      <c r="AA133" s="76">
        <v>0</v>
      </c>
      <c r="AB133" s="76">
        <v>0</v>
      </c>
      <c r="AC133" s="76">
        <v>146.1</v>
      </c>
      <c r="AD133" s="76">
        <v>0</v>
      </c>
      <c r="AE133" s="76">
        <v>0</v>
      </c>
      <c r="AF133" s="76">
        <v>0</v>
      </c>
      <c r="AG133" s="76">
        <v>0</v>
      </c>
      <c r="AH133" s="76">
        <v>0</v>
      </c>
      <c r="AI133" s="76">
        <v>0</v>
      </c>
      <c r="AJ133" s="76">
        <v>0</v>
      </c>
      <c r="AK133" s="76">
        <v>0</v>
      </c>
      <c r="AL133" s="76">
        <v>0</v>
      </c>
      <c r="AM133" s="76">
        <v>0</v>
      </c>
      <c r="AN133" s="76">
        <v>0</v>
      </c>
      <c r="AO133" s="76">
        <v>0</v>
      </c>
      <c r="AP133" s="76">
        <v>0</v>
      </c>
      <c r="AQ133" s="76">
        <v>0</v>
      </c>
      <c r="AR133" s="76">
        <v>0</v>
      </c>
      <c r="AS133" s="76">
        <v>0</v>
      </c>
      <c r="AT133" s="76">
        <v>0</v>
      </c>
      <c r="AU133" s="76">
        <v>0</v>
      </c>
      <c r="AV133" s="76">
        <v>0</v>
      </c>
      <c r="AW133" s="76">
        <v>0</v>
      </c>
      <c r="AX133" s="76">
        <v>0</v>
      </c>
      <c r="AY133" s="76">
        <v>0</v>
      </c>
      <c r="AZ133" s="76">
        <v>0</v>
      </c>
      <c r="BA133" s="76">
        <v>0</v>
      </c>
      <c r="BB133" s="76">
        <v>0</v>
      </c>
      <c r="BC133" s="76">
        <v>0</v>
      </c>
      <c r="BD133" s="76">
        <v>0</v>
      </c>
      <c r="BE133" s="76">
        <v>0</v>
      </c>
      <c r="BF133" s="76">
        <v>0</v>
      </c>
      <c r="BG133" s="76">
        <v>0</v>
      </c>
      <c r="BH133" s="76">
        <v>0</v>
      </c>
      <c r="BI133" s="76">
        <v>0</v>
      </c>
      <c r="BJ133" s="76">
        <v>0</v>
      </c>
      <c r="BK133" s="76">
        <v>0</v>
      </c>
      <c r="BL133" s="76">
        <v>0</v>
      </c>
      <c r="BM133" s="76">
        <v>0</v>
      </c>
      <c r="BN133" s="76">
        <v>0</v>
      </c>
      <c r="BO133" s="76">
        <v>0</v>
      </c>
      <c r="BP133" s="76">
        <v>0</v>
      </c>
      <c r="BQ133" s="76">
        <v>0</v>
      </c>
      <c r="BR133" s="76">
        <v>0</v>
      </c>
      <c r="BS133" s="76">
        <v>0</v>
      </c>
      <c r="BT133" s="76">
        <v>0</v>
      </c>
      <c r="BU133" s="76">
        <v>0</v>
      </c>
      <c r="BV133" s="76">
        <v>0</v>
      </c>
      <c r="BW133" s="76">
        <v>0</v>
      </c>
      <c r="BX133" s="76">
        <v>0</v>
      </c>
      <c r="BY133" s="76">
        <v>0</v>
      </c>
      <c r="BZ133" s="76">
        <v>0</v>
      </c>
    </row>
    <row r="134" spans="1:78" x14ac:dyDescent="0.2">
      <c r="A134" s="62" t="s">
        <v>306</v>
      </c>
      <c r="B134" s="62" t="s">
        <v>20</v>
      </c>
      <c r="C134" s="62" t="s">
        <v>968</v>
      </c>
      <c r="D134" s="62" t="s">
        <v>299</v>
      </c>
      <c r="E134" s="76">
        <f>IF(B134="","",VLOOKUP(B134,dagsoorttabel1,2,FALSE))</f>
        <v>1.5686274509803921E-2</v>
      </c>
      <c r="F134" s="76">
        <v>1</v>
      </c>
      <c r="G134" s="76">
        <f>IF(prodnorm30&gt;0,1/ROUND(prodnorm30,4),0)</f>
        <v>0</v>
      </c>
      <c r="H134" s="66">
        <f>ROUND(uurtarief30,2)</f>
        <v>0</v>
      </c>
      <c r="I134" s="76">
        <v>0</v>
      </c>
      <c r="J134" s="76">
        <v>0</v>
      </c>
      <c r="K134" s="76">
        <v>0</v>
      </c>
      <c r="L134" s="76">
        <v>0</v>
      </c>
      <c r="M134" s="76">
        <v>0</v>
      </c>
      <c r="N134" s="76">
        <v>0</v>
      </c>
      <c r="O134" s="76">
        <v>0</v>
      </c>
      <c r="P134" s="76">
        <v>0</v>
      </c>
      <c r="Q134" s="76">
        <v>0</v>
      </c>
      <c r="R134" s="76">
        <v>0</v>
      </c>
      <c r="S134" s="76">
        <v>0</v>
      </c>
      <c r="T134" s="76">
        <v>0</v>
      </c>
      <c r="U134" s="76">
        <v>0</v>
      </c>
      <c r="V134" s="76">
        <v>0</v>
      </c>
      <c r="W134" s="76">
        <v>0</v>
      </c>
      <c r="X134" s="76">
        <v>0</v>
      </c>
      <c r="Y134" s="76">
        <v>0</v>
      </c>
      <c r="Z134" s="76">
        <v>0</v>
      </c>
      <c r="AA134" s="76">
        <v>0</v>
      </c>
      <c r="AB134" s="76">
        <v>0</v>
      </c>
      <c r="AC134" s="76">
        <v>0</v>
      </c>
      <c r="AD134" s="76">
        <v>0</v>
      </c>
      <c r="AE134" s="76">
        <v>0</v>
      </c>
      <c r="AF134" s="76">
        <v>33.1</v>
      </c>
      <c r="AG134" s="76">
        <v>15</v>
      </c>
      <c r="AH134" s="76">
        <v>19.2</v>
      </c>
      <c r="AI134" s="76">
        <v>9.6999999999999993</v>
      </c>
      <c r="AJ134" s="76">
        <v>32.5</v>
      </c>
      <c r="AK134" s="76">
        <v>0</v>
      </c>
      <c r="AL134" s="76">
        <v>10</v>
      </c>
      <c r="AM134" s="76">
        <v>23.8</v>
      </c>
      <c r="AN134" s="76">
        <v>4.7</v>
      </c>
      <c r="AO134" s="76">
        <v>0</v>
      </c>
      <c r="AP134" s="76">
        <v>0</v>
      </c>
      <c r="AQ134" s="76">
        <v>0</v>
      </c>
      <c r="AR134" s="76">
        <v>0</v>
      </c>
      <c r="AS134" s="76">
        <v>0</v>
      </c>
      <c r="AT134" s="76">
        <v>0</v>
      </c>
      <c r="AU134" s="76">
        <v>0</v>
      </c>
      <c r="AV134" s="76">
        <v>0</v>
      </c>
      <c r="AW134" s="76">
        <v>0</v>
      </c>
      <c r="AX134" s="76">
        <v>0</v>
      </c>
      <c r="AY134" s="76">
        <v>0</v>
      </c>
      <c r="AZ134" s="76">
        <v>0</v>
      </c>
      <c r="BA134" s="76">
        <v>0</v>
      </c>
      <c r="BB134" s="76">
        <v>0</v>
      </c>
      <c r="BC134" s="76">
        <v>0</v>
      </c>
      <c r="BD134" s="76">
        <v>0</v>
      </c>
      <c r="BE134" s="76">
        <v>0</v>
      </c>
      <c r="BF134" s="76">
        <v>0</v>
      </c>
      <c r="BG134" s="76">
        <v>0</v>
      </c>
      <c r="BH134" s="76">
        <v>0</v>
      </c>
      <c r="BI134" s="76">
        <v>0</v>
      </c>
      <c r="BJ134" s="76">
        <v>0</v>
      </c>
      <c r="BK134" s="76">
        <v>0</v>
      </c>
      <c r="BL134" s="76">
        <v>0</v>
      </c>
      <c r="BM134" s="76">
        <v>0</v>
      </c>
      <c r="BN134" s="76">
        <v>0</v>
      </c>
      <c r="BO134" s="76">
        <v>0</v>
      </c>
      <c r="BP134" s="76">
        <v>0</v>
      </c>
      <c r="BQ134" s="76">
        <v>0</v>
      </c>
      <c r="BR134" s="76">
        <v>0</v>
      </c>
      <c r="BS134" s="76">
        <v>0</v>
      </c>
      <c r="BT134" s="76">
        <v>76.5</v>
      </c>
      <c r="BU134" s="76">
        <v>0</v>
      </c>
      <c r="BV134" s="76">
        <v>275.2</v>
      </c>
      <c r="BW134" s="76">
        <v>0</v>
      </c>
      <c r="BX134" s="76">
        <v>0</v>
      </c>
      <c r="BY134" s="76">
        <v>0</v>
      </c>
      <c r="BZ134" s="76">
        <v>0</v>
      </c>
    </row>
    <row r="135" spans="1:78" x14ac:dyDescent="0.2">
      <c r="A135" s="67" t="s">
        <v>306</v>
      </c>
      <c r="B135" s="67" t="s">
        <v>9</v>
      </c>
      <c r="C135" s="67" t="s">
        <v>968</v>
      </c>
      <c r="D135" s="67" t="s">
        <v>299</v>
      </c>
      <c r="E135" s="79">
        <f>IF(B135="","",VLOOKUP(B135,dagsoorttabel1,2,FALSE))</f>
        <v>1</v>
      </c>
      <c r="F135" s="79">
        <v>1</v>
      </c>
      <c r="G135" s="79">
        <f>IF(prodnorm31&gt;0,1/ROUND(prodnorm31,4),0)</f>
        <v>0</v>
      </c>
      <c r="H135" s="71">
        <f>ROUND(uurtarief31,2)</f>
        <v>0</v>
      </c>
      <c r="I135" s="79">
        <v>0</v>
      </c>
      <c r="J135" s="79">
        <v>0</v>
      </c>
      <c r="K135" s="79">
        <v>0</v>
      </c>
      <c r="L135" s="79">
        <v>0</v>
      </c>
      <c r="M135" s="79">
        <v>0</v>
      </c>
      <c r="N135" s="79">
        <v>0</v>
      </c>
      <c r="O135" s="79">
        <v>0</v>
      </c>
      <c r="P135" s="79">
        <v>0</v>
      </c>
      <c r="Q135" s="79">
        <v>0</v>
      </c>
      <c r="R135" s="79">
        <v>33</v>
      </c>
      <c r="S135" s="79">
        <v>0</v>
      </c>
      <c r="T135" s="79">
        <v>0</v>
      </c>
      <c r="U135" s="79">
        <v>0</v>
      </c>
      <c r="V135" s="79">
        <v>0</v>
      </c>
      <c r="W135" s="79">
        <v>0</v>
      </c>
      <c r="X135" s="79">
        <v>0</v>
      </c>
      <c r="Y135" s="79">
        <v>0</v>
      </c>
      <c r="Z135" s="79">
        <v>0</v>
      </c>
      <c r="AA135" s="79">
        <v>0</v>
      </c>
      <c r="AB135" s="79">
        <v>0</v>
      </c>
      <c r="AC135" s="79">
        <v>0</v>
      </c>
      <c r="AD135" s="79">
        <v>0</v>
      </c>
      <c r="AE135" s="79">
        <v>0</v>
      </c>
      <c r="AF135" s="79">
        <v>0</v>
      </c>
      <c r="AG135" s="79">
        <v>0</v>
      </c>
      <c r="AH135" s="79">
        <v>0</v>
      </c>
      <c r="AI135" s="79">
        <v>0</v>
      </c>
      <c r="AJ135" s="79">
        <v>0</v>
      </c>
      <c r="AK135" s="79">
        <v>0</v>
      </c>
      <c r="AL135" s="79">
        <v>0</v>
      </c>
      <c r="AM135" s="79">
        <v>0</v>
      </c>
      <c r="AN135" s="79">
        <v>0</v>
      </c>
      <c r="AO135" s="79">
        <v>0</v>
      </c>
      <c r="AP135" s="79">
        <v>0</v>
      </c>
      <c r="AQ135" s="79">
        <v>0</v>
      </c>
      <c r="AR135" s="79">
        <v>0</v>
      </c>
      <c r="AS135" s="79">
        <v>0</v>
      </c>
      <c r="AT135" s="79">
        <v>0</v>
      </c>
      <c r="AU135" s="79">
        <v>0</v>
      </c>
      <c r="AV135" s="79">
        <v>0</v>
      </c>
      <c r="AW135" s="79">
        <v>0</v>
      </c>
      <c r="AX135" s="79">
        <v>0</v>
      </c>
      <c r="AY135" s="79">
        <v>0</v>
      </c>
      <c r="AZ135" s="79">
        <v>0</v>
      </c>
      <c r="BA135" s="79">
        <v>0</v>
      </c>
      <c r="BB135" s="79">
        <v>0</v>
      </c>
      <c r="BC135" s="79">
        <v>0</v>
      </c>
      <c r="BD135" s="79">
        <v>0</v>
      </c>
      <c r="BE135" s="79">
        <v>0</v>
      </c>
      <c r="BF135" s="79">
        <v>0</v>
      </c>
      <c r="BG135" s="79">
        <v>0</v>
      </c>
      <c r="BH135" s="79">
        <v>0</v>
      </c>
      <c r="BI135" s="79">
        <v>0</v>
      </c>
      <c r="BJ135" s="79">
        <v>0</v>
      </c>
      <c r="BK135" s="79">
        <v>0</v>
      </c>
      <c r="BL135" s="79">
        <v>0</v>
      </c>
      <c r="BM135" s="79">
        <v>0</v>
      </c>
      <c r="BN135" s="79">
        <v>0</v>
      </c>
      <c r="BO135" s="79">
        <v>0</v>
      </c>
      <c r="BP135" s="79">
        <v>0</v>
      </c>
      <c r="BQ135" s="79">
        <v>0</v>
      </c>
      <c r="BR135" s="79">
        <v>0</v>
      </c>
      <c r="BS135" s="79">
        <v>0</v>
      </c>
      <c r="BT135" s="79">
        <v>0</v>
      </c>
      <c r="BU135" s="79">
        <v>0</v>
      </c>
      <c r="BV135" s="79">
        <v>0</v>
      </c>
      <c r="BW135" s="79">
        <v>0</v>
      </c>
      <c r="BX135" s="79">
        <v>0</v>
      </c>
      <c r="BY135" s="79">
        <v>0</v>
      </c>
      <c r="BZ135" s="79">
        <v>0</v>
      </c>
    </row>
    <row r="136" spans="1:78" x14ac:dyDescent="0.2">
      <c r="A136" s="82" t="s">
        <v>308</v>
      </c>
      <c r="B136" s="83"/>
      <c r="C136" s="83"/>
      <c r="D136" s="83"/>
      <c r="E136" s="83"/>
      <c r="F136" s="83"/>
      <c r="G136" s="83"/>
      <c r="H136" s="83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2"/>
      <c r="AC136" s="122"/>
      <c r="AD136" s="122"/>
      <c r="AE136" s="122"/>
      <c r="AF136" s="122"/>
      <c r="AG136" s="122"/>
      <c r="AH136" s="122"/>
      <c r="AI136" s="122"/>
      <c r="AJ136" s="122"/>
      <c r="AK136" s="122"/>
      <c r="AL136" s="122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2"/>
      <c r="BF136" s="122"/>
      <c r="BG136" s="122"/>
      <c r="BH136" s="122"/>
      <c r="BI136" s="122"/>
      <c r="BJ136" s="122"/>
      <c r="BK136" s="122"/>
      <c r="BL136" s="122"/>
      <c r="BM136" s="122"/>
      <c r="BN136" s="122"/>
      <c r="BO136" s="122"/>
      <c r="BP136" s="122"/>
      <c r="BQ136" s="122"/>
      <c r="BR136" s="122"/>
      <c r="BS136" s="122"/>
      <c r="BT136" s="122"/>
      <c r="BU136" s="122"/>
      <c r="BV136" s="122"/>
      <c r="BW136" s="122"/>
      <c r="BX136" s="122"/>
      <c r="BY136" s="122"/>
      <c r="BZ136" s="122"/>
    </row>
  </sheetData>
  <sheetProtection algorithmName="SHA-512" hashValue="XLVSZC+3camjpUJLhSHvxxtjaD09sYhOcNMFVgmvWOrpAZbmsmomkeQwISacSu2Ql9IPUAMKK02LXuKPlhC92g==" saltValue="iw0f0vqpSZ8TlI+X1sPuvw==" spinCount="100000" sheet="1" objects="1" scenarios="1" autoFilter="0"/>
  <pageMargins left="0.7" right="0.7" top="0.75" bottom="0.75" header="0.3" footer="0.3"/>
  <pageSetup paperSize="9" scale="70" orientation="landscape" r:id="rId1"/>
  <headerFooter>
    <oddFooter>&amp;LWaterschap Vallei &amp; Veluwe EA 2027                          &amp;ROpmaakdatum: 30-10-2026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213B2-1EFC-4362-A26A-68C0915FB58B}">
  <dimension ref="A1:O81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12" width="12.125" customWidth="1"/>
    <col min="13" max="13" width="12.625" customWidth="1"/>
    <col min="14" max="14" width="14.625" customWidth="1"/>
    <col min="15" max="15" width="13.625" customWidth="1"/>
  </cols>
  <sheetData>
    <row r="1" spans="1:15" x14ac:dyDescent="0.2">
      <c r="A1" s="1" t="str">
        <f>CONCATENATE("Bijlage G.4: ",tabeltype," objecten")</f>
        <v>Bijlage G.4: Invultabel objecten</v>
      </c>
    </row>
    <row r="3" spans="1:15" ht="38.25" x14ac:dyDescent="0.2">
      <c r="A3" s="46" t="s">
        <v>311</v>
      </c>
      <c r="B3" s="46" t="s">
        <v>969</v>
      </c>
      <c r="C3" s="46" t="s">
        <v>970</v>
      </c>
      <c r="D3" s="46" t="s">
        <v>971</v>
      </c>
      <c r="E3" s="46" t="s">
        <v>7</v>
      </c>
      <c r="F3" s="46" t="s">
        <v>972</v>
      </c>
      <c r="G3" s="46" t="s">
        <v>973</v>
      </c>
      <c r="H3" s="46" t="s">
        <v>974</v>
      </c>
      <c r="I3" s="46" t="s">
        <v>975</v>
      </c>
      <c r="J3" s="46" t="s">
        <v>976</v>
      </c>
      <c r="K3" s="46" t="s">
        <v>977</v>
      </c>
      <c r="L3" s="46" t="s">
        <v>978</v>
      </c>
      <c r="M3" s="46" t="s">
        <v>228</v>
      </c>
      <c r="N3" s="46" t="s">
        <v>229</v>
      </c>
      <c r="O3" s="46" t="s">
        <v>979</v>
      </c>
    </row>
    <row r="4" spans="1:15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9"/>
    </row>
    <row r="5" spans="1:15" x14ac:dyDescent="0.2">
      <c r="A5" s="50" t="s">
        <v>101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2"/>
    </row>
    <row r="6" spans="1:15" x14ac:dyDescent="0.2">
      <c r="A6" s="57" t="s">
        <v>321</v>
      </c>
      <c r="B6" s="57" t="s">
        <v>980</v>
      </c>
      <c r="C6" s="57" t="s">
        <v>981</v>
      </c>
      <c r="D6" s="57" t="s">
        <v>982</v>
      </c>
      <c r="E6" s="123" t="s">
        <v>9</v>
      </c>
      <c r="F6" s="124">
        <f>gemuurtarief1</f>
        <v>0</v>
      </c>
      <c r="G6" s="74">
        <f>SUMPRODUCT(taakfreqtabel1,uurfactortabel1,kengetaltabel1,object1_opptabel1)*(1/VLOOKUP(E6,dagsoorttabel1,2,FALSE))</f>
        <v>0</v>
      </c>
      <c r="H6" s="59"/>
      <c r="I6" s="74">
        <f>G6+H6</f>
        <v>0</v>
      </c>
      <c r="J6" s="61">
        <f>SUMPRODUCT(taakfreqtabel1,kengetaltabel1,tarieftabel1,object1_opptabel1)*(1/VLOOKUP(E6,dagsoorttabel1,2,FALSE))</f>
        <v>0</v>
      </c>
      <c r="K6" s="61">
        <f>F6*H6</f>
        <v>0</v>
      </c>
      <c r="L6" s="61">
        <f>SUM(J6:K6)</f>
        <v>0</v>
      </c>
      <c r="M6" s="74">
        <f>I6*dagenperjaar1*VLOOKUP(E6,dagsoorttabel1,2,FALSE)</f>
        <v>0</v>
      </c>
      <c r="N6" s="61">
        <f>L6*dagenperjaar1*VLOOKUP(E6,dagsoorttabel1,2,FALSE)</f>
        <v>0</v>
      </c>
      <c r="O6" s="61">
        <f>N6/12</f>
        <v>0</v>
      </c>
    </row>
    <row r="7" spans="1:15" x14ac:dyDescent="0.2">
      <c r="A7" s="62" t="s">
        <v>548</v>
      </c>
      <c r="B7" s="62" t="s">
        <v>983</v>
      </c>
      <c r="C7" s="62" t="s">
        <v>984</v>
      </c>
      <c r="D7" s="62" t="s">
        <v>982</v>
      </c>
      <c r="E7" s="125" t="s">
        <v>10</v>
      </c>
      <c r="F7" s="126">
        <f>gemuurtarief1</f>
        <v>0</v>
      </c>
      <c r="G7" s="76">
        <f>SUMPRODUCT(taakfreqtabel1,uurfactortabel1,kengetaltabel1,object2_opptabel1)*(1/VLOOKUP(E7,dagsoorttabel1,2,FALSE))</f>
        <v>0</v>
      </c>
      <c r="H7" s="64"/>
      <c r="I7" s="76">
        <f>G7+H7</f>
        <v>0</v>
      </c>
      <c r="J7" s="66">
        <f>SUMPRODUCT(taakfreqtabel1,kengetaltabel1,tarieftabel1,object2_opptabel1)*(1/VLOOKUP(E7,dagsoorttabel1,2,FALSE))</f>
        <v>0</v>
      </c>
      <c r="K7" s="66">
        <f>F7*H7</f>
        <v>0</v>
      </c>
      <c r="L7" s="66">
        <f>SUM(J7:K7)</f>
        <v>0</v>
      </c>
      <c r="M7" s="76">
        <f>I7*dagenperjaar1*VLOOKUP(E7,dagsoorttabel1,2,FALSE)</f>
        <v>0</v>
      </c>
      <c r="N7" s="66">
        <f>L7*dagenperjaar1*VLOOKUP(E7,dagsoorttabel1,2,FALSE)</f>
        <v>0</v>
      </c>
      <c r="O7" s="66">
        <f>N7/12</f>
        <v>0</v>
      </c>
    </row>
    <row r="8" spans="1:15" x14ac:dyDescent="0.2">
      <c r="A8" s="62" t="s">
        <v>568</v>
      </c>
      <c r="B8" s="62" t="s">
        <v>985</v>
      </c>
      <c r="C8" s="62" t="s">
        <v>986</v>
      </c>
      <c r="D8" s="62" t="s">
        <v>987</v>
      </c>
      <c r="E8" s="125" t="s">
        <v>9</v>
      </c>
      <c r="F8" s="126">
        <f>gemuurtarief1</f>
        <v>0</v>
      </c>
      <c r="G8" s="76">
        <f>SUMPRODUCT(taakfreqtabel1,uurfactortabel1,kengetaltabel1,object3_opptabel1)*(1/VLOOKUP(E8,dagsoorttabel1,2,FALSE))</f>
        <v>0</v>
      </c>
      <c r="H8" s="64"/>
      <c r="I8" s="76">
        <f>G8+H8</f>
        <v>0</v>
      </c>
      <c r="J8" s="66">
        <f>SUMPRODUCT(taakfreqtabel1,kengetaltabel1,tarieftabel1,object3_opptabel1)*(1/VLOOKUP(E8,dagsoorttabel1,2,FALSE))</f>
        <v>0</v>
      </c>
      <c r="K8" s="66">
        <f>F8*H8</f>
        <v>0</v>
      </c>
      <c r="L8" s="66">
        <f>SUM(J8:K8)</f>
        <v>0</v>
      </c>
      <c r="M8" s="76">
        <f>I8*dagenperjaar1*VLOOKUP(E8,dagsoorttabel1,2,FALSE)</f>
        <v>0</v>
      </c>
      <c r="N8" s="66">
        <f>L8*dagenperjaar1*VLOOKUP(E8,dagsoorttabel1,2,FALSE)</f>
        <v>0</v>
      </c>
      <c r="O8" s="66">
        <f>N8/12</f>
        <v>0</v>
      </c>
    </row>
    <row r="9" spans="1:15" x14ac:dyDescent="0.2">
      <c r="A9" s="62" t="s">
        <v>617</v>
      </c>
      <c r="B9" s="62" t="s">
        <v>988</v>
      </c>
      <c r="C9" s="62" t="s">
        <v>989</v>
      </c>
      <c r="D9" s="62" t="s">
        <v>982</v>
      </c>
      <c r="E9" s="125" t="s">
        <v>9</v>
      </c>
      <c r="F9" s="126">
        <f>gemuurtarief1</f>
        <v>0</v>
      </c>
      <c r="G9" s="76">
        <f>SUMPRODUCT(taakfreqtabel1,uurfactortabel1,kengetaltabel1,object4_opptabel1)*(1/VLOOKUP(E9,dagsoorttabel1,2,FALSE))</f>
        <v>0</v>
      </c>
      <c r="H9" s="64"/>
      <c r="I9" s="76">
        <f>G9+H9</f>
        <v>0</v>
      </c>
      <c r="J9" s="66">
        <f>SUMPRODUCT(taakfreqtabel1,kengetaltabel1,tarieftabel1,object4_opptabel1)*(1/VLOOKUP(E9,dagsoorttabel1,2,FALSE))</f>
        <v>0</v>
      </c>
      <c r="K9" s="66">
        <f>F9*H9</f>
        <v>0</v>
      </c>
      <c r="L9" s="66">
        <f>SUM(J9:K9)</f>
        <v>0</v>
      </c>
      <c r="M9" s="76">
        <f>I9*dagenperjaar1*VLOOKUP(E9,dagsoorttabel1,2,FALSE)</f>
        <v>0</v>
      </c>
      <c r="N9" s="66">
        <f>L9*dagenperjaar1*VLOOKUP(E9,dagsoorttabel1,2,FALSE)</f>
        <v>0</v>
      </c>
      <c r="O9" s="66">
        <f>N9/12</f>
        <v>0</v>
      </c>
    </row>
    <row r="10" spans="1:15" x14ac:dyDescent="0.2">
      <c r="A10" s="62" t="s">
        <v>627</v>
      </c>
      <c r="B10" s="62" t="s">
        <v>990</v>
      </c>
      <c r="C10" s="62" t="s">
        <v>989</v>
      </c>
      <c r="D10" s="62" t="s">
        <v>982</v>
      </c>
      <c r="E10" s="125" t="s">
        <v>9</v>
      </c>
      <c r="F10" s="126">
        <f>gemuurtarief1</f>
        <v>0</v>
      </c>
      <c r="G10" s="76">
        <f>SUMPRODUCT(taakfreqtabel1,uurfactortabel1,kengetaltabel1,object5_opptabel1)*(1/VLOOKUP(E10,dagsoorttabel1,2,FALSE))</f>
        <v>0</v>
      </c>
      <c r="H10" s="64"/>
      <c r="I10" s="76">
        <f>G10+H10</f>
        <v>0</v>
      </c>
      <c r="J10" s="66">
        <f>SUMPRODUCT(taakfreqtabel1,kengetaltabel1,tarieftabel1,object5_opptabel1)*(1/VLOOKUP(E10,dagsoorttabel1,2,FALSE))</f>
        <v>0</v>
      </c>
      <c r="K10" s="66">
        <f>F10*H10</f>
        <v>0</v>
      </c>
      <c r="L10" s="66">
        <f>SUM(J10:K10)</f>
        <v>0</v>
      </c>
      <c r="M10" s="76">
        <f>I10*dagenperjaar1*VLOOKUP(E10,dagsoorttabel1,2,FALSE)</f>
        <v>0</v>
      </c>
      <c r="N10" s="66">
        <f>L10*dagenperjaar1*VLOOKUP(E10,dagsoorttabel1,2,FALSE)</f>
        <v>0</v>
      </c>
      <c r="O10" s="66">
        <f>N10/12</f>
        <v>0</v>
      </c>
    </row>
    <row r="11" spans="1:15" x14ac:dyDescent="0.2">
      <c r="A11" s="62" t="s">
        <v>647</v>
      </c>
      <c r="B11" s="62" t="s">
        <v>991</v>
      </c>
      <c r="C11" s="62" t="s">
        <v>989</v>
      </c>
      <c r="D11" s="62" t="s">
        <v>982</v>
      </c>
      <c r="E11" s="125" t="s">
        <v>12</v>
      </c>
      <c r="F11" s="126">
        <f>gemuurtarief1</f>
        <v>0</v>
      </c>
      <c r="G11" s="76">
        <f>SUMPRODUCT(taakfreqtabel1,uurfactortabel1,kengetaltabel1,object6_opptabel1)*(1/VLOOKUP(E11,dagsoorttabel1,2,FALSE))</f>
        <v>0</v>
      </c>
      <c r="H11" s="64"/>
      <c r="I11" s="76">
        <f>G11+H11</f>
        <v>0</v>
      </c>
      <c r="J11" s="66">
        <f>SUMPRODUCT(taakfreqtabel1,kengetaltabel1,tarieftabel1,object6_opptabel1)*(1/VLOOKUP(E11,dagsoorttabel1,2,FALSE))</f>
        <v>0</v>
      </c>
      <c r="K11" s="66">
        <f>F11*H11</f>
        <v>0</v>
      </c>
      <c r="L11" s="66">
        <f>SUM(J11:K11)</f>
        <v>0</v>
      </c>
      <c r="M11" s="76">
        <f>I11*dagenperjaar1*VLOOKUP(E11,dagsoorttabel1,2,FALSE)</f>
        <v>0</v>
      </c>
      <c r="N11" s="66">
        <f>L11*dagenperjaar1*VLOOKUP(E11,dagsoorttabel1,2,FALSE)</f>
        <v>0</v>
      </c>
      <c r="O11" s="66">
        <f>N11/12</f>
        <v>0</v>
      </c>
    </row>
    <row r="12" spans="1:15" x14ac:dyDescent="0.2">
      <c r="A12" s="62" t="s">
        <v>650</v>
      </c>
      <c r="B12" s="62" t="s">
        <v>992</v>
      </c>
      <c r="C12" s="62" t="s">
        <v>989</v>
      </c>
      <c r="D12" s="62" t="s">
        <v>982</v>
      </c>
      <c r="E12" s="125" t="s">
        <v>9</v>
      </c>
      <c r="F12" s="126">
        <f>gemuurtarief1</f>
        <v>0</v>
      </c>
      <c r="G12" s="76">
        <f>SUMPRODUCT(taakfreqtabel1,uurfactortabel1,kengetaltabel1,object7_opptabel1)*(1/VLOOKUP(E12,dagsoorttabel1,2,FALSE))</f>
        <v>0</v>
      </c>
      <c r="H12" s="64"/>
      <c r="I12" s="76">
        <f>G12+H12</f>
        <v>0</v>
      </c>
      <c r="J12" s="66">
        <f>SUMPRODUCT(taakfreqtabel1,kengetaltabel1,tarieftabel1,object7_opptabel1)*(1/VLOOKUP(E12,dagsoorttabel1,2,FALSE))</f>
        <v>0</v>
      </c>
      <c r="K12" s="66">
        <f>F12*H12</f>
        <v>0</v>
      </c>
      <c r="L12" s="66">
        <f>SUM(J12:K12)</f>
        <v>0</v>
      </c>
      <c r="M12" s="76">
        <f>I12*dagenperjaar1*VLOOKUP(E12,dagsoorttabel1,2,FALSE)</f>
        <v>0</v>
      </c>
      <c r="N12" s="66">
        <f>L12*dagenperjaar1*VLOOKUP(E12,dagsoorttabel1,2,FALSE)</f>
        <v>0</v>
      </c>
      <c r="O12" s="66">
        <f>N12/12</f>
        <v>0</v>
      </c>
    </row>
    <row r="13" spans="1:15" x14ac:dyDescent="0.2">
      <c r="A13" s="62" t="s">
        <v>652</v>
      </c>
      <c r="B13" s="62" t="s">
        <v>993</v>
      </c>
      <c r="C13" s="62" t="s">
        <v>994</v>
      </c>
      <c r="D13" s="62" t="s">
        <v>995</v>
      </c>
      <c r="E13" s="125" t="s">
        <v>13</v>
      </c>
      <c r="F13" s="126">
        <f>gemuurtarief1</f>
        <v>0</v>
      </c>
      <c r="G13" s="76">
        <f>SUMPRODUCT(taakfreqtabel1,uurfactortabel1,kengetaltabel1,object8_opptabel1)*(1/VLOOKUP(E13,dagsoorttabel1,2,FALSE))</f>
        <v>0</v>
      </c>
      <c r="H13" s="64"/>
      <c r="I13" s="76">
        <f>G13+H13</f>
        <v>0</v>
      </c>
      <c r="J13" s="66">
        <f>SUMPRODUCT(taakfreqtabel1,kengetaltabel1,tarieftabel1,object8_opptabel1)*(1/VLOOKUP(E13,dagsoorttabel1,2,FALSE))</f>
        <v>0</v>
      </c>
      <c r="K13" s="66">
        <f>F13*H13</f>
        <v>0</v>
      </c>
      <c r="L13" s="66">
        <f>SUM(J13:K13)</f>
        <v>0</v>
      </c>
      <c r="M13" s="76">
        <f>I13*dagenperjaar1*VLOOKUP(E13,dagsoorttabel1,2,FALSE)</f>
        <v>0</v>
      </c>
      <c r="N13" s="66">
        <f>L13*dagenperjaar1*VLOOKUP(E13,dagsoorttabel1,2,FALSE)</f>
        <v>0</v>
      </c>
      <c r="O13" s="66">
        <f>N13/12</f>
        <v>0</v>
      </c>
    </row>
    <row r="14" spans="1:15" x14ac:dyDescent="0.2">
      <c r="A14" s="62" t="s">
        <v>656</v>
      </c>
      <c r="B14" s="62" t="s">
        <v>996</v>
      </c>
      <c r="C14" s="62" t="s">
        <v>997</v>
      </c>
      <c r="D14" s="62" t="s">
        <v>998</v>
      </c>
      <c r="E14" s="125" t="s">
        <v>13</v>
      </c>
      <c r="F14" s="126">
        <f>gemuurtarief1</f>
        <v>0</v>
      </c>
      <c r="G14" s="76">
        <f>SUMPRODUCT(taakfreqtabel1,uurfactortabel1,kengetaltabel1,object9_opptabel1)*(1/VLOOKUP(E14,dagsoorttabel1,2,FALSE))</f>
        <v>0</v>
      </c>
      <c r="H14" s="64"/>
      <c r="I14" s="76">
        <f>G14+H14</f>
        <v>0</v>
      </c>
      <c r="J14" s="66">
        <f>SUMPRODUCT(taakfreqtabel1,kengetaltabel1,tarieftabel1,object9_opptabel1)*(1/VLOOKUP(E14,dagsoorttabel1,2,FALSE))</f>
        <v>0</v>
      </c>
      <c r="K14" s="66">
        <f>F14*H14</f>
        <v>0</v>
      </c>
      <c r="L14" s="66">
        <f>SUM(J14:K14)</f>
        <v>0</v>
      </c>
      <c r="M14" s="76">
        <f>I14*dagenperjaar1*VLOOKUP(E14,dagsoorttabel1,2,FALSE)</f>
        <v>0</v>
      </c>
      <c r="N14" s="66">
        <f>L14*dagenperjaar1*VLOOKUP(E14,dagsoorttabel1,2,FALSE)</f>
        <v>0</v>
      </c>
      <c r="O14" s="66">
        <f>N14/12</f>
        <v>0</v>
      </c>
    </row>
    <row r="15" spans="1:15" x14ac:dyDescent="0.2">
      <c r="A15" s="62" t="s">
        <v>659</v>
      </c>
      <c r="B15" s="62" t="s">
        <v>999</v>
      </c>
      <c r="C15" s="62" t="s">
        <v>1000</v>
      </c>
      <c r="D15" s="62" t="s">
        <v>1001</v>
      </c>
      <c r="E15" s="125" t="s">
        <v>9</v>
      </c>
      <c r="F15" s="126">
        <f>gemuurtarief1</f>
        <v>0</v>
      </c>
      <c r="G15" s="76">
        <f>SUMPRODUCT(taakfreqtabel1,uurfactortabel1,kengetaltabel1,object10_opptabel1)*(1/VLOOKUP(E15,dagsoorttabel1,2,FALSE))</f>
        <v>0</v>
      </c>
      <c r="H15" s="64"/>
      <c r="I15" s="76">
        <f>G15+H15</f>
        <v>0</v>
      </c>
      <c r="J15" s="66">
        <f>SUMPRODUCT(taakfreqtabel1,kengetaltabel1,tarieftabel1,object10_opptabel1)*(1/VLOOKUP(E15,dagsoorttabel1,2,FALSE))</f>
        <v>0</v>
      </c>
      <c r="K15" s="66">
        <f>F15*H15</f>
        <v>0</v>
      </c>
      <c r="L15" s="66">
        <f>SUM(J15:K15)</f>
        <v>0</v>
      </c>
      <c r="M15" s="76">
        <f>I15*dagenperjaar1*VLOOKUP(E15,dagsoorttabel1,2,FALSE)</f>
        <v>0</v>
      </c>
      <c r="N15" s="66">
        <f>L15*dagenperjaar1*VLOOKUP(E15,dagsoorttabel1,2,FALSE)</f>
        <v>0</v>
      </c>
      <c r="O15" s="66">
        <f>N15/12</f>
        <v>0</v>
      </c>
    </row>
    <row r="16" spans="1:15" x14ac:dyDescent="0.2">
      <c r="A16" s="62" t="s">
        <v>666</v>
      </c>
      <c r="B16" s="62" t="s">
        <v>1002</v>
      </c>
      <c r="C16" s="62" t="s">
        <v>1003</v>
      </c>
      <c r="D16" s="62" t="s">
        <v>1001</v>
      </c>
      <c r="E16" s="125" t="s">
        <v>9</v>
      </c>
      <c r="F16" s="126">
        <f>gemuurtarief1</f>
        <v>0</v>
      </c>
      <c r="G16" s="76">
        <f>SUMPRODUCT(taakfreqtabel1,uurfactortabel1,kengetaltabel1,object11_opptabel1)*(1/VLOOKUP(E16,dagsoorttabel1,2,FALSE))</f>
        <v>0</v>
      </c>
      <c r="H16" s="64"/>
      <c r="I16" s="76">
        <f>G16+H16</f>
        <v>0</v>
      </c>
      <c r="J16" s="66">
        <f>SUMPRODUCT(taakfreqtabel1,kengetaltabel1,tarieftabel1,object11_opptabel1)*(1/VLOOKUP(E16,dagsoorttabel1,2,FALSE))</f>
        <v>0</v>
      </c>
      <c r="K16" s="66">
        <f>F16*H16</f>
        <v>0</v>
      </c>
      <c r="L16" s="66">
        <f>SUM(J16:K16)</f>
        <v>0</v>
      </c>
      <c r="M16" s="76">
        <f>I16*dagenperjaar1*VLOOKUP(E16,dagsoorttabel1,2,FALSE)</f>
        <v>0</v>
      </c>
      <c r="N16" s="66">
        <f>L16*dagenperjaar1*VLOOKUP(E16,dagsoorttabel1,2,FALSE)</f>
        <v>0</v>
      </c>
      <c r="O16" s="66">
        <f>N16/12</f>
        <v>0</v>
      </c>
    </row>
    <row r="17" spans="1:15" x14ac:dyDescent="0.2">
      <c r="A17" s="62" t="s">
        <v>670</v>
      </c>
      <c r="B17" s="62" t="s">
        <v>1004</v>
      </c>
      <c r="C17" s="62" t="s">
        <v>1005</v>
      </c>
      <c r="D17" s="62" t="s">
        <v>1006</v>
      </c>
      <c r="E17" s="125" t="s">
        <v>11</v>
      </c>
      <c r="F17" s="126">
        <f>gemuurtarief1</f>
        <v>0</v>
      </c>
      <c r="G17" s="76">
        <f>SUMPRODUCT(taakfreqtabel1,uurfactortabel1,kengetaltabel1,object12_opptabel1)*(1/VLOOKUP(E17,dagsoorttabel1,2,FALSE))</f>
        <v>0</v>
      </c>
      <c r="H17" s="64"/>
      <c r="I17" s="76">
        <f>G17+H17</f>
        <v>0</v>
      </c>
      <c r="J17" s="66">
        <f>SUMPRODUCT(taakfreqtabel1,kengetaltabel1,tarieftabel1,object12_opptabel1)*(1/VLOOKUP(E17,dagsoorttabel1,2,FALSE))</f>
        <v>0</v>
      </c>
      <c r="K17" s="66">
        <f>F17*H17</f>
        <v>0</v>
      </c>
      <c r="L17" s="66">
        <f>SUM(J17:K17)</f>
        <v>0</v>
      </c>
      <c r="M17" s="76">
        <f>I17*dagenperjaar1*VLOOKUP(E17,dagsoorttabel1,2,FALSE)</f>
        <v>0</v>
      </c>
      <c r="N17" s="66">
        <f>L17*dagenperjaar1*VLOOKUP(E17,dagsoorttabel1,2,FALSE)</f>
        <v>0</v>
      </c>
      <c r="O17" s="66">
        <f>N17/12</f>
        <v>0</v>
      </c>
    </row>
    <row r="18" spans="1:15" x14ac:dyDescent="0.2">
      <c r="A18" s="62" t="s">
        <v>675</v>
      </c>
      <c r="B18" s="62" t="s">
        <v>1007</v>
      </c>
      <c r="C18" s="62" t="s">
        <v>1008</v>
      </c>
      <c r="D18" s="62" t="s">
        <v>1009</v>
      </c>
      <c r="E18" s="125" t="s">
        <v>12</v>
      </c>
      <c r="F18" s="126">
        <f>gemuurtarief1</f>
        <v>0</v>
      </c>
      <c r="G18" s="76">
        <f>SUMPRODUCT(taakfreqtabel1,uurfactortabel1,kengetaltabel1,object13_opptabel1)*(1/VLOOKUP(E18,dagsoorttabel1,2,FALSE))</f>
        <v>0</v>
      </c>
      <c r="H18" s="64"/>
      <c r="I18" s="76">
        <f>G18+H18</f>
        <v>0</v>
      </c>
      <c r="J18" s="66">
        <f>SUMPRODUCT(taakfreqtabel1,kengetaltabel1,tarieftabel1,object13_opptabel1)*(1/VLOOKUP(E18,dagsoorttabel1,2,FALSE))</f>
        <v>0</v>
      </c>
      <c r="K18" s="66">
        <f>F18*H18</f>
        <v>0</v>
      </c>
      <c r="L18" s="66">
        <f>SUM(J18:K18)</f>
        <v>0</v>
      </c>
      <c r="M18" s="76">
        <f>I18*dagenperjaar1*VLOOKUP(E18,dagsoorttabel1,2,FALSE)</f>
        <v>0</v>
      </c>
      <c r="N18" s="66">
        <f>L18*dagenperjaar1*VLOOKUP(E18,dagsoorttabel1,2,FALSE)</f>
        <v>0</v>
      </c>
      <c r="O18" s="66">
        <f>N18/12</f>
        <v>0</v>
      </c>
    </row>
    <row r="19" spans="1:15" x14ac:dyDescent="0.2">
      <c r="A19" s="62" t="s">
        <v>689</v>
      </c>
      <c r="B19" s="62" t="s">
        <v>1010</v>
      </c>
      <c r="C19" s="62" t="s">
        <v>1011</v>
      </c>
      <c r="D19" s="62" t="s">
        <v>1012</v>
      </c>
      <c r="E19" s="125" t="s">
        <v>11</v>
      </c>
      <c r="F19" s="126">
        <f>gemuurtarief1</f>
        <v>0</v>
      </c>
      <c r="G19" s="76">
        <f>SUMPRODUCT(taakfreqtabel1,uurfactortabel1,kengetaltabel1,object14_opptabel1)*(1/VLOOKUP(E19,dagsoorttabel1,2,FALSE))</f>
        <v>0</v>
      </c>
      <c r="H19" s="64"/>
      <c r="I19" s="76">
        <f>G19+H19</f>
        <v>0</v>
      </c>
      <c r="J19" s="66">
        <f>SUMPRODUCT(taakfreqtabel1,kengetaltabel1,tarieftabel1,object14_opptabel1)*(1/VLOOKUP(E19,dagsoorttabel1,2,FALSE))</f>
        <v>0</v>
      </c>
      <c r="K19" s="66">
        <f>F19*H19</f>
        <v>0</v>
      </c>
      <c r="L19" s="66">
        <f>SUM(J19:K19)</f>
        <v>0</v>
      </c>
      <c r="M19" s="76">
        <f>I19*dagenperjaar1*VLOOKUP(E19,dagsoorttabel1,2,FALSE)</f>
        <v>0</v>
      </c>
      <c r="N19" s="66">
        <f>L19*dagenperjaar1*VLOOKUP(E19,dagsoorttabel1,2,FALSE)</f>
        <v>0</v>
      </c>
      <c r="O19" s="66">
        <f>N19/12</f>
        <v>0</v>
      </c>
    </row>
    <row r="20" spans="1:15" x14ac:dyDescent="0.2">
      <c r="A20" s="62" t="s">
        <v>702</v>
      </c>
      <c r="B20" s="62" t="s">
        <v>1013</v>
      </c>
      <c r="C20" s="62" t="s">
        <v>1014</v>
      </c>
      <c r="D20" s="62" t="s">
        <v>1015</v>
      </c>
      <c r="E20" s="125" t="s">
        <v>13</v>
      </c>
      <c r="F20" s="126">
        <f>gemuurtarief1</f>
        <v>0</v>
      </c>
      <c r="G20" s="76">
        <f>SUMPRODUCT(taakfreqtabel1,uurfactortabel1,kengetaltabel1,object15_opptabel1)*(1/VLOOKUP(E20,dagsoorttabel1,2,FALSE))</f>
        <v>0</v>
      </c>
      <c r="H20" s="64"/>
      <c r="I20" s="76">
        <f>G20+H20</f>
        <v>0</v>
      </c>
      <c r="J20" s="66">
        <f>SUMPRODUCT(taakfreqtabel1,kengetaltabel1,tarieftabel1,object15_opptabel1)*(1/VLOOKUP(E20,dagsoorttabel1,2,FALSE))</f>
        <v>0</v>
      </c>
      <c r="K20" s="66">
        <f>F20*H20</f>
        <v>0</v>
      </c>
      <c r="L20" s="66">
        <f>SUM(J20:K20)</f>
        <v>0</v>
      </c>
      <c r="M20" s="76">
        <f>I20*dagenperjaar1*VLOOKUP(E20,dagsoorttabel1,2,FALSE)</f>
        <v>0</v>
      </c>
      <c r="N20" s="66">
        <f>L20*dagenperjaar1*VLOOKUP(E20,dagsoorttabel1,2,FALSE)</f>
        <v>0</v>
      </c>
      <c r="O20" s="66">
        <f>N20/12</f>
        <v>0</v>
      </c>
    </row>
    <row r="21" spans="1:15" x14ac:dyDescent="0.2">
      <c r="A21" s="62" t="s">
        <v>705</v>
      </c>
      <c r="B21" s="62" t="s">
        <v>1016</v>
      </c>
      <c r="C21" s="62" t="s">
        <v>1017</v>
      </c>
      <c r="D21" s="62" t="s">
        <v>1018</v>
      </c>
      <c r="E21" s="125" t="s">
        <v>14</v>
      </c>
      <c r="F21" s="126">
        <f>gemuurtarief1</f>
        <v>0</v>
      </c>
      <c r="G21" s="76">
        <f>SUMPRODUCT(taakfreqtabel1,uurfactortabel1,kengetaltabel1,object16_opptabel1)*(1/VLOOKUP(E21,dagsoorttabel1,2,FALSE))</f>
        <v>0</v>
      </c>
      <c r="H21" s="64"/>
      <c r="I21" s="76">
        <f>G21+H21</f>
        <v>0</v>
      </c>
      <c r="J21" s="66">
        <f>SUMPRODUCT(taakfreqtabel1,kengetaltabel1,tarieftabel1,object16_opptabel1)*(1/VLOOKUP(E21,dagsoorttabel1,2,FALSE))</f>
        <v>0</v>
      </c>
      <c r="K21" s="66">
        <f>F21*H21</f>
        <v>0</v>
      </c>
      <c r="L21" s="66">
        <f>SUM(J21:K21)</f>
        <v>0</v>
      </c>
      <c r="M21" s="76">
        <f>I21*dagenperjaar1*VLOOKUP(E21,dagsoorttabel1,2,FALSE)</f>
        <v>0</v>
      </c>
      <c r="N21" s="66">
        <f>L21*dagenperjaar1*VLOOKUP(E21,dagsoorttabel1,2,FALSE)</f>
        <v>0</v>
      </c>
      <c r="O21" s="66">
        <f>N21/12</f>
        <v>0</v>
      </c>
    </row>
    <row r="22" spans="1:15" x14ac:dyDescent="0.2">
      <c r="A22" s="62" t="s">
        <v>709</v>
      </c>
      <c r="B22" s="62" t="s">
        <v>1019</v>
      </c>
      <c r="C22" s="62" t="s">
        <v>1020</v>
      </c>
      <c r="D22" s="62" t="s">
        <v>1021</v>
      </c>
      <c r="E22" s="125" t="s">
        <v>11</v>
      </c>
      <c r="F22" s="126">
        <f>gemuurtarief1</f>
        <v>0</v>
      </c>
      <c r="G22" s="76">
        <f>SUMPRODUCT(taakfreqtabel1,uurfactortabel1,kengetaltabel1,object17_opptabel1)*(1/VLOOKUP(E22,dagsoorttabel1,2,FALSE))</f>
        <v>0</v>
      </c>
      <c r="H22" s="64"/>
      <c r="I22" s="76">
        <f>G22+H22</f>
        <v>0</v>
      </c>
      <c r="J22" s="66">
        <f>SUMPRODUCT(taakfreqtabel1,kengetaltabel1,tarieftabel1,object17_opptabel1)*(1/VLOOKUP(E22,dagsoorttabel1,2,FALSE))</f>
        <v>0</v>
      </c>
      <c r="K22" s="66">
        <f>F22*H22</f>
        <v>0</v>
      </c>
      <c r="L22" s="66">
        <f>SUM(J22:K22)</f>
        <v>0</v>
      </c>
      <c r="M22" s="76">
        <f>I22*dagenperjaar1*VLOOKUP(E22,dagsoorttabel1,2,FALSE)</f>
        <v>0</v>
      </c>
      <c r="N22" s="66">
        <f>L22*dagenperjaar1*VLOOKUP(E22,dagsoorttabel1,2,FALSE)</f>
        <v>0</v>
      </c>
      <c r="O22" s="66">
        <f>N22/12</f>
        <v>0</v>
      </c>
    </row>
    <row r="23" spans="1:15" x14ac:dyDescent="0.2">
      <c r="A23" s="62" t="s">
        <v>713</v>
      </c>
      <c r="B23" s="62" t="s">
        <v>1022</v>
      </c>
      <c r="C23" s="62" t="s">
        <v>1023</v>
      </c>
      <c r="D23" s="62" t="s">
        <v>1024</v>
      </c>
      <c r="E23" s="125" t="s">
        <v>11</v>
      </c>
      <c r="F23" s="126">
        <f>gemuurtarief1</f>
        <v>0</v>
      </c>
      <c r="G23" s="76">
        <f>SUMPRODUCT(taakfreqtabel1,uurfactortabel1,kengetaltabel1,object18_opptabel1)*(1/VLOOKUP(E23,dagsoorttabel1,2,FALSE))</f>
        <v>0</v>
      </c>
      <c r="H23" s="64"/>
      <c r="I23" s="76">
        <f>G23+H23</f>
        <v>0</v>
      </c>
      <c r="J23" s="66">
        <f>SUMPRODUCT(taakfreqtabel1,kengetaltabel1,tarieftabel1,object18_opptabel1)*(1/VLOOKUP(E23,dagsoorttabel1,2,FALSE))</f>
        <v>0</v>
      </c>
      <c r="K23" s="66">
        <f>F23*H23</f>
        <v>0</v>
      </c>
      <c r="L23" s="66">
        <f>SUM(J23:K23)</f>
        <v>0</v>
      </c>
      <c r="M23" s="76">
        <f>I23*dagenperjaar1*VLOOKUP(E23,dagsoorttabel1,2,FALSE)</f>
        <v>0</v>
      </c>
      <c r="N23" s="66">
        <f>L23*dagenperjaar1*VLOOKUP(E23,dagsoorttabel1,2,FALSE)</f>
        <v>0</v>
      </c>
      <c r="O23" s="66">
        <f>N23/12</f>
        <v>0</v>
      </c>
    </row>
    <row r="24" spans="1:15" x14ac:dyDescent="0.2">
      <c r="A24" s="62" t="s">
        <v>716</v>
      </c>
      <c r="B24" s="62" t="s">
        <v>1025</v>
      </c>
      <c r="C24" s="62" t="s">
        <v>1026</v>
      </c>
      <c r="D24" s="62" t="s">
        <v>1027</v>
      </c>
      <c r="E24" s="125" t="s">
        <v>11</v>
      </c>
      <c r="F24" s="126">
        <f>gemuurtarief1</f>
        <v>0</v>
      </c>
      <c r="G24" s="76">
        <f>SUMPRODUCT(taakfreqtabel1,uurfactortabel1,kengetaltabel1,object19_opptabel1)*(1/VLOOKUP(E24,dagsoorttabel1,2,FALSE))</f>
        <v>0</v>
      </c>
      <c r="H24" s="64"/>
      <c r="I24" s="76">
        <f>G24+H24</f>
        <v>0</v>
      </c>
      <c r="J24" s="66">
        <f>SUMPRODUCT(taakfreqtabel1,kengetaltabel1,tarieftabel1,object19_opptabel1)*(1/VLOOKUP(E24,dagsoorttabel1,2,FALSE))</f>
        <v>0</v>
      </c>
      <c r="K24" s="66">
        <f>F24*H24</f>
        <v>0</v>
      </c>
      <c r="L24" s="66">
        <f>SUM(J24:K24)</f>
        <v>0</v>
      </c>
      <c r="M24" s="76">
        <f>I24*dagenperjaar1*VLOOKUP(E24,dagsoorttabel1,2,FALSE)</f>
        <v>0</v>
      </c>
      <c r="N24" s="66">
        <f>L24*dagenperjaar1*VLOOKUP(E24,dagsoorttabel1,2,FALSE)</f>
        <v>0</v>
      </c>
      <c r="O24" s="66">
        <f>N24/12</f>
        <v>0</v>
      </c>
    </row>
    <row r="25" spans="1:15" x14ac:dyDescent="0.2">
      <c r="A25" s="62" t="s">
        <v>721</v>
      </c>
      <c r="B25" s="62" t="s">
        <v>1028</v>
      </c>
      <c r="C25" s="62" t="s">
        <v>1029</v>
      </c>
      <c r="D25" s="62" t="s">
        <v>1030</v>
      </c>
      <c r="E25" s="125" t="s">
        <v>11</v>
      </c>
      <c r="F25" s="126">
        <f>gemuurtarief1</f>
        <v>0</v>
      </c>
      <c r="G25" s="76">
        <f>SUMPRODUCT(taakfreqtabel1,uurfactortabel1,kengetaltabel1,object20_opptabel1)*(1/VLOOKUP(E25,dagsoorttabel1,2,FALSE))</f>
        <v>0</v>
      </c>
      <c r="H25" s="64"/>
      <c r="I25" s="76">
        <f>G25+H25</f>
        <v>0</v>
      </c>
      <c r="J25" s="66">
        <f>SUMPRODUCT(taakfreqtabel1,kengetaltabel1,tarieftabel1,object20_opptabel1)*(1/VLOOKUP(E25,dagsoorttabel1,2,FALSE))</f>
        <v>0</v>
      </c>
      <c r="K25" s="66">
        <f>F25*H25</f>
        <v>0</v>
      </c>
      <c r="L25" s="66">
        <f>SUM(J25:K25)</f>
        <v>0</v>
      </c>
      <c r="M25" s="76">
        <f>I25*dagenperjaar1*VLOOKUP(E25,dagsoorttabel1,2,FALSE)</f>
        <v>0</v>
      </c>
      <c r="N25" s="66">
        <f>L25*dagenperjaar1*VLOOKUP(E25,dagsoorttabel1,2,FALSE)</f>
        <v>0</v>
      </c>
      <c r="O25" s="66">
        <f>N25/12</f>
        <v>0</v>
      </c>
    </row>
    <row r="26" spans="1:15" x14ac:dyDescent="0.2">
      <c r="A26" s="62" t="s">
        <v>732</v>
      </c>
      <c r="B26" s="62" t="s">
        <v>1031</v>
      </c>
      <c r="C26" s="62" t="s">
        <v>1032</v>
      </c>
      <c r="D26" s="62" t="s">
        <v>1033</v>
      </c>
      <c r="E26" s="125" t="s">
        <v>11</v>
      </c>
      <c r="F26" s="126">
        <f>gemuurtarief1</f>
        <v>0</v>
      </c>
      <c r="G26" s="76">
        <f>SUMPRODUCT(taakfreqtabel1,uurfactortabel1,kengetaltabel1,object21_opptabel1)*(1/VLOOKUP(E26,dagsoorttabel1,2,FALSE))</f>
        <v>0</v>
      </c>
      <c r="H26" s="64"/>
      <c r="I26" s="76">
        <f>G26+H26</f>
        <v>0</v>
      </c>
      <c r="J26" s="66">
        <f>SUMPRODUCT(taakfreqtabel1,kengetaltabel1,tarieftabel1,object21_opptabel1)*(1/VLOOKUP(E26,dagsoorttabel1,2,FALSE))</f>
        <v>0</v>
      </c>
      <c r="K26" s="66">
        <f>F26*H26</f>
        <v>0</v>
      </c>
      <c r="L26" s="66">
        <f>SUM(J26:K26)</f>
        <v>0</v>
      </c>
      <c r="M26" s="76">
        <f>I26*dagenperjaar1*VLOOKUP(E26,dagsoorttabel1,2,FALSE)</f>
        <v>0</v>
      </c>
      <c r="N26" s="66">
        <f>L26*dagenperjaar1*VLOOKUP(E26,dagsoorttabel1,2,FALSE)</f>
        <v>0</v>
      </c>
      <c r="O26" s="66">
        <f>N26/12</f>
        <v>0</v>
      </c>
    </row>
    <row r="27" spans="1:15" x14ac:dyDescent="0.2">
      <c r="A27" s="62" t="s">
        <v>743</v>
      </c>
      <c r="B27" s="62" t="s">
        <v>1034</v>
      </c>
      <c r="C27" s="62" t="s">
        <v>1035</v>
      </c>
      <c r="D27" s="62" t="s">
        <v>1036</v>
      </c>
      <c r="E27" s="125" t="s">
        <v>13</v>
      </c>
      <c r="F27" s="126">
        <f>gemuurtarief1</f>
        <v>0</v>
      </c>
      <c r="G27" s="76">
        <f>SUMPRODUCT(taakfreqtabel1,uurfactortabel1,kengetaltabel1,object22_opptabel1)*(1/VLOOKUP(E27,dagsoorttabel1,2,FALSE))</f>
        <v>0</v>
      </c>
      <c r="H27" s="64"/>
      <c r="I27" s="76">
        <f>G27+H27</f>
        <v>0</v>
      </c>
      <c r="J27" s="66">
        <f>SUMPRODUCT(taakfreqtabel1,kengetaltabel1,tarieftabel1,object22_opptabel1)*(1/VLOOKUP(E27,dagsoorttabel1,2,FALSE))</f>
        <v>0</v>
      </c>
      <c r="K27" s="66">
        <f>F27*H27</f>
        <v>0</v>
      </c>
      <c r="L27" s="66">
        <f>SUM(J27:K27)</f>
        <v>0</v>
      </c>
      <c r="M27" s="76">
        <f>I27*dagenperjaar1*VLOOKUP(E27,dagsoorttabel1,2,FALSE)</f>
        <v>0</v>
      </c>
      <c r="N27" s="66">
        <f>L27*dagenperjaar1*VLOOKUP(E27,dagsoorttabel1,2,FALSE)</f>
        <v>0</v>
      </c>
      <c r="O27" s="66">
        <f>N27/12</f>
        <v>0</v>
      </c>
    </row>
    <row r="28" spans="1:15" x14ac:dyDescent="0.2">
      <c r="A28" s="62" t="s">
        <v>745</v>
      </c>
      <c r="B28" s="62" t="s">
        <v>1037</v>
      </c>
      <c r="C28" s="62" t="s">
        <v>1038</v>
      </c>
      <c r="D28" s="62" t="s">
        <v>1039</v>
      </c>
      <c r="E28" s="125" t="s">
        <v>13</v>
      </c>
      <c r="F28" s="126">
        <f>gemuurtarief1</f>
        <v>0</v>
      </c>
      <c r="G28" s="76">
        <f>SUMPRODUCT(taakfreqtabel1,uurfactortabel1,kengetaltabel1,object23_opptabel1)*(1/VLOOKUP(E28,dagsoorttabel1,2,FALSE))</f>
        <v>0</v>
      </c>
      <c r="H28" s="64"/>
      <c r="I28" s="76">
        <f>G28+H28</f>
        <v>0</v>
      </c>
      <c r="J28" s="66">
        <f>SUMPRODUCT(taakfreqtabel1,kengetaltabel1,tarieftabel1,object23_opptabel1)*(1/VLOOKUP(E28,dagsoorttabel1,2,FALSE))</f>
        <v>0</v>
      </c>
      <c r="K28" s="66">
        <f>F28*H28</f>
        <v>0</v>
      </c>
      <c r="L28" s="66">
        <f>SUM(J28:K28)</f>
        <v>0</v>
      </c>
      <c r="M28" s="76">
        <f>I28*dagenperjaar1*VLOOKUP(E28,dagsoorttabel1,2,FALSE)</f>
        <v>0</v>
      </c>
      <c r="N28" s="66">
        <f>L28*dagenperjaar1*VLOOKUP(E28,dagsoorttabel1,2,FALSE)</f>
        <v>0</v>
      </c>
      <c r="O28" s="66">
        <f>N28/12</f>
        <v>0</v>
      </c>
    </row>
    <row r="29" spans="1:15" x14ac:dyDescent="0.2">
      <c r="A29" s="62" t="s">
        <v>753</v>
      </c>
      <c r="B29" s="62" t="s">
        <v>1040</v>
      </c>
      <c r="C29" s="62" t="s">
        <v>1041</v>
      </c>
      <c r="D29" s="62" t="s">
        <v>1042</v>
      </c>
      <c r="E29" s="125" t="s">
        <v>20</v>
      </c>
      <c r="F29" s="126">
        <f>gemuurtarief1</f>
        <v>0</v>
      </c>
      <c r="G29" s="76">
        <f>SUMPRODUCT(taakfreqtabel1,uurfactortabel1,kengetaltabel1,object24_opptabel1)*(1/VLOOKUP(E29,dagsoorttabel1,2,FALSE))</f>
        <v>0</v>
      </c>
      <c r="H29" s="64"/>
      <c r="I29" s="76">
        <f>G29+H29</f>
        <v>0</v>
      </c>
      <c r="J29" s="66">
        <f>SUMPRODUCT(taakfreqtabel1,kengetaltabel1,tarieftabel1,object24_opptabel1)*(1/VLOOKUP(E29,dagsoorttabel1,2,FALSE))</f>
        <v>0</v>
      </c>
      <c r="K29" s="66">
        <f>F29*H29</f>
        <v>0</v>
      </c>
      <c r="L29" s="66">
        <f>SUM(J29:K29)</f>
        <v>0</v>
      </c>
      <c r="M29" s="76">
        <f>I29*dagenperjaar1*VLOOKUP(E29,dagsoorttabel1,2,FALSE)</f>
        <v>0</v>
      </c>
      <c r="N29" s="66">
        <f>L29*dagenperjaar1*VLOOKUP(E29,dagsoorttabel1,2,FALSE)</f>
        <v>0</v>
      </c>
      <c r="O29" s="66">
        <f>N29/12</f>
        <v>0</v>
      </c>
    </row>
    <row r="30" spans="1:15" x14ac:dyDescent="0.2">
      <c r="A30" s="62" t="s">
        <v>755</v>
      </c>
      <c r="B30" s="62" t="s">
        <v>1043</v>
      </c>
      <c r="C30" s="62" t="s">
        <v>1044</v>
      </c>
      <c r="D30" s="62" t="s">
        <v>1042</v>
      </c>
      <c r="E30" s="125" t="s">
        <v>20</v>
      </c>
      <c r="F30" s="126">
        <f>gemuurtarief1</f>
        <v>0</v>
      </c>
      <c r="G30" s="76">
        <f>SUMPRODUCT(taakfreqtabel1,uurfactortabel1,kengetaltabel1,object25_opptabel1)*(1/VLOOKUP(E30,dagsoorttabel1,2,FALSE))</f>
        <v>0</v>
      </c>
      <c r="H30" s="64"/>
      <c r="I30" s="76">
        <f>G30+H30</f>
        <v>0</v>
      </c>
      <c r="J30" s="66">
        <f>SUMPRODUCT(taakfreqtabel1,kengetaltabel1,tarieftabel1,object25_opptabel1)*(1/VLOOKUP(E30,dagsoorttabel1,2,FALSE))</f>
        <v>0</v>
      </c>
      <c r="K30" s="66">
        <f>F30*H30</f>
        <v>0</v>
      </c>
      <c r="L30" s="66">
        <f>SUM(J30:K30)</f>
        <v>0</v>
      </c>
      <c r="M30" s="76">
        <f>I30*dagenperjaar1*VLOOKUP(E30,dagsoorttabel1,2,FALSE)</f>
        <v>0</v>
      </c>
      <c r="N30" s="66">
        <f>L30*dagenperjaar1*VLOOKUP(E30,dagsoorttabel1,2,FALSE)</f>
        <v>0</v>
      </c>
      <c r="O30" s="66">
        <f>N30/12</f>
        <v>0</v>
      </c>
    </row>
    <row r="31" spans="1:15" x14ac:dyDescent="0.2">
      <c r="A31" s="62" t="s">
        <v>757</v>
      </c>
      <c r="B31" s="62" t="s">
        <v>1045</v>
      </c>
      <c r="C31" s="62" t="s">
        <v>1046</v>
      </c>
      <c r="D31" s="62" t="s">
        <v>1047</v>
      </c>
      <c r="E31" s="125" t="s">
        <v>20</v>
      </c>
      <c r="F31" s="126">
        <f>gemuurtarief1</f>
        <v>0</v>
      </c>
      <c r="G31" s="76">
        <f>SUMPRODUCT(taakfreqtabel1,uurfactortabel1,kengetaltabel1,object26_opptabel1)*(1/VLOOKUP(E31,dagsoorttabel1,2,FALSE))</f>
        <v>0</v>
      </c>
      <c r="H31" s="64"/>
      <c r="I31" s="76">
        <f>G31+H31</f>
        <v>0</v>
      </c>
      <c r="J31" s="66">
        <f>SUMPRODUCT(taakfreqtabel1,kengetaltabel1,tarieftabel1,object26_opptabel1)*(1/VLOOKUP(E31,dagsoorttabel1,2,FALSE))</f>
        <v>0</v>
      </c>
      <c r="K31" s="66">
        <f>F31*H31</f>
        <v>0</v>
      </c>
      <c r="L31" s="66">
        <f>SUM(J31:K31)</f>
        <v>0</v>
      </c>
      <c r="M31" s="76">
        <f>I31*dagenperjaar1*VLOOKUP(E31,dagsoorttabel1,2,FALSE)</f>
        <v>0</v>
      </c>
      <c r="N31" s="66">
        <f>L31*dagenperjaar1*VLOOKUP(E31,dagsoorttabel1,2,FALSE)</f>
        <v>0</v>
      </c>
      <c r="O31" s="66">
        <f>N31/12</f>
        <v>0</v>
      </c>
    </row>
    <row r="32" spans="1:15" x14ac:dyDescent="0.2">
      <c r="A32" s="62" t="s">
        <v>759</v>
      </c>
      <c r="B32" s="62" t="s">
        <v>1048</v>
      </c>
      <c r="C32" s="62" t="s">
        <v>1049</v>
      </c>
      <c r="D32" s="62" t="s">
        <v>1047</v>
      </c>
      <c r="E32" s="125" t="s">
        <v>20</v>
      </c>
      <c r="F32" s="126">
        <f>gemuurtarief1</f>
        <v>0</v>
      </c>
      <c r="G32" s="76">
        <f>SUMPRODUCT(taakfreqtabel1,uurfactortabel1,kengetaltabel1,object27_opptabel1)*(1/VLOOKUP(E32,dagsoorttabel1,2,FALSE))</f>
        <v>0</v>
      </c>
      <c r="H32" s="64"/>
      <c r="I32" s="76">
        <f>G32+H32</f>
        <v>0</v>
      </c>
      <c r="J32" s="66">
        <f>SUMPRODUCT(taakfreqtabel1,kengetaltabel1,tarieftabel1,object27_opptabel1)*(1/VLOOKUP(E32,dagsoorttabel1,2,FALSE))</f>
        <v>0</v>
      </c>
      <c r="K32" s="66">
        <f>F32*H32</f>
        <v>0</v>
      </c>
      <c r="L32" s="66">
        <f>SUM(J32:K32)</f>
        <v>0</v>
      </c>
      <c r="M32" s="76">
        <f>I32*dagenperjaar1*VLOOKUP(E32,dagsoorttabel1,2,FALSE)</f>
        <v>0</v>
      </c>
      <c r="N32" s="66">
        <f>L32*dagenperjaar1*VLOOKUP(E32,dagsoorttabel1,2,FALSE)</f>
        <v>0</v>
      </c>
      <c r="O32" s="66">
        <f>N32/12</f>
        <v>0</v>
      </c>
    </row>
    <row r="33" spans="1:15" x14ac:dyDescent="0.2">
      <c r="A33" s="62" t="s">
        <v>761</v>
      </c>
      <c r="B33" s="62" t="s">
        <v>1050</v>
      </c>
      <c r="C33" s="62" t="s">
        <v>1051</v>
      </c>
      <c r="D33" s="62" t="s">
        <v>1052</v>
      </c>
      <c r="E33" s="125" t="s">
        <v>20</v>
      </c>
      <c r="F33" s="126">
        <f>gemuurtarief1</f>
        <v>0</v>
      </c>
      <c r="G33" s="76">
        <f>SUMPRODUCT(taakfreqtabel1,uurfactortabel1,kengetaltabel1,object28_opptabel1)*(1/VLOOKUP(E33,dagsoorttabel1,2,FALSE))</f>
        <v>0</v>
      </c>
      <c r="H33" s="64"/>
      <c r="I33" s="76">
        <f>G33+H33</f>
        <v>0</v>
      </c>
      <c r="J33" s="66">
        <f>SUMPRODUCT(taakfreqtabel1,kengetaltabel1,tarieftabel1,object28_opptabel1)*(1/VLOOKUP(E33,dagsoorttabel1,2,FALSE))</f>
        <v>0</v>
      </c>
      <c r="K33" s="66">
        <f>F33*H33</f>
        <v>0</v>
      </c>
      <c r="L33" s="66">
        <f>SUM(J33:K33)</f>
        <v>0</v>
      </c>
      <c r="M33" s="76">
        <f>I33*dagenperjaar1*VLOOKUP(E33,dagsoorttabel1,2,FALSE)</f>
        <v>0</v>
      </c>
      <c r="N33" s="66">
        <f>L33*dagenperjaar1*VLOOKUP(E33,dagsoorttabel1,2,FALSE)</f>
        <v>0</v>
      </c>
      <c r="O33" s="66">
        <f>N33/12</f>
        <v>0</v>
      </c>
    </row>
    <row r="34" spans="1:15" x14ac:dyDescent="0.2">
      <c r="A34" s="62" t="s">
        <v>763</v>
      </c>
      <c r="B34" s="62" t="s">
        <v>1053</v>
      </c>
      <c r="C34" s="62" t="s">
        <v>1054</v>
      </c>
      <c r="D34" s="62" t="s">
        <v>1052</v>
      </c>
      <c r="E34" s="125" t="s">
        <v>20</v>
      </c>
      <c r="F34" s="126">
        <f>gemuurtarief1</f>
        <v>0</v>
      </c>
      <c r="G34" s="76">
        <f>SUMPRODUCT(taakfreqtabel1,uurfactortabel1,kengetaltabel1,object29_opptabel1)*(1/VLOOKUP(E34,dagsoorttabel1,2,FALSE))</f>
        <v>0</v>
      </c>
      <c r="H34" s="64"/>
      <c r="I34" s="76">
        <f>G34+H34</f>
        <v>0</v>
      </c>
      <c r="J34" s="66">
        <f>SUMPRODUCT(taakfreqtabel1,kengetaltabel1,tarieftabel1,object29_opptabel1)*(1/VLOOKUP(E34,dagsoorttabel1,2,FALSE))</f>
        <v>0</v>
      </c>
      <c r="K34" s="66">
        <f>F34*H34</f>
        <v>0</v>
      </c>
      <c r="L34" s="66">
        <f>SUM(J34:K34)</f>
        <v>0</v>
      </c>
      <c r="M34" s="76">
        <f>I34*dagenperjaar1*VLOOKUP(E34,dagsoorttabel1,2,FALSE)</f>
        <v>0</v>
      </c>
      <c r="N34" s="66">
        <f>L34*dagenperjaar1*VLOOKUP(E34,dagsoorttabel1,2,FALSE)</f>
        <v>0</v>
      </c>
      <c r="O34" s="66">
        <f>N34/12</f>
        <v>0</v>
      </c>
    </row>
    <row r="35" spans="1:15" x14ac:dyDescent="0.2">
      <c r="A35" s="62" t="s">
        <v>766</v>
      </c>
      <c r="B35" s="62" t="s">
        <v>1055</v>
      </c>
      <c r="C35" s="62" t="s">
        <v>1056</v>
      </c>
      <c r="D35" s="62" t="s">
        <v>1057</v>
      </c>
      <c r="E35" s="125" t="s">
        <v>20</v>
      </c>
      <c r="F35" s="126">
        <f>gemuurtarief1</f>
        <v>0</v>
      </c>
      <c r="G35" s="76">
        <f>SUMPRODUCT(taakfreqtabel1,uurfactortabel1,kengetaltabel1,object30_opptabel1)*(1/VLOOKUP(E35,dagsoorttabel1,2,FALSE))</f>
        <v>0</v>
      </c>
      <c r="H35" s="64"/>
      <c r="I35" s="76">
        <f>G35+H35</f>
        <v>0</v>
      </c>
      <c r="J35" s="66">
        <f>SUMPRODUCT(taakfreqtabel1,kengetaltabel1,tarieftabel1,object30_opptabel1)*(1/VLOOKUP(E35,dagsoorttabel1,2,FALSE))</f>
        <v>0</v>
      </c>
      <c r="K35" s="66">
        <f>F35*H35</f>
        <v>0</v>
      </c>
      <c r="L35" s="66">
        <f>SUM(J35:K35)</f>
        <v>0</v>
      </c>
      <c r="M35" s="76">
        <f>I35*dagenperjaar1*VLOOKUP(E35,dagsoorttabel1,2,FALSE)</f>
        <v>0</v>
      </c>
      <c r="N35" s="66">
        <f>L35*dagenperjaar1*VLOOKUP(E35,dagsoorttabel1,2,FALSE)</f>
        <v>0</v>
      </c>
      <c r="O35" s="66">
        <f>N35/12</f>
        <v>0</v>
      </c>
    </row>
    <row r="36" spans="1:15" x14ac:dyDescent="0.2">
      <c r="A36" s="62" t="s">
        <v>768</v>
      </c>
      <c r="B36" s="62" t="s">
        <v>1058</v>
      </c>
      <c r="C36" s="62" t="s">
        <v>1059</v>
      </c>
      <c r="D36" s="62" t="s">
        <v>1060</v>
      </c>
      <c r="E36" s="125" t="s">
        <v>20</v>
      </c>
      <c r="F36" s="126">
        <f>gemuurtarief1</f>
        <v>0</v>
      </c>
      <c r="G36" s="76">
        <f>SUMPRODUCT(taakfreqtabel1,uurfactortabel1,kengetaltabel1,object31_opptabel1)*(1/VLOOKUP(E36,dagsoorttabel1,2,FALSE))</f>
        <v>0</v>
      </c>
      <c r="H36" s="64"/>
      <c r="I36" s="76">
        <f>G36+H36</f>
        <v>0</v>
      </c>
      <c r="J36" s="66">
        <f>SUMPRODUCT(taakfreqtabel1,kengetaltabel1,tarieftabel1,object31_opptabel1)*(1/VLOOKUP(E36,dagsoorttabel1,2,FALSE))</f>
        <v>0</v>
      </c>
      <c r="K36" s="66">
        <f>F36*H36</f>
        <v>0</v>
      </c>
      <c r="L36" s="66">
        <f>SUM(J36:K36)</f>
        <v>0</v>
      </c>
      <c r="M36" s="76">
        <f>I36*dagenperjaar1*VLOOKUP(E36,dagsoorttabel1,2,FALSE)</f>
        <v>0</v>
      </c>
      <c r="N36" s="66">
        <f>L36*dagenperjaar1*VLOOKUP(E36,dagsoorttabel1,2,FALSE)</f>
        <v>0</v>
      </c>
      <c r="O36" s="66">
        <f>N36/12</f>
        <v>0</v>
      </c>
    </row>
    <row r="37" spans="1:15" x14ac:dyDescent="0.2">
      <c r="A37" s="62" t="s">
        <v>770</v>
      </c>
      <c r="B37" s="62" t="s">
        <v>1061</v>
      </c>
      <c r="C37" s="62" t="s">
        <v>1062</v>
      </c>
      <c r="D37" s="62" t="s">
        <v>1027</v>
      </c>
      <c r="E37" s="125" t="s">
        <v>20</v>
      </c>
      <c r="F37" s="126">
        <f>gemuurtarief1</f>
        <v>0</v>
      </c>
      <c r="G37" s="76">
        <f>SUMPRODUCT(taakfreqtabel1,uurfactortabel1,kengetaltabel1,object32_opptabel1)*(1/VLOOKUP(E37,dagsoorttabel1,2,FALSE))</f>
        <v>0</v>
      </c>
      <c r="H37" s="64"/>
      <c r="I37" s="76">
        <f>G37+H37</f>
        <v>0</v>
      </c>
      <c r="J37" s="66">
        <f>SUMPRODUCT(taakfreqtabel1,kengetaltabel1,tarieftabel1,object32_opptabel1)*(1/VLOOKUP(E37,dagsoorttabel1,2,FALSE))</f>
        <v>0</v>
      </c>
      <c r="K37" s="66">
        <f>F37*H37</f>
        <v>0</v>
      </c>
      <c r="L37" s="66">
        <f>SUM(J37:K37)</f>
        <v>0</v>
      </c>
      <c r="M37" s="76">
        <f>I37*dagenperjaar1*VLOOKUP(E37,dagsoorttabel1,2,FALSE)</f>
        <v>0</v>
      </c>
      <c r="N37" s="66">
        <f>L37*dagenperjaar1*VLOOKUP(E37,dagsoorttabel1,2,FALSE)</f>
        <v>0</v>
      </c>
      <c r="O37" s="66">
        <f>N37/12</f>
        <v>0</v>
      </c>
    </row>
    <row r="38" spans="1:15" x14ac:dyDescent="0.2">
      <c r="A38" s="62" t="s">
        <v>772</v>
      </c>
      <c r="B38" s="62" t="s">
        <v>1063</v>
      </c>
      <c r="C38" s="62" t="s">
        <v>1064</v>
      </c>
      <c r="D38" s="62" t="s">
        <v>1065</v>
      </c>
      <c r="E38" s="125" t="s">
        <v>14</v>
      </c>
      <c r="F38" s="126">
        <f>gemuurtarief1</f>
        <v>0</v>
      </c>
      <c r="G38" s="76">
        <f>SUMPRODUCT(taakfreqtabel1,uurfactortabel1,kengetaltabel1,object33_opptabel1)*(1/VLOOKUP(E38,dagsoorttabel1,2,FALSE))</f>
        <v>0</v>
      </c>
      <c r="H38" s="64"/>
      <c r="I38" s="76">
        <f>G38+H38</f>
        <v>0</v>
      </c>
      <c r="J38" s="66">
        <f>SUMPRODUCT(taakfreqtabel1,kengetaltabel1,tarieftabel1,object33_opptabel1)*(1/VLOOKUP(E38,dagsoorttabel1,2,FALSE))</f>
        <v>0</v>
      </c>
      <c r="K38" s="66">
        <f>F38*H38</f>
        <v>0</v>
      </c>
      <c r="L38" s="66">
        <f>SUM(J38:K38)</f>
        <v>0</v>
      </c>
      <c r="M38" s="76">
        <f>I38*dagenperjaar1*VLOOKUP(E38,dagsoorttabel1,2,FALSE)</f>
        <v>0</v>
      </c>
      <c r="N38" s="66">
        <f>L38*dagenperjaar1*VLOOKUP(E38,dagsoorttabel1,2,FALSE)</f>
        <v>0</v>
      </c>
      <c r="O38" s="66">
        <f>N38/12</f>
        <v>0</v>
      </c>
    </row>
    <row r="39" spans="1:15" x14ac:dyDescent="0.2">
      <c r="A39" s="62" t="s">
        <v>776</v>
      </c>
      <c r="B39" s="62" t="s">
        <v>1066</v>
      </c>
      <c r="C39" s="62" t="s">
        <v>1067</v>
      </c>
      <c r="D39" s="62" t="s">
        <v>1068</v>
      </c>
      <c r="E39" s="125" t="s">
        <v>12</v>
      </c>
      <c r="F39" s="126">
        <f>gemuurtarief1</f>
        <v>0</v>
      </c>
      <c r="G39" s="76">
        <f>SUMPRODUCT(taakfreqtabel1,uurfactortabel1,kengetaltabel1,object34_opptabel1)*(1/VLOOKUP(E39,dagsoorttabel1,2,FALSE))</f>
        <v>0</v>
      </c>
      <c r="H39" s="64"/>
      <c r="I39" s="76">
        <f>G39+H39</f>
        <v>0</v>
      </c>
      <c r="J39" s="66">
        <f>SUMPRODUCT(taakfreqtabel1,kengetaltabel1,tarieftabel1,object34_opptabel1)*(1/VLOOKUP(E39,dagsoorttabel1,2,FALSE))</f>
        <v>0</v>
      </c>
      <c r="K39" s="66">
        <f>F39*H39</f>
        <v>0</v>
      </c>
      <c r="L39" s="66">
        <f>SUM(J39:K39)</f>
        <v>0</v>
      </c>
      <c r="M39" s="76">
        <f>I39*dagenperjaar1*VLOOKUP(E39,dagsoorttabel1,2,FALSE)</f>
        <v>0</v>
      </c>
      <c r="N39" s="66">
        <f>L39*dagenperjaar1*VLOOKUP(E39,dagsoorttabel1,2,FALSE)</f>
        <v>0</v>
      </c>
      <c r="O39" s="66">
        <f>N39/12</f>
        <v>0</v>
      </c>
    </row>
    <row r="40" spans="1:15" x14ac:dyDescent="0.2">
      <c r="A40" s="62" t="s">
        <v>783</v>
      </c>
      <c r="B40" s="62" t="s">
        <v>1069</v>
      </c>
      <c r="C40" s="62" t="s">
        <v>1069</v>
      </c>
      <c r="D40" s="62" t="s">
        <v>982</v>
      </c>
      <c r="E40" s="125" t="s">
        <v>13</v>
      </c>
      <c r="F40" s="126">
        <f>gemuurtarief1</f>
        <v>0</v>
      </c>
      <c r="G40" s="76">
        <f>SUMPRODUCT(taakfreqtabel1,uurfactortabel1,kengetaltabel1,object35_opptabel1)*(1/VLOOKUP(E40,dagsoorttabel1,2,FALSE))</f>
        <v>0</v>
      </c>
      <c r="H40" s="64"/>
      <c r="I40" s="76">
        <f>G40+H40</f>
        <v>0</v>
      </c>
      <c r="J40" s="66">
        <f>SUMPRODUCT(taakfreqtabel1,kengetaltabel1,tarieftabel1,object35_opptabel1)*(1/VLOOKUP(E40,dagsoorttabel1,2,FALSE))</f>
        <v>0</v>
      </c>
      <c r="K40" s="66">
        <f>F40*H40</f>
        <v>0</v>
      </c>
      <c r="L40" s="66">
        <f>SUM(J40:K40)</f>
        <v>0</v>
      </c>
      <c r="M40" s="76">
        <f>I40*dagenperjaar1*VLOOKUP(E40,dagsoorttabel1,2,FALSE)</f>
        <v>0</v>
      </c>
      <c r="N40" s="66">
        <f>L40*dagenperjaar1*VLOOKUP(E40,dagsoorttabel1,2,FALSE)</f>
        <v>0</v>
      </c>
      <c r="O40" s="66">
        <f>N40/12</f>
        <v>0</v>
      </c>
    </row>
    <row r="41" spans="1:15" x14ac:dyDescent="0.2">
      <c r="A41" s="62" t="s">
        <v>790</v>
      </c>
      <c r="B41" s="62" t="s">
        <v>1070</v>
      </c>
      <c r="C41" s="62" t="s">
        <v>1071</v>
      </c>
      <c r="D41" s="62" t="s">
        <v>1042</v>
      </c>
      <c r="E41" s="125" t="s">
        <v>12</v>
      </c>
      <c r="F41" s="126">
        <f>gemuurtarief1</f>
        <v>0</v>
      </c>
      <c r="G41" s="76">
        <f>SUMPRODUCT(taakfreqtabel1,uurfactortabel1,kengetaltabel1,object36_opptabel1)*(1/VLOOKUP(E41,dagsoorttabel1,2,FALSE))</f>
        <v>0</v>
      </c>
      <c r="H41" s="64"/>
      <c r="I41" s="76">
        <f>G41+H41</f>
        <v>0</v>
      </c>
      <c r="J41" s="66">
        <f>SUMPRODUCT(taakfreqtabel1,kengetaltabel1,tarieftabel1,object36_opptabel1)*(1/VLOOKUP(E41,dagsoorttabel1,2,FALSE))</f>
        <v>0</v>
      </c>
      <c r="K41" s="66">
        <f>F41*H41</f>
        <v>0</v>
      </c>
      <c r="L41" s="66">
        <f>SUM(J41:K41)</f>
        <v>0</v>
      </c>
      <c r="M41" s="76">
        <f>I41*dagenperjaar1*VLOOKUP(E41,dagsoorttabel1,2,FALSE)</f>
        <v>0</v>
      </c>
      <c r="N41" s="66">
        <f>L41*dagenperjaar1*VLOOKUP(E41,dagsoorttabel1,2,FALSE)</f>
        <v>0</v>
      </c>
      <c r="O41" s="66">
        <f>N41/12</f>
        <v>0</v>
      </c>
    </row>
    <row r="42" spans="1:15" x14ac:dyDescent="0.2">
      <c r="A42" s="62" t="s">
        <v>798</v>
      </c>
      <c r="B42" s="62" t="s">
        <v>1072</v>
      </c>
      <c r="C42" s="62" t="s">
        <v>1073</v>
      </c>
      <c r="D42" s="62" t="s">
        <v>1074</v>
      </c>
      <c r="E42" s="125" t="s">
        <v>12</v>
      </c>
      <c r="F42" s="126">
        <f>gemuurtarief1</f>
        <v>0</v>
      </c>
      <c r="G42" s="76">
        <f>SUMPRODUCT(taakfreqtabel1,uurfactortabel1,kengetaltabel1,object37_opptabel1)*(1/VLOOKUP(E42,dagsoorttabel1,2,FALSE))</f>
        <v>0</v>
      </c>
      <c r="H42" s="64"/>
      <c r="I42" s="76">
        <f>G42+H42</f>
        <v>0</v>
      </c>
      <c r="J42" s="66">
        <f>SUMPRODUCT(taakfreqtabel1,kengetaltabel1,tarieftabel1,object37_opptabel1)*(1/VLOOKUP(E42,dagsoorttabel1,2,FALSE))</f>
        <v>0</v>
      </c>
      <c r="K42" s="66">
        <f>F42*H42</f>
        <v>0</v>
      </c>
      <c r="L42" s="66">
        <f>SUM(J42:K42)</f>
        <v>0</v>
      </c>
      <c r="M42" s="76">
        <f>I42*dagenperjaar1*VLOOKUP(E42,dagsoorttabel1,2,FALSE)</f>
        <v>0</v>
      </c>
      <c r="N42" s="66">
        <f>L42*dagenperjaar1*VLOOKUP(E42,dagsoorttabel1,2,FALSE)</f>
        <v>0</v>
      </c>
      <c r="O42" s="66">
        <f>N42/12</f>
        <v>0</v>
      </c>
    </row>
    <row r="43" spans="1:15" x14ac:dyDescent="0.2">
      <c r="A43" s="62" t="s">
        <v>810</v>
      </c>
      <c r="B43" s="62" t="s">
        <v>1075</v>
      </c>
      <c r="C43" s="62" t="s">
        <v>1076</v>
      </c>
      <c r="D43" s="62" t="s">
        <v>1077</v>
      </c>
      <c r="E43" s="125" t="s">
        <v>20</v>
      </c>
      <c r="F43" s="126">
        <f>gemuurtarief1</f>
        <v>0</v>
      </c>
      <c r="G43" s="76">
        <f>SUMPRODUCT(taakfreqtabel1,uurfactortabel1,kengetaltabel1,object38_opptabel1)*(1/VLOOKUP(E43,dagsoorttabel1,2,FALSE))</f>
        <v>0</v>
      </c>
      <c r="H43" s="64"/>
      <c r="I43" s="76">
        <f>G43+H43</f>
        <v>0</v>
      </c>
      <c r="J43" s="66">
        <f>SUMPRODUCT(taakfreqtabel1,kengetaltabel1,tarieftabel1,object38_opptabel1)*(1/VLOOKUP(E43,dagsoorttabel1,2,FALSE))</f>
        <v>0</v>
      </c>
      <c r="K43" s="66">
        <f>F43*H43</f>
        <v>0</v>
      </c>
      <c r="L43" s="66">
        <f>SUM(J43:K43)</f>
        <v>0</v>
      </c>
      <c r="M43" s="76">
        <f>I43*dagenperjaar1*VLOOKUP(E43,dagsoorttabel1,2,FALSE)</f>
        <v>0</v>
      </c>
      <c r="N43" s="66">
        <f>L43*dagenperjaar1*VLOOKUP(E43,dagsoorttabel1,2,FALSE)</f>
        <v>0</v>
      </c>
      <c r="O43" s="66">
        <f>N43/12</f>
        <v>0</v>
      </c>
    </row>
    <row r="44" spans="1:15" x14ac:dyDescent="0.2">
      <c r="A44" s="62" t="s">
        <v>812</v>
      </c>
      <c r="B44" s="62" t="s">
        <v>1078</v>
      </c>
      <c r="C44" s="62" t="s">
        <v>1079</v>
      </c>
      <c r="D44" s="62" t="s">
        <v>1080</v>
      </c>
      <c r="E44" s="125" t="s">
        <v>11</v>
      </c>
      <c r="F44" s="126">
        <f>gemuurtarief1</f>
        <v>0</v>
      </c>
      <c r="G44" s="76">
        <f>SUMPRODUCT(taakfreqtabel1,uurfactortabel1,kengetaltabel1,object39_opptabel1)*(1/VLOOKUP(E44,dagsoorttabel1,2,FALSE))</f>
        <v>0</v>
      </c>
      <c r="H44" s="64"/>
      <c r="I44" s="76">
        <f>G44+H44</f>
        <v>0</v>
      </c>
      <c r="J44" s="66">
        <f>SUMPRODUCT(taakfreqtabel1,kengetaltabel1,tarieftabel1,object39_opptabel1)*(1/VLOOKUP(E44,dagsoorttabel1,2,FALSE))</f>
        <v>0</v>
      </c>
      <c r="K44" s="66">
        <f>F44*H44</f>
        <v>0</v>
      </c>
      <c r="L44" s="66">
        <f>SUM(J44:K44)</f>
        <v>0</v>
      </c>
      <c r="M44" s="76">
        <f>I44*dagenperjaar1*VLOOKUP(E44,dagsoorttabel1,2,FALSE)</f>
        <v>0</v>
      </c>
      <c r="N44" s="66">
        <f>L44*dagenperjaar1*VLOOKUP(E44,dagsoorttabel1,2,FALSE)</f>
        <v>0</v>
      </c>
      <c r="O44" s="66">
        <f>N44/12</f>
        <v>0</v>
      </c>
    </row>
    <row r="45" spans="1:15" x14ac:dyDescent="0.2">
      <c r="A45" s="62" t="s">
        <v>826</v>
      </c>
      <c r="B45" s="62" t="s">
        <v>1081</v>
      </c>
      <c r="C45" s="62" t="s">
        <v>1082</v>
      </c>
      <c r="D45" s="62" t="s">
        <v>1083</v>
      </c>
      <c r="E45" s="125" t="s">
        <v>22</v>
      </c>
      <c r="F45" s="126">
        <f>gemuurtarief1</f>
        <v>0</v>
      </c>
      <c r="G45" s="76">
        <f>SUMPRODUCT(taakfreqtabel1,uurfactortabel1,kengetaltabel1,object40_opptabel1)*(1/VLOOKUP(E45,dagsoorttabel1,2,FALSE))</f>
        <v>0</v>
      </c>
      <c r="H45" s="64"/>
      <c r="I45" s="76">
        <f>G45+H45</f>
        <v>0</v>
      </c>
      <c r="J45" s="66">
        <f>SUMPRODUCT(taakfreqtabel1,kengetaltabel1,tarieftabel1,object40_opptabel1)*(1/VLOOKUP(E45,dagsoorttabel1,2,FALSE))</f>
        <v>0</v>
      </c>
      <c r="K45" s="66">
        <f>F45*H45</f>
        <v>0</v>
      </c>
      <c r="L45" s="66">
        <f>SUM(J45:K45)</f>
        <v>0</v>
      </c>
      <c r="M45" s="76">
        <f>I45*dagenperjaar1*VLOOKUP(E45,dagsoorttabel1,2,FALSE)</f>
        <v>0</v>
      </c>
      <c r="N45" s="66">
        <f>L45*dagenperjaar1*VLOOKUP(E45,dagsoorttabel1,2,FALSE)</f>
        <v>0</v>
      </c>
      <c r="O45" s="66">
        <f>N45/12</f>
        <v>0</v>
      </c>
    </row>
    <row r="46" spans="1:15" x14ac:dyDescent="0.2">
      <c r="A46" s="62" t="s">
        <v>828</v>
      </c>
      <c r="B46" s="62" t="s">
        <v>1084</v>
      </c>
      <c r="C46" s="62" t="s">
        <v>1085</v>
      </c>
      <c r="D46" s="62" t="s">
        <v>987</v>
      </c>
      <c r="E46" s="125" t="s">
        <v>22</v>
      </c>
      <c r="F46" s="126">
        <f>gemuurtarief1</f>
        <v>0</v>
      </c>
      <c r="G46" s="76">
        <f>SUMPRODUCT(taakfreqtabel1,uurfactortabel1,kengetaltabel1,object41_opptabel1)*(1/VLOOKUP(E46,dagsoorttabel1,2,FALSE))</f>
        <v>0</v>
      </c>
      <c r="H46" s="64"/>
      <c r="I46" s="76">
        <f>G46+H46</f>
        <v>0</v>
      </c>
      <c r="J46" s="66">
        <f>SUMPRODUCT(taakfreqtabel1,kengetaltabel1,tarieftabel1,object41_opptabel1)*(1/VLOOKUP(E46,dagsoorttabel1,2,FALSE))</f>
        <v>0</v>
      </c>
      <c r="K46" s="66">
        <f>F46*H46</f>
        <v>0</v>
      </c>
      <c r="L46" s="66">
        <f>SUM(J46:K46)</f>
        <v>0</v>
      </c>
      <c r="M46" s="76">
        <f>I46*dagenperjaar1*VLOOKUP(E46,dagsoorttabel1,2,FALSE)</f>
        <v>0</v>
      </c>
      <c r="N46" s="66">
        <f>L46*dagenperjaar1*VLOOKUP(E46,dagsoorttabel1,2,FALSE)</f>
        <v>0</v>
      </c>
      <c r="O46" s="66">
        <f>N46/12</f>
        <v>0</v>
      </c>
    </row>
    <row r="47" spans="1:15" x14ac:dyDescent="0.2">
      <c r="A47" s="62" t="s">
        <v>830</v>
      </c>
      <c r="B47" s="62" t="s">
        <v>1086</v>
      </c>
      <c r="C47" s="62" t="s">
        <v>1087</v>
      </c>
      <c r="D47" s="62" t="s">
        <v>1074</v>
      </c>
      <c r="E47" s="125" t="s">
        <v>22</v>
      </c>
      <c r="F47" s="126">
        <f>gemuurtarief1</f>
        <v>0</v>
      </c>
      <c r="G47" s="76">
        <f>SUMPRODUCT(taakfreqtabel1,uurfactortabel1,kengetaltabel1,object42_opptabel1)*(1/VLOOKUP(E47,dagsoorttabel1,2,FALSE))</f>
        <v>0</v>
      </c>
      <c r="H47" s="64"/>
      <c r="I47" s="76">
        <f>G47+H47</f>
        <v>0</v>
      </c>
      <c r="J47" s="66">
        <f>SUMPRODUCT(taakfreqtabel1,kengetaltabel1,tarieftabel1,object42_opptabel1)*(1/VLOOKUP(E47,dagsoorttabel1,2,FALSE))</f>
        <v>0</v>
      </c>
      <c r="K47" s="66">
        <f>F47*H47</f>
        <v>0</v>
      </c>
      <c r="L47" s="66">
        <f>SUM(J47:K47)</f>
        <v>0</v>
      </c>
      <c r="M47" s="76">
        <f>I47*dagenperjaar1*VLOOKUP(E47,dagsoorttabel1,2,FALSE)</f>
        <v>0</v>
      </c>
      <c r="N47" s="66">
        <f>L47*dagenperjaar1*VLOOKUP(E47,dagsoorttabel1,2,FALSE)</f>
        <v>0</v>
      </c>
      <c r="O47" s="66">
        <f>N47/12</f>
        <v>0</v>
      </c>
    </row>
    <row r="48" spans="1:15" x14ac:dyDescent="0.2">
      <c r="A48" s="62" t="s">
        <v>832</v>
      </c>
      <c r="B48" s="62" t="s">
        <v>1088</v>
      </c>
      <c r="C48" s="62" t="s">
        <v>1089</v>
      </c>
      <c r="D48" s="62" t="s">
        <v>1047</v>
      </c>
      <c r="E48" s="125" t="s">
        <v>22</v>
      </c>
      <c r="F48" s="126">
        <f>gemuurtarief1</f>
        <v>0</v>
      </c>
      <c r="G48" s="76">
        <f>SUMPRODUCT(taakfreqtabel1,uurfactortabel1,kengetaltabel1,object43_opptabel1)*(1/VLOOKUP(E48,dagsoorttabel1,2,FALSE))</f>
        <v>0</v>
      </c>
      <c r="H48" s="64"/>
      <c r="I48" s="76">
        <f>G48+H48</f>
        <v>0</v>
      </c>
      <c r="J48" s="66">
        <f>SUMPRODUCT(taakfreqtabel1,kengetaltabel1,tarieftabel1,object43_opptabel1)*(1/VLOOKUP(E48,dagsoorttabel1,2,FALSE))</f>
        <v>0</v>
      </c>
      <c r="K48" s="66">
        <f>F48*H48</f>
        <v>0</v>
      </c>
      <c r="L48" s="66">
        <f>SUM(J48:K48)</f>
        <v>0</v>
      </c>
      <c r="M48" s="76">
        <f>I48*dagenperjaar1*VLOOKUP(E48,dagsoorttabel1,2,FALSE)</f>
        <v>0</v>
      </c>
      <c r="N48" s="66">
        <f>L48*dagenperjaar1*VLOOKUP(E48,dagsoorttabel1,2,FALSE)</f>
        <v>0</v>
      </c>
      <c r="O48" s="66">
        <f>N48/12</f>
        <v>0</v>
      </c>
    </row>
    <row r="49" spans="1:15" x14ac:dyDescent="0.2">
      <c r="A49" s="62" t="s">
        <v>834</v>
      </c>
      <c r="B49" s="62" t="s">
        <v>1090</v>
      </c>
      <c r="C49" s="62" t="s">
        <v>1091</v>
      </c>
      <c r="D49" s="62" t="s">
        <v>1092</v>
      </c>
      <c r="E49" s="125" t="s">
        <v>22</v>
      </c>
      <c r="F49" s="126">
        <f>gemuurtarief1</f>
        <v>0</v>
      </c>
      <c r="G49" s="76">
        <f>SUMPRODUCT(taakfreqtabel1,uurfactortabel1,kengetaltabel1,object44_opptabel1)*(1/VLOOKUP(E49,dagsoorttabel1,2,FALSE))</f>
        <v>0</v>
      </c>
      <c r="H49" s="64"/>
      <c r="I49" s="76">
        <f>G49+H49</f>
        <v>0</v>
      </c>
      <c r="J49" s="66">
        <f>SUMPRODUCT(taakfreqtabel1,kengetaltabel1,tarieftabel1,object44_opptabel1)*(1/VLOOKUP(E49,dagsoorttabel1,2,FALSE))</f>
        <v>0</v>
      </c>
      <c r="K49" s="66">
        <f>F49*H49</f>
        <v>0</v>
      </c>
      <c r="L49" s="66">
        <f>SUM(J49:K49)</f>
        <v>0</v>
      </c>
      <c r="M49" s="76">
        <f>I49*dagenperjaar1*VLOOKUP(E49,dagsoorttabel1,2,FALSE)</f>
        <v>0</v>
      </c>
      <c r="N49" s="66">
        <f>L49*dagenperjaar1*VLOOKUP(E49,dagsoorttabel1,2,FALSE)</f>
        <v>0</v>
      </c>
      <c r="O49" s="66">
        <f>N49/12</f>
        <v>0</v>
      </c>
    </row>
    <row r="50" spans="1:15" x14ac:dyDescent="0.2">
      <c r="A50" s="62" t="s">
        <v>836</v>
      </c>
      <c r="B50" s="62" t="s">
        <v>1093</v>
      </c>
      <c r="C50" s="62" t="s">
        <v>1094</v>
      </c>
      <c r="D50" s="62" t="s">
        <v>1095</v>
      </c>
      <c r="E50" s="125" t="s">
        <v>22</v>
      </c>
      <c r="F50" s="126">
        <f>gemuurtarief1</f>
        <v>0</v>
      </c>
      <c r="G50" s="76">
        <f>SUMPRODUCT(taakfreqtabel1,uurfactortabel1,kengetaltabel1,object45_opptabel1)*(1/VLOOKUP(E50,dagsoorttabel1,2,FALSE))</f>
        <v>0</v>
      </c>
      <c r="H50" s="64"/>
      <c r="I50" s="76">
        <f>G50+H50</f>
        <v>0</v>
      </c>
      <c r="J50" s="66">
        <f>SUMPRODUCT(taakfreqtabel1,kengetaltabel1,tarieftabel1,object45_opptabel1)*(1/VLOOKUP(E50,dagsoorttabel1,2,FALSE))</f>
        <v>0</v>
      </c>
      <c r="K50" s="66">
        <f>F50*H50</f>
        <v>0</v>
      </c>
      <c r="L50" s="66">
        <f>SUM(J50:K50)</f>
        <v>0</v>
      </c>
      <c r="M50" s="76">
        <f>I50*dagenperjaar1*VLOOKUP(E50,dagsoorttabel1,2,FALSE)</f>
        <v>0</v>
      </c>
      <c r="N50" s="66">
        <f>L50*dagenperjaar1*VLOOKUP(E50,dagsoorttabel1,2,FALSE)</f>
        <v>0</v>
      </c>
      <c r="O50" s="66">
        <f>N50/12</f>
        <v>0</v>
      </c>
    </row>
    <row r="51" spans="1:15" x14ac:dyDescent="0.2">
      <c r="A51" s="62" t="s">
        <v>838</v>
      </c>
      <c r="B51" s="62" t="s">
        <v>1096</v>
      </c>
      <c r="C51" s="62" t="s">
        <v>1097</v>
      </c>
      <c r="D51" s="62" t="s">
        <v>1052</v>
      </c>
      <c r="E51" s="125" t="s">
        <v>22</v>
      </c>
      <c r="F51" s="126">
        <f>gemuurtarief1</f>
        <v>0</v>
      </c>
      <c r="G51" s="76">
        <f>SUMPRODUCT(taakfreqtabel1,uurfactortabel1,kengetaltabel1,object46_opptabel1)*(1/VLOOKUP(E51,dagsoorttabel1,2,FALSE))</f>
        <v>0</v>
      </c>
      <c r="H51" s="64"/>
      <c r="I51" s="76">
        <f>G51+H51</f>
        <v>0</v>
      </c>
      <c r="J51" s="66">
        <f>SUMPRODUCT(taakfreqtabel1,kengetaltabel1,tarieftabel1,object46_opptabel1)*(1/VLOOKUP(E51,dagsoorttabel1,2,FALSE))</f>
        <v>0</v>
      </c>
      <c r="K51" s="66">
        <f>F51*H51</f>
        <v>0</v>
      </c>
      <c r="L51" s="66">
        <f>SUM(J51:K51)</f>
        <v>0</v>
      </c>
      <c r="M51" s="76">
        <f>I51*dagenperjaar1*VLOOKUP(E51,dagsoorttabel1,2,FALSE)</f>
        <v>0</v>
      </c>
      <c r="N51" s="66">
        <f>L51*dagenperjaar1*VLOOKUP(E51,dagsoorttabel1,2,FALSE)</f>
        <v>0</v>
      </c>
      <c r="O51" s="66">
        <f>N51/12</f>
        <v>0</v>
      </c>
    </row>
    <row r="52" spans="1:15" x14ac:dyDescent="0.2">
      <c r="A52" s="62" t="s">
        <v>840</v>
      </c>
      <c r="B52" s="62" t="s">
        <v>1098</v>
      </c>
      <c r="C52" s="62" t="s">
        <v>1099</v>
      </c>
      <c r="D52" s="62" t="s">
        <v>1100</v>
      </c>
      <c r="E52" s="125" t="s">
        <v>22</v>
      </c>
      <c r="F52" s="126">
        <f>gemuurtarief1</f>
        <v>0</v>
      </c>
      <c r="G52" s="76">
        <f>SUMPRODUCT(taakfreqtabel1,uurfactortabel1,kengetaltabel1,object47_opptabel1)*(1/VLOOKUP(E52,dagsoorttabel1,2,FALSE))</f>
        <v>0</v>
      </c>
      <c r="H52" s="64"/>
      <c r="I52" s="76">
        <f>G52+H52</f>
        <v>0</v>
      </c>
      <c r="J52" s="66">
        <f>SUMPRODUCT(taakfreqtabel1,kengetaltabel1,tarieftabel1,object47_opptabel1)*(1/VLOOKUP(E52,dagsoorttabel1,2,FALSE))</f>
        <v>0</v>
      </c>
      <c r="K52" s="66">
        <f>F52*H52</f>
        <v>0</v>
      </c>
      <c r="L52" s="66">
        <f>SUM(J52:K52)</f>
        <v>0</v>
      </c>
      <c r="M52" s="76">
        <f>I52*dagenperjaar1*VLOOKUP(E52,dagsoorttabel1,2,FALSE)</f>
        <v>0</v>
      </c>
      <c r="N52" s="66">
        <f>L52*dagenperjaar1*VLOOKUP(E52,dagsoorttabel1,2,FALSE)</f>
        <v>0</v>
      </c>
      <c r="O52" s="66">
        <f>N52/12</f>
        <v>0</v>
      </c>
    </row>
    <row r="53" spans="1:15" x14ac:dyDescent="0.2">
      <c r="A53" s="62" t="s">
        <v>842</v>
      </c>
      <c r="B53" s="62" t="s">
        <v>1101</v>
      </c>
      <c r="C53" s="62" t="s">
        <v>1102</v>
      </c>
      <c r="D53" s="62" t="s">
        <v>1103</v>
      </c>
      <c r="E53" s="125" t="s">
        <v>20</v>
      </c>
      <c r="F53" s="126">
        <f>gemuurtarief1</f>
        <v>0</v>
      </c>
      <c r="G53" s="76">
        <f>SUMPRODUCT(taakfreqtabel1,uurfactortabel1,kengetaltabel1,object48_opptabel1)*(1/VLOOKUP(E53,dagsoorttabel1,2,FALSE))</f>
        <v>0</v>
      </c>
      <c r="H53" s="64"/>
      <c r="I53" s="76">
        <f>G53+H53</f>
        <v>0</v>
      </c>
      <c r="J53" s="66">
        <f>SUMPRODUCT(taakfreqtabel1,kengetaltabel1,tarieftabel1,object48_opptabel1)*(1/VLOOKUP(E53,dagsoorttabel1,2,FALSE))</f>
        <v>0</v>
      </c>
      <c r="K53" s="66">
        <f>F53*H53</f>
        <v>0</v>
      </c>
      <c r="L53" s="66">
        <f>SUM(J53:K53)</f>
        <v>0</v>
      </c>
      <c r="M53" s="76">
        <f>I53*dagenperjaar1*VLOOKUP(E53,dagsoorttabel1,2,FALSE)</f>
        <v>0</v>
      </c>
      <c r="N53" s="66">
        <f>L53*dagenperjaar1*VLOOKUP(E53,dagsoorttabel1,2,FALSE)</f>
        <v>0</v>
      </c>
      <c r="O53" s="66">
        <f>N53/12</f>
        <v>0</v>
      </c>
    </row>
    <row r="54" spans="1:15" x14ac:dyDescent="0.2">
      <c r="A54" s="62" t="s">
        <v>845</v>
      </c>
      <c r="B54" s="62" t="s">
        <v>1104</v>
      </c>
      <c r="C54" s="62" t="s">
        <v>1105</v>
      </c>
      <c r="D54" s="62" t="s">
        <v>1106</v>
      </c>
      <c r="E54" s="125" t="s">
        <v>22</v>
      </c>
      <c r="F54" s="126">
        <f>gemuurtarief1</f>
        <v>0</v>
      </c>
      <c r="G54" s="76">
        <f>SUMPRODUCT(taakfreqtabel1,uurfactortabel1,kengetaltabel1,object49_opptabel1)*(1/VLOOKUP(E54,dagsoorttabel1,2,FALSE))</f>
        <v>0</v>
      </c>
      <c r="H54" s="64"/>
      <c r="I54" s="76">
        <f>G54+H54</f>
        <v>0</v>
      </c>
      <c r="J54" s="66">
        <f>SUMPRODUCT(taakfreqtabel1,kengetaltabel1,tarieftabel1,object49_opptabel1)*(1/VLOOKUP(E54,dagsoorttabel1,2,FALSE))</f>
        <v>0</v>
      </c>
      <c r="K54" s="66">
        <f>F54*H54</f>
        <v>0</v>
      </c>
      <c r="L54" s="66">
        <f>SUM(J54:K54)</f>
        <v>0</v>
      </c>
      <c r="M54" s="76">
        <f>I54*dagenperjaar1*VLOOKUP(E54,dagsoorttabel1,2,FALSE)</f>
        <v>0</v>
      </c>
      <c r="N54" s="66">
        <f>L54*dagenperjaar1*VLOOKUP(E54,dagsoorttabel1,2,FALSE)</f>
        <v>0</v>
      </c>
      <c r="O54" s="66">
        <f>N54/12</f>
        <v>0</v>
      </c>
    </row>
    <row r="55" spans="1:15" x14ac:dyDescent="0.2">
      <c r="A55" s="62" t="s">
        <v>847</v>
      </c>
      <c r="B55" s="62" t="s">
        <v>1107</v>
      </c>
      <c r="C55" s="62" t="s">
        <v>1108</v>
      </c>
      <c r="D55" s="62" t="s">
        <v>1109</v>
      </c>
      <c r="E55" s="125" t="s">
        <v>22</v>
      </c>
      <c r="F55" s="126">
        <f>gemuurtarief1</f>
        <v>0</v>
      </c>
      <c r="G55" s="76">
        <f>SUMPRODUCT(taakfreqtabel1,uurfactortabel1,kengetaltabel1,object50_opptabel1)*(1/VLOOKUP(E55,dagsoorttabel1,2,FALSE))</f>
        <v>0</v>
      </c>
      <c r="H55" s="64"/>
      <c r="I55" s="76">
        <f>G55+H55</f>
        <v>0</v>
      </c>
      <c r="J55" s="66">
        <f>SUMPRODUCT(taakfreqtabel1,kengetaltabel1,tarieftabel1,object50_opptabel1)*(1/VLOOKUP(E55,dagsoorttabel1,2,FALSE))</f>
        <v>0</v>
      </c>
      <c r="K55" s="66">
        <f>F55*H55</f>
        <v>0</v>
      </c>
      <c r="L55" s="66">
        <f>SUM(J55:K55)</f>
        <v>0</v>
      </c>
      <c r="M55" s="76">
        <f>I55*dagenperjaar1*VLOOKUP(E55,dagsoorttabel1,2,FALSE)</f>
        <v>0</v>
      </c>
      <c r="N55" s="66">
        <f>L55*dagenperjaar1*VLOOKUP(E55,dagsoorttabel1,2,FALSE)</f>
        <v>0</v>
      </c>
      <c r="O55" s="66">
        <f>N55/12</f>
        <v>0</v>
      </c>
    </row>
    <row r="56" spans="1:15" x14ac:dyDescent="0.2">
      <c r="A56" s="62" t="s">
        <v>849</v>
      </c>
      <c r="B56" s="62" t="s">
        <v>1110</v>
      </c>
      <c r="C56" s="62" t="s">
        <v>1111</v>
      </c>
      <c r="D56" s="62" t="s">
        <v>1112</v>
      </c>
      <c r="E56" s="125" t="s">
        <v>22</v>
      </c>
      <c r="F56" s="126">
        <f>gemuurtarief1</f>
        <v>0</v>
      </c>
      <c r="G56" s="76">
        <f>SUMPRODUCT(taakfreqtabel1,uurfactortabel1,kengetaltabel1,object51_opptabel1)*(1/VLOOKUP(E56,dagsoorttabel1,2,FALSE))</f>
        <v>0</v>
      </c>
      <c r="H56" s="64"/>
      <c r="I56" s="76">
        <f>G56+H56</f>
        <v>0</v>
      </c>
      <c r="J56" s="66">
        <f>SUMPRODUCT(taakfreqtabel1,kengetaltabel1,tarieftabel1,object51_opptabel1)*(1/VLOOKUP(E56,dagsoorttabel1,2,FALSE))</f>
        <v>0</v>
      </c>
      <c r="K56" s="66">
        <f>F56*H56</f>
        <v>0</v>
      </c>
      <c r="L56" s="66">
        <f>SUM(J56:K56)</f>
        <v>0</v>
      </c>
      <c r="M56" s="76">
        <f>I56*dagenperjaar1*VLOOKUP(E56,dagsoorttabel1,2,FALSE)</f>
        <v>0</v>
      </c>
      <c r="N56" s="66">
        <f>L56*dagenperjaar1*VLOOKUP(E56,dagsoorttabel1,2,FALSE)</f>
        <v>0</v>
      </c>
      <c r="O56" s="66">
        <f>N56/12</f>
        <v>0</v>
      </c>
    </row>
    <row r="57" spans="1:15" x14ac:dyDescent="0.2">
      <c r="A57" s="62" t="s">
        <v>853</v>
      </c>
      <c r="B57" s="62" t="s">
        <v>1113</v>
      </c>
      <c r="C57" s="62" t="s">
        <v>1114</v>
      </c>
      <c r="D57" s="62" t="s">
        <v>1115</v>
      </c>
      <c r="E57" s="125" t="s">
        <v>22</v>
      </c>
      <c r="F57" s="126">
        <f>gemuurtarief1</f>
        <v>0</v>
      </c>
      <c r="G57" s="76">
        <f>SUMPRODUCT(taakfreqtabel1,uurfactortabel1,kengetaltabel1,object52_opptabel1)*(1/VLOOKUP(E57,dagsoorttabel1,2,FALSE))</f>
        <v>0</v>
      </c>
      <c r="H57" s="64"/>
      <c r="I57" s="76">
        <f>G57+H57</f>
        <v>0</v>
      </c>
      <c r="J57" s="66">
        <f>SUMPRODUCT(taakfreqtabel1,kengetaltabel1,tarieftabel1,object52_opptabel1)*(1/VLOOKUP(E57,dagsoorttabel1,2,FALSE))</f>
        <v>0</v>
      </c>
      <c r="K57" s="66">
        <f>F57*H57</f>
        <v>0</v>
      </c>
      <c r="L57" s="66">
        <f>SUM(J57:K57)</f>
        <v>0</v>
      </c>
      <c r="M57" s="76">
        <f>I57*dagenperjaar1*VLOOKUP(E57,dagsoorttabel1,2,FALSE)</f>
        <v>0</v>
      </c>
      <c r="N57" s="66">
        <f>L57*dagenperjaar1*VLOOKUP(E57,dagsoorttabel1,2,FALSE)</f>
        <v>0</v>
      </c>
      <c r="O57" s="66">
        <f>N57/12</f>
        <v>0</v>
      </c>
    </row>
    <row r="58" spans="1:15" x14ac:dyDescent="0.2">
      <c r="A58" s="62" t="s">
        <v>855</v>
      </c>
      <c r="B58" s="62" t="s">
        <v>1116</v>
      </c>
      <c r="C58" s="62" t="s">
        <v>1117</v>
      </c>
      <c r="D58" s="62" t="s">
        <v>1118</v>
      </c>
      <c r="E58" s="125" t="s">
        <v>22</v>
      </c>
      <c r="F58" s="126">
        <f>gemuurtarief1</f>
        <v>0</v>
      </c>
      <c r="G58" s="76">
        <f>SUMPRODUCT(taakfreqtabel1,uurfactortabel1,kengetaltabel1,object53_opptabel1)*(1/VLOOKUP(E58,dagsoorttabel1,2,FALSE))</f>
        <v>0</v>
      </c>
      <c r="H58" s="64"/>
      <c r="I58" s="76">
        <f>G58+H58</f>
        <v>0</v>
      </c>
      <c r="J58" s="66">
        <f>SUMPRODUCT(taakfreqtabel1,kengetaltabel1,tarieftabel1,object53_opptabel1)*(1/VLOOKUP(E58,dagsoorttabel1,2,FALSE))</f>
        <v>0</v>
      </c>
      <c r="K58" s="66">
        <f>F58*H58</f>
        <v>0</v>
      </c>
      <c r="L58" s="66">
        <f>SUM(J58:K58)</f>
        <v>0</v>
      </c>
      <c r="M58" s="76">
        <f>I58*dagenperjaar1*VLOOKUP(E58,dagsoorttabel1,2,FALSE)</f>
        <v>0</v>
      </c>
      <c r="N58" s="66">
        <f>L58*dagenperjaar1*VLOOKUP(E58,dagsoorttabel1,2,FALSE)</f>
        <v>0</v>
      </c>
      <c r="O58" s="66">
        <f>N58/12</f>
        <v>0</v>
      </c>
    </row>
    <row r="59" spans="1:15" x14ac:dyDescent="0.2">
      <c r="A59" s="62" t="s">
        <v>857</v>
      </c>
      <c r="B59" s="62" t="s">
        <v>1119</v>
      </c>
      <c r="C59" s="62" t="s">
        <v>1120</v>
      </c>
      <c r="D59" s="62" t="s">
        <v>1121</v>
      </c>
      <c r="E59" s="125" t="s">
        <v>22</v>
      </c>
      <c r="F59" s="126">
        <f>gemuurtarief1</f>
        <v>0</v>
      </c>
      <c r="G59" s="76">
        <f>SUMPRODUCT(taakfreqtabel1,uurfactortabel1,kengetaltabel1,object54_opptabel1)*(1/VLOOKUP(E59,dagsoorttabel1,2,FALSE))</f>
        <v>0</v>
      </c>
      <c r="H59" s="64"/>
      <c r="I59" s="76">
        <f>G59+H59</f>
        <v>0</v>
      </c>
      <c r="J59" s="66">
        <f>SUMPRODUCT(taakfreqtabel1,kengetaltabel1,tarieftabel1,object54_opptabel1)*(1/VLOOKUP(E59,dagsoorttabel1,2,FALSE))</f>
        <v>0</v>
      </c>
      <c r="K59" s="66">
        <f>F59*H59</f>
        <v>0</v>
      </c>
      <c r="L59" s="66">
        <f>SUM(J59:K59)</f>
        <v>0</v>
      </c>
      <c r="M59" s="76">
        <f>I59*dagenperjaar1*VLOOKUP(E59,dagsoorttabel1,2,FALSE)</f>
        <v>0</v>
      </c>
      <c r="N59" s="66">
        <f>L59*dagenperjaar1*VLOOKUP(E59,dagsoorttabel1,2,FALSE)</f>
        <v>0</v>
      </c>
      <c r="O59" s="66">
        <f>N59/12</f>
        <v>0</v>
      </c>
    </row>
    <row r="60" spans="1:15" x14ac:dyDescent="0.2">
      <c r="A60" s="62" t="s">
        <v>859</v>
      </c>
      <c r="B60" s="62" t="s">
        <v>1122</v>
      </c>
      <c r="C60" s="62" t="s">
        <v>1123</v>
      </c>
      <c r="D60" s="62" t="s">
        <v>1124</v>
      </c>
      <c r="E60" s="125" t="s">
        <v>22</v>
      </c>
      <c r="F60" s="126">
        <f>gemuurtarief1</f>
        <v>0</v>
      </c>
      <c r="G60" s="76">
        <f>SUMPRODUCT(taakfreqtabel1,uurfactortabel1,kengetaltabel1,object55_opptabel1)*(1/VLOOKUP(E60,dagsoorttabel1,2,FALSE))</f>
        <v>0</v>
      </c>
      <c r="H60" s="64"/>
      <c r="I60" s="76">
        <f>G60+H60</f>
        <v>0</v>
      </c>
      <c r="J60" s="66">
        <f>SUMPRODUCT(taakfreqtabel1,kengetaltabel1,tarieftabel1,object55_opptabel1)*(1/VLOOKUP(E60,dagsoorttabel1,2,FALSE))</f>
        <v>0</v>
      </c>
      <c r="K60" s="66">
        <f>F60*H60</f>
        <v>0</v>
      </c>
      <c r="L60" s="66">
        <f>SUM(J60:K60)</f>
        <v>0</v>
      </c>
      <c r="M60" s="76">
        <f>I60*dagenperjaar1*VLOOKUP(E60,dagsoorttabel1,2,FALSE)</f>
        <v>0</v>
      </c>
      <c r="N60" s="66">
        <f>L60*dagenperjaar1*VLOOKUP(E60,dagsoorttabel1,2,FALSE)</f>
        <v>0</v>
      </c>
      <c r="O60" s="66">
        <f>N60/12</f>
        <v>0</v>
      </c>
    </row>
    <row r="61" spans="1:15" x14ac:dyDescent="0.2">
      <c r="A61" s="62" t="s">
        <v>861</v>
      </c>
      <c r="B61" s="62" t="s">
        <v>1125</v>
      </c>
      <c r="C61" s="62" t="s">
        <v>1126</v>
      </c>
      <c r="D61" s="62" t="s">
        <v>1127</v>
      </c>
      <c r="E61" s="125" t="s">
        <v>22</v>
      </c>
      <c r="F61" s="126">
        <f>gemuurtarief1</f>
        <v>0</v>
      </c>
      <c r="G61" s="76">
        <f>SUMPRODUCT(taakfreqtabel1,uurfactortabel1,kengetaltabel1,object56_opptabel1)*(1/VLOOKUP(E61,dagsoorttabel1,2,FALSE))</f>
        <v>0</v>
      </c>
      <c r="H61" s="64"/>
      <c r="I61" s="76">
        <f>G61+H61</f>
        <v>0</v>
      </c>
      <c r="J61" s="66">
        <f>SUMPRODUCT(taakfreqtabel1,kengetaltabel1,tarieftabel1,object56_opptabel1)*(1/VLOOKUP(E61,dagsoorttabel1,2,FALSE))</f>
        <v>0</v>
      </c>
      <c r="K61" s="66">
        <f>F61*H61</f>
        <v>0</v>
      </c>
      <c r="L61" s="66">
        <f>SUM(J61:K61)</f>
        <v>0</v>
      </c>
      <c r="M61" s="76">
        <f>I61*dagenperjaar1*VLOOKUP(E61,dagsoorttabel1,2,FALSE)</f>
        <v>0</v>
      </c>
      <c r="N61" s="66">
        <f>L61*dagenperjaar1*VLOOKUP(E61,dagsoorttabel1,2,FALSE)</f>
        <v>0</v>
      </c>
      <c r="O61" s="66">
        <f>N61/12</f>
        <v>0</v>
      </c>
    </row>
    <row r="62" spans="1:15" x14ac:dyDescent="0.2">
      <c r="A62" s="62" t="s">
        <v>863</v>
      </c>
      <c r="B62" s="62" t="s">
        <v>1128</v>
      </c>
      <c r="C62" s="62" t="s">
        <v>1129</v>
      </c>
      <c r="D62" s="62" t="s">
        <v>1130</v>
      </c>
      <c r="E62" s="125" t="s">
        <v>22</v>
      </c>
      <c r="F62" s="126">
        <f>gemuurtarief1</f>
        <v>0</v>
      </c>
      <c r="G62" s="76">
        <f>SUMPRODUCT(taakfreqtabel1,uurfactortabel1,kengetaltabel1,object57_opptabel1)*(1/VLOOKUP(E62,dagsoorttabel1,2,FALSE))</f>
        <v>0</v>
      </c>
      <c r="H62" s="64"/>
      <c r="I62" s="76">
        <f>G62+H62</f>
        <v>0</v>
      </c>
      <c r="J62" s="66">
        <f>SUMPRODUCT(taakfreqtabel1,kengetaltabel1,tarieftabel1,object57_opptabel1)*(1/VLOOKUP(E62,dagsoorttabel1,2,FALSE))</f>
        <v>0</v>
      </c>
      <c r="K62" s="66">
        <f>F62*H62</f>
        <v>0</v>
      </c>
      <c r="L62" s="66">
        <f>SUM(J62:K62)</f>
        <v>0</v>
      </c>
      <c r="M62" s="76">
        <f>I62*dagenperjaar1*VLOOKUP(E62,dagsoorttabel1,2,FALSE)</f>
        <v>0</v>
      </c>
      <c r="N62" s="66">
        <f>L62*dagenperjaar1*VLOOKUP(E62,dagsoorttabel1,2,FALSE)</f>
        <v>0</v>
      </c>
      <c r="O62" s="66">
        <f>N62/12</f>
        <v>0</v>
      </c>
    </row>
    <row r="63" spans="1:15" x14ac:dyDescent="0.2">
      <c r="A63" s="62" t="s">
        <v>865</v>
      </c>
      <c r="B63" s="62" t="s">
        <v>1131</v>
      </c>
      <c r="C63" s="62" t="s">
        <v>1132</v>
      </c>
      <c r="D63" s="62" t="s">
        <v>1077</v>
      </c>
      <c r="E63" s="125" t="s">
        <v>22</v>
      </c>
      <c r="F63" s="126">
        <f>gemuurtarief1</f>
        <v>0</v>
      </c>
      <c r="G63" s="76">
        <f>SUMPRODUCT(taakfreqtabel1,uurfactortabel1,kengetaltabel1,object58_opptabel1)*(1/VLOOKUP(E63,dagsoorttabel1,2,FALSE))</f>
        <v>0</v>
      </c>
      <c r="H63" s="64"/>
      <c r="I63" s="76">
        <f>G63+H63</f>
        <v>0</v>
      </c>
      <c r="J63" s="66">
        <f>SUMPRODUCT(taakfreqtabel1,kengetaltabel1,tarieftabel1,object58_opptabel1)*(1/VLOOKUP(E63,dagsoorttabel1,2,FALSE))</f>
        <v>0</v>
      </c>
      <c r="K63" s="66">
        <f>F63*H63</f>
        <v>0</v>
      </c>
      <c r="L63" s="66">
        <f>SUM(J63:K63)</f>
        <v>0</v>
      </c>
      <c r="M63" s="76">
        <f>I63*dagenperjaar1*VLOOKUP(E63,dagsoorttabel1,2,FALSE)</f>
        <v>0</v>
      </c>
      <c r="N63" s="66">
        <f>L63*dagenperjaar1*VLOOKUP(E63,dagsoorttabel1,2,FALSE)</f>
        <v>0</v>
      </c>
      <c r="O63" s="66">
        <f>N63/12</f>
        <v>0</v>
      </c>
    </row>
    <row r="64" spans="1:15" x14ac:dyDescent="0.2">
      <c r="A64" s="62" t="s">
        <v>867</v>
      </c>
      <c r="B64" s="62" t="s">
        <v>1133</v>
      </c>
      <c r="C64" s="62" t="s">
        <v>1134</v>
      </c>
      <c r="D64" s="62" t="s">
        <v>1135</v>
      </c>
      <c r="E64" s="125" t="s">
        <v>22</v>
      </c>
      <c r="F64" s="126">
        <f>gemuurtarief1</f>
        <v>0</v>
      </c>
      <c r="G64" s="76">
        <f>SUMPRODUCT(taakfreqtabel1,uurfactortabel1,kengetaltabel1,object59_opptabel1)*(1/VLOOKUP(E64,dagsoorttabel1,2,FALSE))</f>
        <v>0</v>
      </c>
      <c r="H64" s="64"/>
      <c r="I64" s="76">
        <f>G64+H64</f>
        <v>0</v>
      </c>
      <c r="J64" s="66">
        <f>SUMPRODUCT(taakfreqtabel1,kengetaltabel1,tarieftabel1,object59_opptabel1)*(1/VLOOKUP(E64,dagsoorttabel1,2,FALSE))</f>
        <v>0</v>
      </c>
      <c r="K64" s="66">
        <f>F64*H64</f>
        <v>0</v>
      </c>
      <c r="L64" s="66">
        <f>SUM(J64:K64)</f>
        <v>0</v>
      </c>
      <c r="M64" s="76">
        <f>I64*dagenperjaar1*VLOOKUP(E64,dagsoorttabel1,2,FALSE)</f>
        <v>0</v>
      </c>
      <c r="N64" s="66">
        <f>L64*dagenperjaar1*VLOOKUP(E64,dagsoorttabel1,2,FALSE)</f>
        <v>0</v>
      </c>
      <c r="O64" s="66">
        <f>N64/12</f>
        <v>0</v>
      </c>
    </row>
    <row r="65" spans="1:15" x14ac:dyDescent="0.2">
      <c r="A65" s="62" t="s">
        <v>869</v>
      </c>
      <c r="B65" s="62" t="s">
        <v>1136</v>
      </c>
      <c r="C65" s="62" t="s">
        <v>1137</v>
      </c>
      <c r="D65" s="62" t="s">
        <v>1138</v>
      </c>
      <c r="E65" s="125" t="s">
        <v>22</v>
      </c>
      <c r="F65" s="126">
        <f>gemuurtarief1</f>
        <v>0</v>
      </c>
      <c r="G65" s="76">
        <f>SUMPRODUCT(taakfreqtabel1,uurfactortabel1,kengetaltabel1,object60_opptabel1)*(1/VLOOKUP(E65,dagsoorttabel1,2,FALSE))</f>
        <v>0</v>
      </c>
      <c r="H65" s="64"/>
      <c r="I65" s="76">
        <f>G65+H65</f>
        <v>0</v>
      </c>
      <c r="J65" s="66">
        <f>SUMPRODUCT(taakfreqtabel1,kengetaltabel1,tarieftabel1,object60_opptabel1)*(1/VLOOKUP(E65,dagsoorttabel1,2,FALSE))</f>
        <v>0</v>
      </c>
      <c r="K65" s="66">
        <f>F65*H65</f>
        <v>0</v>
      </c>
      <c r="L65" s="66">
        <f>SUM(J65:K65)</f>
        <v>0</v>
      </c>
      <c r="M65" s="76">
        <f>I65*dagenperjaar1*VLOOKUP(E65,dagsoorttabel1,2,FALSE)</f>
        <v>0</v>
      </c>
      <c r="N65" s="66">
        <f>L65*dagenperjaar1*VLOOKUP(E65,dagsoorttabel1,2,FALSE)</f>
        <v>0</v>
      </c>
      <c r="O65" s="66">
        <f>N65/12</f>
        <v>0</v>
      </c>
    </row>
    <row r="66" spans="1:15" x14ac:dyDescent="0.2">
      <c r="A66" s="62" t="s">
        <v>871</v>
      </c>
      <c r="B66" s="62" t="s">
        <v>1139</v>
      </c>
      <c r="C66" s="62" t="s">
        <v>1140</v>
      </c>
      <c r="D66" s="62" t="s">
        <v>1141</v>
      </c>
      <c r="E66" s="125" t="s">
        <v>22</v>
      </c>
      <c r="F66" s="126">
        <f>gemuurtarief1</f>
        <v>0</v>
      </c>
      <c r="G66" s="76">
        <f>SUMPRODUCT(taakfreqtabel1,uurfactortabel1,kengetaltabel1,object61_opptabel1)*(1/VLOOKUP(E66,dagsoorttabel1,2,FALSE))</f>
        <v>0</v>
      </c>
      <c r="H66" s="64"/>
      <c r="I66" s="76">
        <f>G66+H66</f>
        <v>0</v>
      </c>
      <c r="J66" s="66">
        <f>SUMPRODUCT(taakfreqtabel1,kengetaltabel1,tarieftabel1,object61_opptabel1)*(1/VLOOKUP(E66,dagsoorttabel1,2,FALSE))</f>
        <v>0</v>
      </c>
      <c r="K66" s="66">
        <f>F66*H66</f>
        <v>0</v>
      </c>
      <c r="L66" s="66">
        <f>SUM(J66:K66)</f>
        <v>0</v>
      </c>
      <c r="M66" s="76">
        <f>I66*dagenperjaar1*VLOOKUP(E66,dagsoorttabel1,2,FALSE)</f>
        <v>0</v>
      </c>
      <c r="N66" s="66">
        <f>L66*dagenperjaar1*VLOOKUP(E66,dagsoorttabel1,2,FALSE)</f>
        <v>0</v>
      </c>
      <c r="O66" s="66">
        <f>N66/12</f>
        <v>0</v>
      </c>
    </row>
    <row r="67" spans="1:15" x14ac:dyDescent="0.2">
      <c r="A67" s="62" t="s">
        <v>873</v>
      </c>
      <c r="B67" s="62" t="s">
        <v>1142</v>
      </c>
      <c r="C67" s="62" t="s">
        <v>1143</v>
      </c>
      <c r="D67" s="62" t="s">
        <v>1141</v>
      </c>
      <c r="E67" s="125" t="s">
        <v>22</v>
      </c>
      <c r="F67" s="126">
        <f>gemuurtarief1</f>
        <v>0</v>
      </c>
      <c r="G67" s="76">
        <f>SUMPRODUCT(taakfreqtabel1,uurfactortabel1,kengetaltabel1,object62_opptabel1)*(1/VLOOKUP(E67,dagsoorttabel1,2,FALSE))</f>
        <v>0</v>
      </c>
      <c r="H67" s="64"/>
      <c r="I67" s="76">
        <f>G67+H67</f>
        <v>0</v>
      </c>
      <c r="J67" s="66">
        <f>SUMPRODUCT(taakfreqtabel1,kengetaltabel1,tarieftabel1,object62_opptabel1)*(1/VLOOKUP(E67,dagsoorttabel1,2,FALSE))</f>
        <v>0</v>
      </c>
      <c r="K67" s="66">
        <f>F67*H67</f>
        <v>0</v>
      </c>
      <c r="L67" s="66">
        <f>SUM(J67:K67)</f>
        <v>0</v>
      </c>
      <c r="M67" s="76">
        <f>I67*dagenperjaar1*VLOOKUP(E67,dagsoorttabel1,2,FALSE)</f>
        <v>0</v>
      </c>
      <c r="N67" s="66">
        <f>L67*dagenperjaar1*VLOOKUP(E67,dagsoorttabel1,2,FALSE)</f>
        <v>0</v>
      </c>
      <c r="O67" s="66">
        <f>N67/12</f>
        <v>0</v>
      </c>
    </row>
    <row r="68" spans="1:15" x14ac:dyDescent="0.2">
      <c r="A68" s="62" t="s">
        <v>875</v>
      </c>
      <c r="B68" s="62" t="s">
        <v>1144</v>
      </c>
      <c r="C68" s="62" t="s">
        <v>1145</v>
      </c>
      <c r="D68" s="62" t="s">
        <v>1146</v>
      </c>
      <c r="E68" s="125" t="s">
        <v>22</v>
      </c>
      <c r="F68" s="126">
        <f>gemuurtarief1</f>
        <v>0</v>
      </c>
      <c r="G68" s="76">
        <f>SUMPRODUCT(taakfreqtabel1,uurfactortabel1,kengetaltabel1,object63_opptabel1)*(1/VLOOKUP(E68,dagsoorttabel1,2,FALSE))</f>
        <v>0</v>
      </c>
      <c r="H68" s="64"/>
      <c r="I68" s="76">
        <f>G68+H68</f>
        <v>0</v>
      </c>
      <c r="J68" s="66">
        <f>SUMPRODUCT(taakfreqtabel1,kengetaltabel1,tarieftabel1,object63_opptabel1)*(1/VLOOKUP(E68,dagsoorttabel1,2,FALSE))</f>
        <v>0</v>
      </c>
      <c r="K68" s="66">
        <f>F68*H68</f>
        <v>0</v>
      </c>
      <c r="L68" s="66">
        <f>SUM(J68:K68)</f>
        <v>0</v>
      </c>
      <c r="M68" s="76">
        <f>I68*dagenperjaar1*VLOOKUP(E68,dagsoorttabel1,2,FALSE)</f>
        <v>0</v>
      </c>
      <c r="N68" s="66">
        <f>L68*dagenperjaar1*VLOOKUP(E68,dagsoorttabel1,2,FALSE)</f>
        <v>0</v>
      </c>
      <c r="O68" s="66">
        <f>N68/12</f>
        <v>0</v>
      </c>
    </row>
    <row r="69" spans="1:15" x14ac:dyDescent="0.2">
      <c r="A69" s="62" t="s">
        <v>877</v>
      </c>
      <c r="B69" s="62" t="s">
        <v>1147</v>
      </c>
      <c r="C69" s="62" t="s">
        <v>1148</v>
      </c>
      <c r="D69" s="62" t="s">
        <v>1033</v>
      </c>
      <c r="E69" s="125" t="s">
        <v>20</v>
      </c>
      <c r="F69" s="126">
        <f>gemuurtarief1</f>
        <v>0</v>
      </c>
      <c r="G69" s="76">
        <f>SUMPRODUCT(taakfreqtabel1,uurfactortabel1,kengetaltabel1,object64_opptabel1)*(1/VLOOKUP(E69,dagsoorttabel1,2,FALSE))</f>
        <v>0</v>
      </c>
      <c r="H69" s="64"/>
      <c r="I69" s="76">
        <f>G69+H69</f>
        <v>0</v>
      </c>
      <c r="J69" s="66">
        <f>SUMPRODUCT(taakfreqtabel1,kengetaltabel1,tarieftabel1,object64_opptabel1)*(1/VLOOKUP(E69,dagsoorttabel1,2,FALSE))</f>
        <v>0</v>
      </c>
      <c r="K69" s="66">
        <f>F69*H69</f>
        <v>0</v>
      </c>
      <c r="L69" s="66">
        <f>SUM(J69:K69)</f>
        <v>0</v>
      </c>
      <c r="M69" s="76">
        <f>I69*dagenperjaar1*VLOOKUP(E69,dagsoorttabel1,2,FALSE)</f>
        <v>0</v>
      </c>
      <c r="N69" s="66">
        <f>L69*dagenperjaar1*VLOOKUP(E69,dagsoorttabel1,2,FALSE)</f>
        <v>0</v>
      </c>
      <c r="O69" s="66">
        <f>N69/12</f>
        <v>0</v>
      </c>
    </row>
    <row r="70" spans="1:15" x14ac:dyDescent="0.2">
      <c r="A70" s="62" t="s">
        <v>879</v>
      </c>
      <c r="B70" s="62" t="s">
        <v>1149</v>
      </c>
      <c r="C70" s="62" t="s">
        <v>1150</v>
      </c>
      <c r="D70" s="62" t="s">
        <v>1151</v>
      </c>
      <c r="E70" s="125" t="s">
        <v>22</v>
      </c>
      <c r="F70" s="126">
        <f>gemuurtarief1</f>
        <v>0</v>
      </c>
      <c r="G70" s="76">
        <f>SUMPRODUCT(taakfreqtabel1,uurfactortabel1,kengetaltabel1,object65_opptabel1)*(1/VLOOKUP(E70,dagsoorttabel1,2,FALSE))</f>
        <v>0</v>
      </c>
      <c r="H70" s="64"/>
      <c r="I70" s="76">
        <f>G70+H70</f>
        <v>0</v>
      </c>
      <c r="J70" s="66">
        <f>SUMPRODUCT(taakfreqtabel1,kengetaltabel1,tarieftabel1,object65_opptabel1)*(1/VLOOKUP(E70,dagsoorttabel1,2,FALSE))</f>
        <v>0</v>
      </c>
      <c r="K70" s="66">
        <f>F70*H70</f>
        <v>0</v>
      </c>
      <c r="L70" s="66">
        <f>SUM(J70:K70)</f>
        <v>0</v>
      </c>
      <c r="M70" s="76">
        <f>I70*dagenperjaar1*VLOOKUP(E70,dagsoorttabel1,2,FALSE)</f>
        <v>0</v>
      </c>
      <c r="N70" s="66">
        <f>L70*dagenperjaar1*VLOOKUP(E70,dagsoorttabel1,2,FALSE)</f>
        <v>0</v>
      </c>
      <c r="O70" s="66">
        <f>N70/12</f>
        <v>0</v>
      </c>
    </row>
    <row r="71" spans="1:15" x14ac:dyDescent="0.2">
      <c r="A71" s="62" t="s">
        <v>881</v>
      </c>
      <c r="B71" s="62" t="s">
        <v>1152</v>
      </c>
      <c r="C71" s="62" t="s">
        <v>1153</v>
      </c>
      <c r="D71" s="62" t="s">
        <v>1039</v>
      </c>
      <c r="E71" s="125" t="s">
        <v>15</v>
      </c>
      <c r="F71" s="126">
        <f>gemuurtarief1</f>
        <v>0</v>
      </c>
      <c r="G71" s="76">
        <f>SUMPRODUCT(taakfreqtabel1,uurfactortabel1,kengetaltabel1,object66_opptabel1)*(1/VLOOKUP(E71,dagsoorttabel1,2,FALSE))</f>
        <v>0</v>
      </c>
      <c r="H71" s="64"/>
      <c r="I71" s="76">
        <f>G71+H71</f>
        <v>0</v>
      </c>
      <c r="J71" s="66">
        <f>SUMPRODUCT(taakfreqtabel1,kengetaltabel1,tarieftabel1,object66_opptabel1)*(1/VLOOKUP(E71,dagsoorttabel1,2,FALSE))</f>
        <v>0</v>
      </c>
      <c r="K71" s="66">
        <f>F71*H71</f>
        <v>0</v>
      </c>
      <c r="L71" s="66">
        <f>SUM(J71:K71)</f>
        <v>0</v>
      </c>
      <c r="M71" s="76">
        <f>I71*dagenperjaar1*VLOOKUP(E71,dagsoorttabel1,2,FALSE)</f>
        <v>0</v>
      </c>
      <c r="N71" s="66">
        <f>L71*dagenperjaar1*VLOOKUP(E71,dagsoorttabel1,2,FALSE)</f>
        <v>0</v>
      </c>
      <c r="O71" s="66">
        <f>N71/12</f>
        <v>0</v>
      </c>
    </row>
    <row r="72" spans="1:15" x14ac:dyDescent="0.2">
      <c r="A72" s="62" t="s">
        <v>884</v>
      </c>
      <c r="B72" s="62" t="s">
        <v>1154</v>
      </c>
      <c r="C72" s="62" t="s">
        <v>1155</v>
      </c>
      <c r="D72" s="62" t="s">
        <v>1156</v>
      </c>
      <c r="E72" s="125" t="s">
        <v>22</v>
      </c>
      <c r="F72" s="126">
        <f>gemuurtarief1</f>
        <v>0</v>
      </c>
      <c r="G72" s="76">
        <f>SUMPRODUCT(taakfreqtabel1,uurfactortabel1,kengetaltabel1,object67_opptabel1)*(1/VLOOKUP(E72,dagsoorttabel1,2,FALSE))</f>
        <v>0</v>
      </c>
      <c r="H72" s="64"/>
      <c r="I72" s="76">
        <f>G72+H72</f>
        <v>0</v>
      </c>
      <c r="J72" s="66">
        <f>SUMPRODUCT(taakfreqtabel1,kengetaltabel1,tarieftabel1,object67_opptabel1)*(1/VLOOKUP(E72,dagsoorttabel1,2,FALSE))</f>
        <v>0</v>
      </c>
      <c r="K72" s="66">
        <f>F72*H72</f>
        <v>0</v>
      </c>
      <c r="L72" s="66">
        <f>SUM(J72:K72)</f>
        <v>0</v>
      </c>
      <c r="M72" s="76">
        <f>I72*dagenperjaar1*VLOOKUP(E72,dagsoorttabel1,2,FALSE)</f>
        <v>0</v>
      </c>
      <c r="N72" s="66">
        <f>L72*dagenperjaar1*VLOOKUP(E72,dagsoorttabel1,2,FALSE)</f>
        <v>0</v>
      </c>
      <c r="O72" s="66">
        <f>N72/12</f>
        <v>0</v>
      </c>
    </row>
    <row r="73" spans="1:15" x14ac:dyDescent="0.2">
      <c r="A73" s="62" t="s">
        <v>886</v>
      </c>
      <c r="B73" s="62" t="s">
        <v>1157</v>
      </c>
      <c r="C73" s="62" t="s">
        <v>1158</v>
      </c>
      <c r="D73" s="62" t="s">
        <v>1036</v>
      </c>
      <c r="E73" s="125" t="s">
        <v>22</v>
      </c>
      <c r="F73" s="126">
        <f>gemuurtarief1</f>
        <v>0</v>
      </c>
      <c r="G73" s="76">
        <f>SUMPRODUCT(taakfreqtabel1,uurfactortabel1,kengetaltabel1,object68_opptabel1)*(1/VLOOKUP(E73,dagsoorttabel1,2,FALSE))</f>
        <v>0</v>
      </c>
      <c r="H73" s="64"/>
      <c r="I73" s="76">
        <f>G73+H73</f>
        <v>0</v>
      </c>
      <c r="J73" s="66">
        <f>SUMPRODUCT(taakfreqtabel1,kengetaltabel1,tarieftabel1,object68_opptabel1)*(1/VLOOKUP(E73,dagsoorttabel1,2,FALSE))</f>
        <v>0</v>
      </c>
      <c r="K73" s="66">
        <f>F73*H73</f>
        <v>0</v>
      </c>
      <c r="L73" s="66">
        <f>SUM(J73:K73)</f>
        <v>0</v>
      </c>
      <c r="M73" s="76">
        <f>I73*dagenperjaar1*VLOOKUP(E73,dagsoorttabel1,2,FALSE)</f>
        <v>0</v>
      </c>
      <c r="N73" s="66">
        <f>L73*dagenperjaar1*VLOOKUP(E73,dagsoorttabel1,2,FALSE)</f>
        <v>0</v>
      </c>
      <c r="O73" s="66">
        <f>N73/12</f>
        <v>0</v>
      </c>
    </row>
    <row r="74" spans="1:15" x14ac:dyDescent="0.2">
      <c r="A74" s="62" t="s">
        <v>888</v>
      </c>
      <c r="B74" s="62" t="s">
        <v>1159</v>
      </c>
      <c r="C74" s="62" t="s">
        <v>1160</v>
      </c>
      <c r="D74" s="62" t="s">
        <v>1036</v>
      </c>
      <c r="E74" s="125" t="s">
        <v>22</v>
      </c>
      <c r="F74" s="126">
        <f>gemuurtarief1</f>
        <v>0</v>
      </c>
      <c r="G74" s="76">
        <f>SUMPRODUCT(taakfreqtabel1,uurfactortabel1,kengetaltabel1,object69_opptabel1)*(1/VLOOKUP(E74,dagsoorttabel1,2,FALSE))</f>
        <v>0</v>
      </c>
      <c r="H74" s="64"/>
      <c r="I74" s="76">
        <f>G74+H74</f>
        <v>0</v>
      </c>
      <c r="J74" s="66">
        <f>SUMPRODUCT(taakfreqtabel1,kengetaltabel1,tarieftabel1,object69_opptabel1)*(1/VLOOKUP(E74,dagsoorttabel1,2,FALSE))</f>
        <v>0</v>
      </c>
      <c r="K74" s="66">
        <f>F74*H74</f>
        <v>0</v>
      </c>
      <c r="L74" s="66">
        <f>SUM(J74:K74)</f>
        <v>0</v>
      </c>
      <c r="M74" s="76">
        <f>I74*dagenperjaar1*VLOOKUP(E74,dagsoorttabel1,2,FALSE)</f>
        <v>0</v>
      </c>
      <c r="N74" s="66">
        <f>L74*dagenperjaar1*VLOOKUP(E74,dagsoorttabel1,2,FALSE)</f>
        <v>0</v>
      </c>
      <c r="O74" s="66">
        <f>N74/12</f>
        <v>0</v>
      </c>
    </row>
    <row r="75" spans="1:15" x14ac:dyDescent="0.2">
      <c r="A75" s="67" t="s">
        <v>890</v>
      </c>
      <c r="B75" s="67" t="s">
        <v>1161</v>
      </c>
      <c r="C75" s="67" t="s">
        <v>1162</v>
      </c>
      <c r="D75" s="67" t="s">
        <v>1163</v>
      </c>
      <c r="E75" s="127" t="s">
        <v>22</v>
      </c>
      <c r="F75" s="128">
        <f>gemuurtarief1</f>
        <v>0</v>
      </c>
      <c r="G75" s="79">
        <f>SUMPRODUCT(taakfreqtabel1,uurfactortabel1,kengetaltabel1,object70_opptabel1)*(1/VLOOKUP(E75,dagsoorttabel1,2,FALSE))</f>
        <v>0</v>
      </c>
      <c r="H75" s="69"/>
      <c r="I75" s="79">
        <f>G75+H75</f>
        <v>0</v>
      </c>
      <c r="J75" s="71">
        <f>SUMPRODUCT(taakfreqtabel1,kengetaltabel1,tarieftabel1,object70_opptabel1)*(1/VLOOKUP(E75,dagsoorttabel1,2,FALSE))</f>
        <v>0</v>
      </c>
      <c r="K75" s="71">
        <f>F75*H75</f>
        <v>0</v>
      </c>
      <c r="L75" s="71">
        <f>SUM(J75:K75)</f>
        <v>0</v>
      </c>
      <c r="M75" s="79">
        <f>I75*dagenperjaar1*VLOOKUP(E75,dagsoorttabel1,2,FALSE)</f>
        <v>0</v>
      </c>
      <c r="N75" s="71">
        <f>L75*dagenperjaar1*VLOOKUP(E75,dagsoorttabel1,2,FALSE)</f>
        <v>0</v>
      </c>
      <c r="O75" s="71">
        <f>N75/12</f>
        <v>0</v>
      </c>
    </row>
    <row r="76" spans="1:15" x14ac:dyDescent="0.2">
      <c r="A76" s="82" t="s">
        <v>308</v>
      </c>
      <c r="B76" s="83"/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4">
        <f>SUM(M6:M75)</f>
        <v>0</v>
      </c>
      <c r="N76" s="85">
        <f>SUM(N6:N75)</f>
        <v>0</v>
      </c>
      <c r="O76" s="86">
        <f>SUM(O6:O75)</f>
        <v>0</v>
      </c>
    </row>
    <row r="77" spans="1:15" x14ac:dyDescent="0.2">
      <c r="A77" s="87"/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8"/>
    </row>
    <row r="79" spans="1:15" x14ac:dyDescent="0.2">
      <c r="A79" s="82" t="s">
        <v>1164</v>
      </c>
      <c r="B79" s="83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4">
        <f>urenjaartotaal1</f>
        <v>0</v>
      </c>
      <c r="N79" s="85">
        <f>prijsjaartotaal1</f>
        <v>0</v>
      </c>
      <c r="O79" s="85">
        <f>prijsmaandtotaal1</f>
        <v>0</v>
      </c>
    </row>
    <row r="81" spans="1:15" x14ac:dyDescent="0.2">
      <c r="A81" s="82" t="s">
        <v>1165</v>
      </c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5">
        <f>N79*1.21</f>
        <v>0</v>
      </c>
      <c r="O81" s="85">
        <f>O79*1.21</f>
        <v>0</v>
      </c>
    </row>
  </sheetData>
  <sheetProtection algorithmName="SHA-512" hashValue="iyY2ZwHwBOskFMiEocqyEFXr/uzyLl+rUGgDPnUHxi2H7340jBG/qKsnuYtLo1Bg88uik0ZovQWJijqdPLmGmA==" saltValue="dVyDkbz5mWANySXIxI0S9w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&amp;LWaterschap Vallei &amp; Veluwe EA 2027                          &amp;ROpmaakdatum: 30-10-2026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C12FC-3F75-4356-B336-25F0F4E6FBA8}">
  <dimension ref="A1:I75"/>
  <sheetViews>
    <sheetView workbookViewId="0"/>
  </sheetViews>
  <sheetFormatPr defaultRowHeight="12.75" x14ac:dyDescent="0.2"/>
  <cols>
    <col min="1" max="1" width="8.625" customWidth="1"/>
    <col min="2" max="2" width="12.625" customWidth="1"/>
    <col min="3" max="3" width="32.625" customWidth="1"/>
    <col min="4" max="4" width="20.625" customWidth="1"/>
    <col min="5" max="5" width="18.625" customWidth="1"/>
    <col min="6" max="6" width="12.625" customWidth="1"/>
    <col min="7" max="7" width="14.625" customWidth="1"/>
    <col min="8" max="9" width="13.625" customWidth="1"/>
  </cols>
  <sheetData>
    <row r="1" spans="1:9" x14ac:dyDescent="0.2">
      <c r="A1" s="1" t="str">
        <f>CONCATENATE("Bijlage G.5: ",tabeltype," totaalblad objecten")</f>
        <v>Bijlage G.5: Invultabel totaalblad objecten</v>
      </c>
    </row>
    <row r="3" spans="1:9" ht="25.5" x14ac:dyDescent="0.2">
      <c r="A3" s="46" t="s">
        <v>311</v>
      </c>
      <c r="B3" s="46" t="s">
        <v>1166</v>
      </c>
      <c r="C3" s="46" t="s">
        <v>969</v>
      </c>
      <c r="D3" s="46" t="s">
        <v>970</v>
      </c>
      <c r="E3" s="46" t="s">
        <v>971</v>
      </c>
      <c r="F3" s="46" t="s">
        <v>228</v>
      </c>
      <c r="G3" s="46" t="s">
        <v>229</v>
      </c>
      <c r="H3" s="46" t="s">
        <v>1167</v>
      </c>
      <c r="I3" s="46" t="s">
        <v>1168</v>
      </c>
    </row>
    <row r="4" spans="1:9" x14ac:dyDescent="0.2">
      <c r="A4" s="57" t="s">
        <v>321</v>
      </c>
      <c r="B4" s="57" t="s">
        <v>1169</v>
      </c>
      <c r="C4" s="57" t="s">
        <v>980</v>
      </c>
      <c r="D4" s="57" t="s">
        <v>981</v>
      </c>
      <c r="E4" s="57" t="s">
        <v>982</v>
      </c>
      <c r="F4" s="74">
        <f>objecturen1_1</f>
        <v>0</v>
      </c>
      <c r="G4" s="61">
        <f>objectprijs1_1</f>
        <v>0</v>
      </c>
      <c r="H4" s="61">
        <f>G4/12</f>
        <v>0</v>
      </c>
      <c r="I4" s="61">
        <f>H4*1.21</f>
        <v>0</v>
      </c>
    </row>
    <row r="5" spans="1:9" x14ac:dyDescent="0.2">
      <c r="A5" s="62" t="s">
        <v>548</v>
      </c>
      <c r="B5" s="62" t="s">
        <v>1169</v>
      </c>
      <c r="C5" s="62" t="s">
        <v>983</v>
      </c>
      <c r="D5" s="62" t="s">
        <v>984</v>
      </c>
      <c r="E5" s="62" t="s">
        <v>982</v>
      </c>
      <c r="F5" s="76">
        <f>objecturen2_1</f>
        <v>0</v>
      </c>
      <c r="G5" s="66">
        <f>objectprijs2_1</f>
        <v>0</v>
      </c>
      <c r="H5" s="66">
        <f>G5/12</f>
        <v>0</v>
      </c>
      <c r="I5" s="66">
        <f>H5*1.21</f>
        <v>0</v>
      </c>
    </row>
    <row r="6" spans="1:9" x14ac:dyDescent="0.2">
      <c r="A6" s="62" t="s">
        <v>568</v>
      </c>
      <c r="B6" s="62" t="s">
        <v>1170</v>
      </c>
      <c r="C6" s="62" t="s">
        <v>985</v>
      </c>
      <c r="D6" s="62" t="s">
        <v>986</v>
      </c>
      <c r="E6" s="62" t="s">
        <v>987</v>
      </c>
      <c r="F6" s="76">
        <f>objecturen3_1</f>
        <v>0</v>
      </c>
      <c r="G6" s="66">
        <f>objectprijs3_1</f>
        <v>0</v>
      </c>
      <c r="H6" s="66">
        <f>G6/12</f>
        <v>0</v>
      </c>
      <c r="I6" s="66">
        <f>H6*1.21</f>
        <v>0</v>
      </c>
    </row>
    <row r="7" spans="1:9" x14ac:dyDescent="0.2">
      <c r="A7" s="62" t="s">
        <v>617</v>
      </c>
      <c r="B7" s="62" t="s">
        <v>1170</v>
      </c>
      <c r="C7" s="62" t="s">
        <v>988</v>
      </c>
      <c r="D7" s="62" t="s">
        <v>989</v>
      </c>
      <c r="E7" s="62" t="s">
        <v>982</v>
      </c>
      <c r="F7" s="76">
        <f>objecturen4_1</f>
        <v>0</v>
      </c>
      <c r="G7" s="66">
        <f>objectprijs4_1</f>
        <v>0</v>
      </c>
      <c r="H7" s="66">
        <f>G7/12</f>
        <v>0</v>
      </c>
      <c r="I7" s="66">
        <f>H7*1.21</f>
        <v>0</v>
      </c>
    </row>
    <row r="8" spans="1:9" x14ac:dyDescent="0.2">
      <c r="A8" s="62" t="s">
        <v>627</v>
      </c>
      <c r="B8" s="62" t="s">
        <v>1170</v>
      </c>
      <c r="C8" s="62" t="s">
        <v>990</v>
      </c>
      <c r="D8" s="62" t="s">
        <v>989</v>
      </c>
      <c r="E8" s="62" t="s">
        <v>982</v>
      </c>
      <c r="F8" s="76">
        <f>objecturen5_1</f>
        <v>0</v>
      </c>
      <c r="G8" s="66">
        <f>objectprijs5_1</f>
        <v>0</v>
      </c>
      <c r="H8" s="66">
        <f>G8/12</f>
        <v>0</v>
      </c>
      <c r="I8" s="66">
        <f>H8*1.21</f>
        <v>0</v>
      </c>
    </row>
    <row r="9" spans="1:9" x14ac:dyDescent="0.2">
      <c r="A9" s="62" t="s">
        <v>647</v>
      </c>
      <c r="B9" s="62" t="s">
        <v>1170</v>
      </c>
      <c r="C9" s="62" t="s">
        <v>991</v>
      </c>
      <c r="D9" s="62" t="s">
        <v>989</v>
      </c>
      <c r="E9" s="62" t="s">
        <v>982</v>
      </c>
      <c r="F9" s="76">
        <f>objecturen6_1</f>
        <v>0</v>
      </c>
      <c r="G9" s="66">
        <f>objectprijs6_1</f>
        <v>0</v>
      </c>
      <c r="H9" s="66">
        <f>G9/12</f>
        <v>0</v>
      </c>
      <c r="I9" s="66">
        <f>H9*1.21</f>
        <v>0</v>
      </c>
    </row>
    <row r="10" spans="1:9" x14ac:dyDescent="0.2">
      <c r="A10" s="62" t="s">
        <v>650</v>
      </c>
      <c r="B10" s="62" t="s">
        <v>1170</v>
      </c>
      <c r="C10" s="62" t="s">
        <v>992</v>
      </c>
      <c r="D10" s="62" t="s">
        <v>989</v>
      </c>
      <c r="E10" s="62" t="s">
        <v>982</v>
      </c>
      <c r="F10" s="76">
        <f>objecturen7_1</f>
        <v>0</v>
      </c>
      <c r="G10" s="66">
        <f>objectprijs7_1</f>
        <v>0</v>
      </c>
      <c r="H10" s="66">
        <f>G10/12</f>
        <v>0</v>
      </c>
      <c r="I10" s="66">
        <f>H10*1.21</f>
        <v>0</v>
      </c>
    </row>
    <row r="11" spans="1:9" x14ac:dyDescent="0.2">
      <c r="A11" s="62" t="s">
        <v>652</v>
      </c>
      <c r="B11" s="62" t="s">
        <v>1170</v>
      </c>
      <c r="C11" s="62" t="s">
        <v>993</v>
      </c>
      <c r="D11" s="62" t="s">
        <v>994</v>
      </c>
      <c r="E11" s="62" t="s">
        <v>995</v>
      </c>
      <c r="F11" s="76">
        <f>objecturen8_1</f>
        <v>0</v>
      </c>
      <c r="G11" s="66">
        <f>objectprijs8_1</f>
        <v>0</v>
      </c>
      <c r="H11" s="66">
        <f>G11/12</f>
        <v>0</v>
      </c>
      <c r="I11" s="66">
        <f>H11*1.21</f>
        <v>0</v>
      </c>
    </row>
    <row r="12" spans="1:9" x14ac:dyDescent="0.2">
      <c r="A12" s="62" t="s">
        <v>656</v>
      </c>
      <c r="B12" s="62" t="s">
        <v>1170</v>
      </c>
      <c r="C12" s="62" t="s">
        <v>996</v>
      </c>
      <c r="D12" s="62" t="s">
        <v>997</v>
      </c>
      <c r="E12" s="62" t="s">
        <v>998</v>
      </c>
      <c r="F12" s="76">
        <f>objecturen9_1</f>
        <v>0</v>
      </c>
      <c r="G12" s="66">
        <f>objectprijs9_1</f>
        <v>0</v>
      </c>
      <c r="H12" s="66">
        <f>G12/12</f>
        <v>0</v>
      </c>
      <c r="I12" s="66">
        <f>H12*1.21</f>
        <v>0</v>
      </c>
    </row>
    <row r="13" spans="1:9" x14ac:dyDescent="0.2">
      <c r="A13" s="62" t="s">
        <v>659</v>
      </c>
      <c r="B13" s="62" t="s">
        <v>1170</v>
      </c>
      <c r="C13" s="62" t="s">
        <v>999</v>
      </c>
      <c r="D13" s="62" t="s">
        <v>1000</v>
      </c>
      <c r="E13" s="62" t="s">
        <v>1001</v>
      </c>
      <c r="F13" s="76">
        <f>objecturen10_1</f>
        <v>0</v>
      </c>
      <c r="G13" s="66">
        <f>objectprijs10_1</f>
        <v>0</v>
      </c>
      <c r="H13" s="66">
        <f>G13/12</f>
        <v>0</v>
      </c>
      <c r="I13" s="66">
        <f>H13*1.21</f>
        <v>0</v>
      </c>
    </row>
    <row r="14" spans="1:9" x14ac:dyDescent="0.2">
      <c r="A14" s="62" t="s">
        <v>666</v>
      </c>
      <c r="B14" s="62" t="s">
        <v>1171</v>
      </c>
      <c r="C14" s="62" t="s">
        <v>1002</v>
      </c>
      <c r="D14" s="62" t="s">
        <v>1003</v>
      </c>
      <c r="E14" s="62" t="s">
        <v>1001</v>
      </c>
      <c r="F14" s="76">
        <f>objecturen11_1</f>
        <v>0</v>
      </c>
      <c r="G14" s="66">
        <f>objectprijs11_1</f>
        <v>0</v>
      </c>
      <c r="H14" s="66">
        <f>G14/12</f>
        <v>0</v>
      </c>
      <c r="I14" s="66">
        <f>H14*1.21</f>
        <v>0</v>
      </c>
    </row>
    <row r="15" spans="1:9" x14ac:dyDescent="0.2">
      <c r="A15" s="62" t="s">
        <v>670</v>
      </c>
      <c r="B15" s="62" t="s">
        <v>1170</v>
      </c>
      <c r="C15" s="62" t="s">
        <v>1004</v>
      </c>
      <c r="D15" s="62" t="s">
        <v>1005</v>
      </c>
      <c r="E15" s="62" t="s">
        <v>1006</v>
      </c>
      <c r="F15" s="76">
        <f>objecturen12_1</f>
        <v>0</v>
      </c>
      <c r="G15" s="66">
        <f>objectprijs12_1</f>
        <v>0</v>
      </c>
      <c r="H15" s="66">
        <f>G15/12</f>
        <v>0</v>
      </c>
      <c r="I15" s="66">
        <f>H15*1.21</f>
        <v>0</v>
      </c>
    </row>
    <row r="16" spans="1:9" x14ac:dyDescent="0.2">
      <c r="A16" s="62" t="s">
        <v>675</v>
      </c>
      <c r="B16" s="62" t="s">
        <v>1170</v>
      </c>
      <c r="C16" s="62" t="s">
        <v>1007</v>
      </c>
      <c r="D16" s="62" t="s">
        <v>1008</v>
      </c>
      <c r="E16" s="62" t="s">
        <v>1009</v>
      </c>
      <c r="F16" s="76">
        <f>objecturen13_1</f>
        <v>0</v>
      </c>
      <c r="G16" s="66">
        <f>objectprijs13_1</f>
        <v>0</v>
      </c>
      <c r="H16" s="66">
        <f>G16/12</f>
        <v>0</v>
      </c>
      <c r="I16" s="66">
        <f>H16*1.21</f>
        <v>0</v>
      </c>
    </row>
    <row r="17" spans="1:9" x14ac:dyDescent="0.2">
      <c r="A17" s="62" t="s">
        <v>689</v>
      </c>
      <c r="B17" s="62" t="s">
        <v>1170</v>
      </c>
      <c r="C17" s="62" t="s">
        <v>1010</v>
      </c>
      <c r="D17" s="62" t="s">
        <v>1011</v>
      </c>
      <c r="E17" s="62" t="s">
        <v>1012</v>
      </c>
      <c r="F17" s="76">
        <f>objecturen14_1</f>
        <v>0</v>
      </c>
      <c r="G17" s="66">
        <f>objectprijs14_1</f>
        <v>0</v>
      </c>
      <c r="H17" s="66">
        <f>G17/12</f>
        <v>0</v>
      </c>
      <c r="I17" s="66">
        <f>H17*1.21</f>
        <v>0</v>
      </c>
    </row>
    <row r="18" spans="1:9" x14ac:dyDescent="0.2">
      <c r="A18" s="62" t="s">
        <v>702</v>
      </c>
      <c r="B18" s="62" t="s">
        <v>1170</v>
      </c>
      <c r="C18" s="62" t="s">
        <v>1013</v>
      </c>
      <c r="D18" s="62" t="s">
        <v>1014</v>
      </c>
      <c r="E18" s="62" t="s">
        <v>1015</v>
      </c>
      <c r="F18" s="76">
        <f>objecturen15_1</f>
        <v>0</v>
      </c>
      <c r="G18" s="66">
        <f>objectprijs15_1</f>
        <v>0</v>
      </c>
      <c r="H18" s="66">
        <f>G18/12</f>
        <v>0</v>
      </c>
      <c r="I18" s="66">
        <f>H18*1.21</f>
        <v>0</v>
      </c>
    </row>
    <row r="19" spans="1:9" x14ac:dyDescent="0.2">
      <c r="A19" s="62" t="s">
        <v>705</v>
      </c>
      <c r="B19" s="62" t="s">
        <v>1170</v>
      </c>
      <c r="C19" s="62" t="s">
        <v>1016</v>
      </c>
      <c r="D19" s="62" t="s">
        <v>1017</v>
      </c>
      <c r="E19" s="62" t="s">
        <v>1018</v>
      </c>
      <c r="F19" s="76">
        <f>objecturen16_1</f>
        <v>0</v>
      </c>
      <c r="G19" s="66">
        <f>objectprijs16_1</f>
        <v>0</v>
      </c>
      <c r="H19" s="66">
        <f>G19/12</f>
        <v>0</v>
      </c>
      <c r="I19" s="66">
        <f>H19*1.21</f>
        <v>0</v>
      </c>
    </row>
    <row r="20" spans="1:9" x14ac:dyDescent="0.2">
      <c r="A20" s="62" t="s">
        <v>709</v>
      </c>
      <c r="B20" s="62" t="s">
        <v>1170</v>
      </c>
      <c r="C20" s="62" t="s">
        <v>1019</v>
      </c>
      <c r="D20" s="62" t="s">
        <v>1020</v>
      </c>
      <c r="E20" s="62" t="s">
        <v>1021</v>
      </c>
      <c r="F20" s="76">
        <f>objecturen17_1</f>
        <v>0</v>
      </c>
      <c r="G20" s="66">
        <f>objectprijs17_1</f>
        <v>0</v>
      </c>
      <c r="H20" s="66">
        <f>G20/12</f>
        <v>0</v>
      </c>
      <c r="I20" s="66">
        <f>H20*1.21</f>
        <v>0</v>
      </c>
    </row>
    <row r="21" spans="1:9" x14ac:dyDescent="0.2">
      <c r="A21" s="62" t="s">
        <v>713</v>
      </c>
      <c r="B21" s="62" t="s">
        <v>1170</v>
      </c>
      <c r="C21" s="62" t="s">
        <v>1022</v>
      </c>
      <c r="D21" s="62" t="s">
        <v>1023</v>
      </c>
      <c r="E21" s="62" t="s">
        <v>1024</v>
      </c>
      <c r="F21" s="76">
        <f>objecturen18_1</f>
        <v>0</v>
      </c>
      <c r="G21" s="66">
        <f>objectprijs18_1</f>
        <v>0</v>
      </c>
      <c r="H21" s="66">
        <f>G21/12</f>
        <v>0</v>
      </c>
      <c r="I21" s="66">
        <f>H21*1.21</f>
        <v>0</v>
      </c>
    </row>
    <row r="22" spans="1:9" x14ac:dyDescent="0.2">
      <c r="A22" s="62" t="s">
        <v>716</v>
      </c>
      <c r="B22" s="62" t="s">
        <v>1170</v>
      </c>
      <c r="C22" s="62" t="s">
        <v>1025</v>
      </c>
      <c r="D22" s="62" t="s">
        <v>1026</v>
      </c>
      <c r="E22" s="62" t="s">
        <v>1027</v>
      </c>
      <c r="F22" s="76">
        <f>objecturen19_1</f>
        <v>0</v>
      </c>
      <c r="G22" s="66">
        <f>objectprijs19_1</f>
        <v>0</v>
      </c>
      <c r="H22" s="66">
        <f>G22/12</f>
        <v>0</v>
      </c>
      <c r="I22" s="66">
        <f>H22*1.21</f>
        <v>0</v>
      </c>
    </row>
    <row r="23" spans="1:9" x14ac:dyDescent="0.2">
      <c r="A23" s="62" t="s">
        <v>721</v>
      </c>
      <c r="B23" s="62" t="s">
        <v>1170</v>
      </c>
      <c r="C23" s="62" t="s">
        <v>1028</v>
      </c>
      <c r="D23" s="62" t="s">
        <v>1029</v>
      </c>
      <c r="E23" s="62" t="s">
        <v>1030</v>
      </c>
      <c r="F23" s="76">
        <f>objecturen20_1</f>
        <v>0</v>
      </c>
      <c r="G23" s="66">
        <f>objectprijs20_1</f>
        <v>0</v>
      </c>
      <c r="H23" s="66">
        <f>G23/12</f>
        <v>0</v>
      </c>
      <c r="I23" s="66">
        <f>H23*1.21</f>
        <v>0</v>
      </c>
    </row>
    <row r="24" spans="1:9" x14ac:dyDescent="0.2">
      <c r="A24" s="62" t="s">
        <v>732</v>
      </c>
      <c r="B24" s="62" t="s">
        <v>1170</v>
      </c>
      <c r="C24" s="62" t="s">
        <v>1031</v>
      </c>
      <c r="D24" s="62" t="s">
        <v>1032</v>
      </c>
      <c r="E24" s="62" t="s">
        <v>1033</v>
      </c>
      <c r="F24" s="76">
        <f>objecturen21_1</f>
        <v>0</v>
      </c>
      <c r="G24" s="66">
        <f>objectprijs21_1</f>
        <v>0</v>
      </c>
      <c r="H24" s="66">
        <f>G24/12</f>
        <v>0</v>
      </c>
      <c r="I24" s="66">
        <f>H24*1.21</f>
        <v>0</v>
      </c>
    </row>
    <row r="25" spans="1:9" x14ac:dyDescent="0.2">
      <c r="A25" s="62" t="s">
        <v>743</v>
      </c>
      <c r="B25" s="62" t="s">
        <v>1170</v>
      </c>
      <c r="C25" s="62" t="s">
        <v>1034</v>
      </c>
      <c r="D25" s="62" t="s">
        <v>1035</v>
      </c>
      <c r="E25" s="62" t="s">
        <v>1036</v>
      </c>
      <c r="F25" s="76">
        <f>objecturen22_1</f>
        <v>0</v>
      </c>
      <c r="G25" s="66">
        <f>objectprijs22_1</f>
        <v>0</v>
      </c>
      <c r="H25" s="66">
        <f>G25/12</f>
        <v>0</v>
      </c>
      <c r="I25" s="66">
        <f>H25*1.21</f>
        <v>0</v>
      </c>
    </row>
    <row r="26" spans="1:9" x14ac:dyDescent="0.2">
      <c r="A26" s="62" t="s">
        <v>745</v>
      </c>
      <c r="B26" s="62"/>
      <c r="C26" s="62" t="s">
        <v>1037</v>
      </c>
      <c r="D26" s="62" t="s">
        <v>1038</v>
      </c>
      <c r="E26" s="62" t="s">
        <v>1039</v>
      </c>
      <c r="F26" s="76">
        <f>objecturen23_1</f>
        <v>0</v>
      </c>
      <c r="G26" s="66">
        <f>objectprijs23_1</f>
        <v>0</v>
      </c>
      <c r="H26" s="66">
        <f>G26/12</f>
        <v>0</v>
      </c>
      <c r="I26" s="66">
        <f>H26*1.21</f>
        <v>0</v>
      </c>
    </row>
    <row r="27" spans="1:9" x14ac:dyDescent="0.2">
      <c r="A27" s="62" t="s">
        <v>753</v>
      </c>
      <c r="B27" s="62" t="s">
        <v>1172</v>
      </c>
      <c r="C27" s="62" t="s">
        <v>1040</v>
      </c>
      <c r="D27" s="62" t="s">
        <v>1041</v>
      </c>
      <c r="E27" s="62" t="s">
        <v>1042</v>
      </c>
      <c r="F27" s="76">
        <f>objecturen24_1</f>
        <v>0</v>
      </c>
      <c r="G27" s="66">
        <f>objectprijs24_1</f>
        <v>0</v>
      </c>
      <c r="H27" s="66">
        <f>G27/12</f>
        <v>0</v>
      </c>
      <c r="I27" s="66">
        <f>H27*1.21</f>
        <v>0</v>
      </c>
    </row>
    <row r="28" spans="1:9" x14ac:dyDescent="0.2">
      <c r="A28" s="62" t="s">
        <v>755</v>
      </c>
      <c r="B28" s="62" t="s">
        <v>1172</v>
      </c>
      <c r="C28" s="62" t="s">
        <v>1043</v>
      </c>
      <c r="D28" s="62" t="s">
        <v>1044</v>
      </c>
      <c r="E28" s="62" t="s">
        <v>1042</v>
      </c>
      <c r="F28" s="76">
        <f>objecturen25_1</f>
        <v>0</v>
      </c>
      <c r="G28" s="66">
        <f>objectprijs25_1</f>
        <v>0</v>
      </c>
      <c r="H28" s="66">
        <f>G28/12</f>
        <v>0</v>
      </c>
      <c r="I28" s="66">
        <f>H28*1.21</f>
        <v>0</v>
      </c>
    </row>
    <row r="29" spans="1:9" x14ac:dyDescent="0.2">
      <c r="A29" s="62" t="s">
        <v>757</v>
      </c>
      <c r="B29" s="62" t="s">
        <v>1172</v>
      </c>
      <c r="C29" s="62" t="s">
        <v>1045</v>
      </c>
      <c r="D29" s="62" t="s">
        <v>1046</v>
      </c>
      <c r="E29" s="62" t="s">
        <v>1047</v>
      </c>
      <c r="F29" s="76">
        <f>objecturen26_1</f>
        <v>0</v>
      </c>
      <c r="G29" s="66">
        <f>objectprijs26_1</f>
        <v>0</v>
      </c>
      <c r="H29" s="66">
        <f>G29/12</f>
        <v>0</v>
      </c>
      <c r="I29" s="66">
        <f>H29*1.21</f>
        <v>0</v>
      </c>
    </row>
    <row r="30" spans="1:9" x14ac:dyDescent="0.2">
      <c r="A30" s="62" t="s">
        <v>759</v>
      </c>
      <c r="B30" s="62" t="s">
        <v>1172</v>
      </c>
      <c r="C30" s="62" t="s">
        <v>1048</v>
      </c>
      <c r="D30" s="62" t="s">
        <v>1049</v>
      </c>
      <c r="E30" s="62" t="s">
        <v>1047</v>
      </c>
      <c r="F30" s="76">
        <f>objecturen27_1</f>
        <v>0</v>
      </c>
      <c r="G30" s="66">
        <f>objectprijs27_1</f>
        <v>0</v>
      </c>
      <c r="H30" s="66">
        <f>G30/12</f>
        <v>0</v>
      </c>
      <c r="I30" s="66">
        <f>H30*1.21</f>
        <v>0</v>
      </c>
    </row>
    <row r="31" spans="1:9" x14ac:dyDescent="0.2">
      <c r="A31" s="62" t="s">
        <v>761</v>
      </c>
      <c r="B31" s="62" t="s">
        <v>1172</v>
      </c>
      <c r="C31" s="62" t="s">
        <v>1050</v>
      </c>
      <c r="D31" s="62" t="s">
        <v>1051</v>
      </c>
      <c r="E31" s="62" t="s">
        <v>1052</v>
      </c>
      <c r="F31" s="76">
        <f>objecturen28_1</f>
        <v>0</v>
      </c>
      <c r="G31" s="66">
        <f>objectprijs28_1</f>
        <v>0</v>
      </c>
      <c r="H31" s="66">
        <f>G31/12</f>
        <v>0</v>
      </c>
      <c r="I31" s="66">
        <f>H31*1.21</f>
        <v>0</v>
      </c>
    </row>
    <row r="32" spans="1:9" x14ac:dyDescent="0.2">
      <c r="A32" s="62" t="s">
        <v>763</v>
      </c>
      <c r="B32" s="62" t="s">
        <v>1172</v>
      </c>
      <c r="C32" s="62" t="s">
        <v>1053</v>
      </c>
      <c r="D32" s="62" t="s">
        <v>1054</v>
      </c>
      <c r="E32" s="62" t="s">
        <v>1052</v>
      </c>
      <c r="F32" s="76">
        <f>objecturen29_1</f>
        <v>0</v>
      </c>
      <c r="G32" s="66">
        <f>objectprijs29_1</f>
        <v>0</v>
      </c>
      <c r="H32" s="66">
        <f>G32/12</f>
        <v>0</v>
      </c>
      <c r="I32" s="66">
        <f>H32*1.21</f>
        <v>0</v>
      </c>
    </row>
    <row r="33" spans="1:9" x14ac:dyDescent="0.2">
      <c r="A33" s="62" t="s">
        <v>766</v>
      </c>
      <c r="B33" s="62" t="s">
        <v>1172</v>
      </c>
      <c r="C33" s="62" t="s">
        <v>1055</v>
      </c>
      <c r="D33" s="62" t="s">
        <v>1056</v>
      </c>
      <c r="E33" s="62" t="s">
        <v>1057</v>
      </c>
      <c r="F33" s="76">
        <f>objecturen30_1</f>
        <v>0</v>
      </c>
      <c r="G33" s="66">
        <f>objectprijs30_1</f>
        <v>0</v>
      </c>
      <c r="H33" s="66">
        <f>G33/12</f>
        <v>0</v>
      </c>
      <c r="I33" s="66">
        <f>H33*1.21</f>
        <v>0</v>
      </c>
    </row>
    <row r="34" spans="1:9" x14ac:dyDescent="0.2">
      <c r="A34" s="62" t="s">
        <v>768</v>
      </c>
      <c r="B34" s="62" t="s">
        <v>1172</v>
      </c>
      <c r="C34" s="62" t="s">
        <v>1058</v>
      </c>
      <c r="D34" s="62" t="s">
        <v>1059</v>
      </c>
      <c r="E34" s="62" t="s">
        <v>1060</v>
      </c>
      <c r="F34" s="76">
        <f>objecturen31_1</f>
        <v>0</v>
      </c>
      <c r="G34" s="66">
        <f>objectprijs31_1</f>
        <v>0</v>
      </c>
      <c r="H34" s="66">
        <f>G34/12</f>
        <v>0</v>
      </c>
      <c r="I34" s="66">
        <f>H34*1.21</f>
        <v>0</v>
      </c>
    </row>
    <row r="35" spans="1:9" x14ac:dyDescent="0.2">
      <c r="A35" s="62" t="s">
        <v>770</v>
      </c>
      <c r="B35" s="62" t="s">
        <v>1172</v>
      </c>
      <c r="C35" s="62" t="s">
        <v>1061</v>
      </c>
      <c r="D35" s="62" t="s">
        <v>1062</v>
      </c>
      <c r="E35" s="62" t="s">
        <v>1027</v>
      </c>
      <c r="F35" s="76">
        <f>objecturen32_1</f>
        <v>0</v>
      </c>
      <c r="G35" s="66">
        <f>objectprijs32_1</f>
        <v>0</v>
      </c>
      <c r="H35" s="66">
        <f>G35/12</f>
        <v>0</v>
      </c>
      <c r="I35" s="66">
        <f>H35*1.21</f>
        <v>0</v>
      </c>
    </row>
    <row r="36" spans="1:9" x14ac:dyDescent="0.2">
      <c r="A36" s="62" t="s">
        <v>772</v>
      </c>
      <c r="B36" s="62" t="s">
        <v>1172</v>
      </c>
      <c r="C36" s="62" t="s">
        <v>1063</v>
      </c>
      <c r="D36" s="62" t="s">
        <v>1064</v>
      </c>
      <c r="E36" s="62" t="s">
        <v>1065</v>
      </c>
      <c r="F36" s="76">
        <f>objecturen33_1</f>
        <v>0</v>
      </c>
      <c r="G36" s="66">
        <f>objectprijs33_1</f>
        <v>0</v>
      </c>
      <c r="H36" s="66">
        <f>G36/12</f>
        <v>0</v>
      </c>
      <c r="I36" s="66">
        <f>H36*1.21</f>
        <v>0</v>
      </c>
    </row>
    <row r="37" spans="1:9" x14ac:dyDescent="0.2">
      <c r="A37" s="62" t="s">
        <v>776</v>
      </c>
      <c r="B37" s="62" t="s">
        <v>1172</v>
      </c>
      <c r="C37" s="62" t="s">
        <v>1066</v>
      </c>
      <c r="D37" s="62" t="s">
        <v>1067</v>
      </c>
      <c r="E37" s="62" t="s">
        <v>1068</v>
      </c>
      <c r="F37" s="76">
        <f>objecturen34_1</f>
        <v>0</v>
      </c>
      <c r="G37" s="66">
        <f>objectprijs34_1</f>
        <v>0</v>
      </c>
      <c r="H37" s="66">
        <f>G37/12</f>
        <v>0</v>
      </c>
      <c r="I37" s="66">
        <f>H37*1.21</f>
        <v>0</v>
      </c>
    </row>
    <row r="38" spans="1:9" x14ac:dyDescent="0.2">
      <c r="A38" s="62" t="s">
        <v>783</v>
      </c>
      <c r="B38" s="62"/>
      <c r="C38" s="62" t="s">
        <v>1069</v>
      </c>
      <c r="D38" s="62" t="s">
        <v>1069</v>
      </c>
      <c r="E38" s="62" t="s">
        <v>982</v>
      </c>
      <c r="F38" s="76">
        <f>objecturen35_1</f>
        <v>0</v>
      </c>
      <c r="G38" s="66">
        <f>objectprijs35_1</f>
        <v>0</v>
      </c>
      <c r="H38" s="66">
        <f>G38/12</f>
        <v>0</v>
      </c>
      <c r="I38" s="66">
        <f>H38*1.21</f>
        <v>0</v>
      </c>
    </row>
    <row r="39" spans="1:9" x14ac:dyDescent="0.2">
      <c r="A39" s="62" t="s">
        <v>790</v>
      </c>
      <c r="B39" s="62" t="s">
        <v>1172</v>
      </c>
      <c r="C39" s="62" t="s">
        <v>1070</v>
      </c>
      <c r="D39" s="62" t="s">
        <v>1071</v>
      </c>
      <c r="E39" s="62" t="s">
        <v>1042</v>
      </c>
      <c r="F39" s="76">
        <f>objecturen36_1</f>
        <v>0</v>
      </c>
      <c r="G39" s="66">
        <f>objectprijs36_1</f>
        <v>0</v>
      </c>
      <c r="H39" s="66">
        <f>G39/12</f>
        <v>0</v>
      </c>
      <c r="I39" s="66">
        <f>H39*1.21</f>
        <v>0</v>
      </c>
    </row>
    <row r="40" spans="1:9" x14ac:dyDescent="0.2">
      <c r="A40" s="62" t="s">
        <v>798</v>
      </c>
      <c r="B40" s="62" t="s">
        <v>1172</v>
      </c>
      <c r="C40" s="62" t="s">
        <v>1072</v>
      </c>
      <c r="D40" s="62" t="s">
        <v>1073</v>
      </c>
      <c r="E40" s="62" t="s">
        <v>1074</v>
      </c>
      <c r="F40" s="76">
        <f>objecturen37_1</f>
        <v>0</v>
      </c>
      <c r="G40" s="66">
        <f>objectprijs37_1</f>
        <v>0</v>
      </c>
      <c r="H40" s="66">
        <f>G40/12</f>
        <v>0</v>
      </c>
      <c r="I40" s="66">
        <f>H40*1.21</f>
        <v>0</v>
      </c>
    </row>
    <row r="41" spans="1:9" x14ac:dyDescent="0.2">
      <c r="A41" s="62" t="s">
        <v>810</v>
      </c>
      <c r="B41" s="62" t="s">
        <v>1172</v>
      </c>
      <c r="C41" s="62" t="s">
        <v>1075</v>
      </c>
      <c r="D41" s="62" t="s">
        <v>1076</v>
      </c>
      <c r="E41" s="62" t="s">
        <v>1077</v>
      </c>
      <c r="F41" s="76">
        <f>objecturen38_1</f>
        <v>0</v>
      </c>
      <c r="G41" s="66">
        <f>objectprijs38_1</f>
        <v>0</v>
      </c>
      <c r="H41" s="66">
        <f>G41/12</f>
        <v>0</v>
      </c>
      <c r="I41" s="66">
        <f>H41*1.21</f>
        <v>0</v>
      </c>
    </row>
    <row r="42" spans="1:9" x14ac:dyDescent="0.2">
      <c r="A42" s="62" t="s">
        <v>812</v>
      </c>
      <c r="B42" s="62" t="s">
        <v>1172</v>
      </c>
      <c r="C42" s="62" t="s">
        <v>1078</v>
      </c>
      <c r="D42" s="62" t="s">
        <v>1079</v>
      </c>
      <c r="E42" s="62" t="s">
        <v>1080</v>
      </c>
      <c r="F42" s="76">
        <f>objecturen39_1</f>
        <v>0</v>
      </c>
      <c r="G42" s="66">
        <f>objectprijs39_1</f>
        <v>0</v>
      </c>
      <c r="H42" s="66">
        <f>G42/12</f>
        <v>0</v>
      </c>
      <c r="I42" s="66">
        <f>H42*1.21</f>
        <v>0</v>
      </c>
    </row>
    <row r="43" spans="1:9" x14ac:dyDescent="0.2">
      <c r="A43" s="62" t="s">
        <v>826</v>
      </c>
      <c r="B43" s="62" t="s">
        <v>1170</v>
      </c>
      <c r="C43" s="62" t="s">
        <v>1081</v>
      </c>
      <c r="D43" s="62" t="s">
        <v>1082</v>
      </c>
      <c r="E43" s="62" t="s">
        <v>1083</v>
      </c>
      <c r="F43" s="76">
        <f>objecturen40_1</f>
        <v>0</v>
      </c>
      <c r="G43" s="66">
        <f>objectprijs40_1</f>
        <v>0</v>
      </c>
      <c r="H43" s="66">
        <f>G43/12</f>
        <v>0</v>
      </c>
      <c r="I43" s="66">
        <f>H43*1.21</f>
        <v>0</v>
      </c>
    </row>
    <row r="44" spans="1:9" x14ac:dyDescent="0.2">
      <c r="A44" s="62" t="s">
        <v>828</v>
      </c>
      <c r="B44" s="62" t="s">
        <v>1170</v>
      </c>
      <c r="C44" s="62" t="s">
        <v>1084</v>
      </c>
      <c r="D44" s="62" t="s">
        <v>1085</v>
      </c>
      <c r="E44" s="62" t="s">
        <v>987</v>
      </c>
      <c r="F44" s="76">
        <f>objecturen41_1</f>
        <v>0</v>
      </c>
      <c r="G44" s="66">
        <f>objectprijs41_1</f>
        <v>0</v>
      </c>
      <c r="H44" s="66">
        <f>G44/12</f>
        <v>0</v>
      </c>
      <c r="I44" s="66">
        <f>H44*1.21</f>
        <v>0</v>
      </c>
    </row>
    <row r="45" spans="1:9" x14ac:dyDescent="0.2">
      <c r="A45" s="62" t="s">
        <v>830</v>
      </c>
      <c r="B45" s="62" t="s">
        <v>1170</v>
      </c>
      <c r="C45" s="62" t="s">
        <v>1086</v>
      </c>
      <c r="D45" s="62" t="s">
        <v>1087</v>
      </c>
      <c r="E45" s="62" t="s">
        <v>1074</v>
      </c>
      <c r="F45" s="76">
        <f>objecturen42_1</f>
        <v>0</v>
      </c>
      <c r="G45" s="66">
        <f>objectprijs42_1</f>
        <v>0</v>
      </c>
      <c r="H45" s="66">
        <f>G45/12</f>
        <v>0</v>
      </c>
      <c r="I45" s="66">
        <f>H45*1.21</f>
        <v>0</v>
      </c>
    </row>
    <row r="46" spans="1:9" x14ac:dyDescent="0.2">
      <c r="A46" s="62" t="s">
        <v>832</v>
      </c>
      <c r="B46" s="62" t="s">
        <v>1170</v>
      </c>
      <c r="C46" s="62" t="s">
        <v>1088</v>
      </c>
      <c r="D46" s="62" t="s">
        <v>1089</v>
      </c>
      <c r="E46" s="62" t="s">
        <v>1047</v>
      </c>
      <c r="F46" s="76">
        <f>objecturen43_1</f>
        <v>0</v>
      </c>
      <c r="G46" s="66">
        <f>objectprijs43_1</f>
        <v>0</v>
      </c>
      <c r="H46" s="66">
        <f>G46/12</f>
        <v>0</v>
      </c>
      <c r="I46" s="66">
        <f>H46*1.21</f>
        <v>0</v>
      </c>
    </row>
    <row r="47" spans="1:9" x14ac:dyDescent="0.2">
      <c r="A47" s="62" t="s">
        <v>834</v>
      </c>
      <c r="B47" s="62" t="s">
        <v>1170</v>
      </c>
      <c r="C47" s="62" t="s">
        <v>1090</v>
      </c>
      <c r="D47" s="62" t="s">
        <v>1091</v>
      </c>
      <c r="E47" s="62" t="s">
        <v>1092</v>
      </c>
      <c r="F47" s="76">
        <f>objecturen44_1</f>
        <v>0</v>
      </c>
      <c r="G47" s="66">
        <f>objectprijs44_1</f>
        <v>0</v>
      </c>
      <c r="H47" s="66">
        <f>G47/12</f>
        <v>0</v>
      </c>
      <c r="I47" s="66">
        <f>H47*1.21</f>
        <v>0</v>
      </c>
    </row>
    <row r="48" spans="1:9" x14ac:dyDescent="0.2">
      <c r="A48" s="62" t="s">
        <v>836</v>
      </c>
      <c r="B48" s="62" t="s">
        <v>1170</v>
      </c>
      <c r="C48" s="62" t="s">
        <v>1093</v>
      </c>
      <c r="D48" s="62" t="s">
        <v>1094</v>
      </c>
      <c r="E48" s="62" t="s">
        <v>1095</v>
      </c>
      <c r="F48" s="76">
        <f>objecturen45_1</f>
        <v>0</v>
      </c>
      <c r="G48" s="66">
        <f>objectprijs45_1</f>
        <v>0</v>
      </c>
      <c r="H48" s="66">
        <f>G48/12</f>
        <v>0</v>
      </c>
      <c r="I48" s="66">
        <f>H48*1.21</f>
        <v>0</v>
      </c>
    </row>
    <row r="49" spans="1:9" x14ac:dyDescent="0.2">
      <c r="A49" s="62" t="s">
        <v>838</v>
      </c>
      <c r="B49" s="62" t="s">
        <v>1170</v>
      </c>
      <c r="C49" s="62" t="s">
        <v>1096</v>
      </c>
      <c r="D49" s="62" t="s">
        <v>1097</v>
      </c>
      <c r="E49" s="62" t="s">
        <v>1052</v>
      </c>
      <c r="F49" s="76">
        <f>objecturen46_1</f>
        <v>0</v>
      </c>
      <c r="G49" s="66">
        <f>objectprijs46_1</f>
        <v>0</v>
      </c>
      <c r="H49" s="66">
        <f>G49/12</f>
        <v>0</v>
      </c>
      <c r="I49" s="66">
        <f>H49*1.21</f>
        <v>0</v>
      </c>
    </row>
    <row r="50" spans="1:9" x14ac:dyDescent="0.2">
      <c r="A50" s="62" t="s">
        <v>840</v>
      </c>
      <c r="B50" s="62" t="s">
        <v>1170</v>
      </c>
      <c r="C50" s="62" t="s">
        <v>1098</v>
      </c>
      <c r="D50" s="62" t="s">
        <v>1099</v>
      </c>
      <c r="E50" s="62" t="s">
        <v>1100</v>
      </c>
      <c r="F50" s="76">
        <f>objecturen47_1</f>
        <v>0</v>
      </c>
      <c r="G50" s="66">
        <f>objectprijs47_1</f>
        <v>0</v>
      </c>
      <c r="H50" s="66">
        <f>G50/12</f>
        <v>0</v>
      </c>
      <c r="I50" s="66">
        <f>H50*1.21</f>
        <v>0</v>
      </c>
    </row>
    <row r="51" spans="1:9" x14ac:dyDescent="0.2">
      <c r="A51" s="62" t="s">
        <v>842</v>
      </c>
      <c r="B51" s="62" t="s">
        <v>1170</v>
      </c>
      <c r="C51" s="62" t="s">
        <v>1101</v>
      </c>
      <c r="D51" s="62" t="s">
        <v>1102</v>
      </c>
      <c r="E51" s="62" t="s">
        <v>1103</v>
      </c>
      <c r="F51" s="76">
        <f>objecturen48_1</f>
        <v>0</v>
      </c>
      <c r="G51" s="66">
        <f>objectprijs48_1</f>
        <v>0</v>
      </c>
      <c r="H51" s="66">
        <f>G51/12</f>
        <v>0</v>
      </c>
      <c r="I51" s="66">
        <f>H51*1.21</f>
        <v>0</v>
      </c>
    </row>
    <row r="52" spans="1:9" x14ac:dyDescent="0.2">
      <c r="A52" s="62" t="s">
        <v>845</v>
      </c>
      <c r="B52" s="62" t="s">
        <v>1170</v>
      </c>
      <c r="C52" s="62" t="s">
        <v>1104</v>
      </c>
      <c r="D52" s="62" t="s">
        <v>1105</v>
      </c>
      <c r="E52" s="62" t="s">
        <v>1106</v>
      </c>
      <c r="F52" s="76">
        <f>objecturen49_1</f>
        <v>0</v>
      </c>
      <c r="G52" s="66">
        <f>objectprijs49_1</f>
        <v>0</v>
      </c>
      <c r="H52" s="66">
        <f>G52/12</f>
        <v>0</v>
      </c>
      <c r="I52" s="66">
        <f>H52*1.21</f>
        <v>0</v>
      </c>
    </row>
    <row r="53" spans="1:9" x14ac:dyDescent="0.2">
      <c r="A53" s="62" t="s">
        <v>847</v>
      </c>
      <c r="B53" s="62" t="s">
        <v>1170</v>
      </c>
      <c r="C53" s="62" t="s">
        <v>1107</v>
      </c>
      <c r="D53" s="62" t="s">
        <v>1108</v>
      </c>
      <c r="E53" s="62" t="s">
        <v>1109</v>
      </c>
      <c r="F53" s="76">
        <f>objecturen50_1</f>
        <v>0</v>
      </c>
      <c r="G53" s="66">
        <f>objectprijs50_1</f>
        <v>0</v>
      </c>
      <c r="H53" s="66">
        <f>G53/12</f>
        <v>0</v>
      </c>
      <c r="I53" s="66">
        <f>H53*1.21</f>
        <v>0</v>
      </c>
    </row>
    <row r="54" spans="1:9" x14ac:dyDescent="0.2">
      <c r="A54" s="62" t="s">
        <v>849</v>
      </c>
      <c r="B54" s="62" t="s">
        <v>1170</v>
      </c>
      <c r="C54" s="62" t="s">
        <v>1110</v>
      </c>
      <c r="D54" s="62" t="s">
        <v>1111</v>
      </c>
      <c r="E54" s="62" t="s">
        <v>1112</v>
      </c>
      <c r="F54" s="76">
        <f>objecturen51_1</f>
        <v>0</v>
      </c>
      <c r="G54" s="66">
        <f>objectprijs51_1</f>
        <v>0</v>
      </c>
      <c r="H54" s="66">
        <f>G54/12</f>
        <v>0</v>
      </c>
      <c r="I54" s="66">
        <f>H54*1.21</f>
        <v>0</v>
      </c>
    </row>
    <row r="55" spans="1:9" x14ac:dyDescent="0.2">
      <c r="A55" s="62" t="s">
        <v>853</v>
      </c>
      <c r="B55" s="62" t="s">
        <v>1170</v>
      </c>
      <c r="C55" s="62" t="s">
        <v>1113</v>
      </c>
      <c r="D55" s="62" t="s">
        <v>1114</v>
      </c>
      <c r="E55" s="62" t="s">
        <v>1115</v>
      </c>
      <c r="F55" s="76">
        <f>objecturen52_1</f>
        <v>0</v>
      </c>
      <c r="G55" s="66">
        <f>objectprijs52_1</f>
        <v>0</v>
      </c>
      <c r="H55" s="66">
        <f>G55/12</f>
        <v>0</v>
      </c>
      <c r="I55" s="66">
        <f>H55*1.21</f>
        <v>0</v>
      </c>
    </row>
    <row r="56" spans="1:9" x14ac:dyDescent="0.2">
      <c r="A56" s="62" t="s">
        <v>855</v>
      </c>
      <c r="B56" s="62" t="s">
        <v>1170</v>
      </c>
      <c r="C56" s="62" t="s">
        <v>1116</v>
      </c>
      <c r="D56" s="62" t="s">
        <v>1117</v>
      </c>
      <c r="E56" s="62" t="s">
        <v>1118</v>
      </c>
      <c r="F56" s="76">
        <f>objecturen53_1</f>
        <v>0</v>
      </c>
      <c r="G56" s="66">
        <f>objectprijs53_1</f>
        <v>0</v>
      </c>
      <c r="H56" s="66">
        <f>G56/12</f>
        <v>0</v>
      </c>
      <c r="I56" s="66">
        <f>H56*1.21</f>
        <v>0</v>
      </c>
    </row>
    <row r="57" spans="1:9" x14ac:dyDescent="0.2">
      <c r="A57" s="62" t="s">
        <v>857</v>
      </c>
      <c r="B57" s="62" t="s">
        <v>1170</v>
      </c>
      <c r="C57" s="62" t="s">
        <v>1119</v>
      </c>
      <c r="D57" s="62" t="s">
        <v>1120</v>
      </c>
      <c r="E57" s="62" t="s">
        <v>1121</v>
      </c>
      <c r="F57" s="76">
        <f>objecturen54_1</f>
        <v>0</v>
      </c>
      <c r="G57" s="66">
        <f>objectprijs54_1</f>
        <v>0</v>
      </c>
      <c r="H57" s="66">
        <f>G57/12</f>
        <v>0</v>
      </c>
      <c r="I57" s="66">
        <f>H57*1.21</f>
        <v>0</v>
      </c>
    </row>
    <row r="58" spans="1:9" x14ac:dyDescent="0.2">
      <c r="A58" s="62" t="s">
        <v>859</v>
      </c>
      <c r="B58" s="62" t="s">
        <v>1170</v>
      </c>
      <c r="C58" s="62" t="s">
        <v>1122</v>
      </c>
      <c r="D58" s="62" t="s">
        <v>1123</v>
      </c>
      <c r="E58" s="62" t="s">
        <v>1124</v>
      </c>
      <c r="F58" s="76">
        <f>objecturen55_1</f>
        <v>0</v>
      </c>
      <c r="G58" s="66">
        <f>objectprijs55_1</f>
        <v>0</v>
      </c>
      <c r="H58" s="66">
        <f>G58/12</f>
        <v>0</v>
      </c>
      <c r="I58" s="66">
        <f>H58*1.21</f>
        <v>0</v>
      </c>
    </row>
    <row r="59" spans="1:9" x14ac:dyDescent="0.2">
      <c r="A59" s="62" t="s">
        <v>861</v>
      </c>
      <c r="B59" s="62" t="s">
        <v>1170</v>
      </c>
      <c r="C59" s="62" t="s">
        <v>1125</v>
      </c>
      <c r="D59" s="62" t="s">
        <v>1126</v>
      </c>
      <c r="E59" s="62" t="s">
        <v>1127</v>
      </c>
      <c r="F59" s="76">
        <f>objecturen56_1</f>
        <v>0</v>
      </c>
      <c r="G59" s="66">
        <f>objectprijs56_1</f>
        <v>0</v>
      </c>
      <c r="H59" s="66">
        <f>G59/12</f>
        <v>0</v>
      </c>
      <c r="I59" s="66">
        <f>H59*1.21</f>
        <v>0</v>
      </c>
    </row>
    <row r="60" spans="1:9" x14ac:dyDescent="0.2">
      <c r="A60" s="62" t="s">
        <v>863</v>
      </c>
      <c r="B60" s="62" t="s">
        <v>1170</v>
      </c>
      <c r="C60" s="62" t="s">
        <v>1128</v>
      </c>
      <c r="D60" s="62" t="s">
        <v>1129</v>
      </c>
      <c r="E60" s="62" t="s">
        <v>1130</v>
      </c>
      <c r="F60" s="76">
        <f>objecturen57_1</f>
        <v>0</v>
      </c>
      <c r="G60" s="66">
        <f>objectprijs57_1</f>
        <v>0</v>
      </c>
      <c r="H60" s="66">
        <f>G60/12</f>
        <v>0</v>
      </c>
      <c r="I60" s="66">
        <f>H60*1.21</f>
        <v>0</v>
      </c>
    </row>
    <row r="61" spans="1:9" x14ac:dyDescent="0.2">
      <c r="A61" s="62" t="s">
        <v>865</v>
      </c>
      <c r="B61" s="62" t="s">
        <v>1170</v>
      </c>
      <c r="C61" s="62" t="s">
        <v>1131</v>
      </c>
      <c r="D61" s="62" t="s">
        <v>1132</v>
      </c>
      <c r="E61" s="62" t="s">
        <v>1077</v>
      </c>
      <c r="F61" s="76">
        <f>objecturen58_1</f>
        <v>0</v>
      </c>
      <c r="G61" s="66">
        <f>objectprijs58_1</f>
        <v>0</v>
      </c>
      <c r="H61" s="66">
        <f>G61/12</f>
        <v>0</v>
      </c>
      <c r="I61" s="66">
        <f>H61*1.21</f>
        <v>0</v>
      </c>
    </row>
    <row r="62" spans="1:9" x14ac:dyDescent="0.2">
      <c r="A62" s="62" t="s">
        <v>867</v>
      </c>
      <c r="B62" s="62" t="s">
        <v>1170</v>
      </c>
      <c r="C62" s="62" t="s">
        <v>1133</v>
      </c>
      <c r="D62" s="62" t="s">
        <v>1134</v>
      </c>
      <c r="E62" s="62" t="s">
        <v>1135</v>
      </c>
      <c r="F62" s="76">
        <f>objecturen59_1</f>
        <v>0</v>
      </c>
      <c r="G62" s="66">
        <f>objectprijs59_1</f>
        <v>0</v>
      </c>
      <c r="H62" s="66">
        <f>G62/12</f>
        <v>0</v>
      </c>
      <c r="I62" s="66">
        <f>H62*1.21</f>
        <v>0</v>
      </c>
    </row>
    <row r="63" spans="1:9" x14ac:dyDescent="0.2">
      <c r="A63" s="62" t="s">
        <v>869</v>
      </c>
      <c r="B63" s="62" t="s">
        <v>1170</v>
      </c>
      <c r="C63" s="62" t="s">
        <v>1136</v>
      </c>
      <c r="D63" s="62" t="s">
        <v>1137</v>
      </c>
      <c r="E63" s="62" t="s">
        <v>1138</v>
      </c>
      <c r="F63" s="76">
        <f>objecturen60_1</f>
        <v>0</v>
      </c>
      <c r="G63" s="66">
        <f>objectprijs60_1</f>
        <v>0</v>
      </c>
      <c r="H63" s="66">
        <f>G63/12</f>
        <v>0</v>
      </c>
      <c r="I63" s="66">
        <f>H63*1.21</f>
        <v>0</v>
      </c>
    </row>
    <row r="64" spans="1:9" x14ac:dyDescent="0.2">
      <c r="A64" s="62" t="s">
        <v>871</v>
      </c>
      <c r="B64" s="62" t="s">
        <v>1170</v>
      </c>
      <c r="C64" s="62" t="s">
        <v>1139</v>
      </c>
      <c r="D64" s="62" t="s">
        <v>1140</v>
      </c>
      <c r="E64" s="62" t="s">
        <v>1141</v>
      </c>
      <c r="F64" s="76">
        <f>objecturen61_1</f>
        <v>0</v>
      </c>
      <c r="G64" s="66">
        <f>objectprijs61_1</f>
        <v>0</v>
      </c>
      <c r="H64" s="66">
        <f>G64/12</f>
        <v>0</v>
      </c>
      <c r="I64" s="66">
        <f>H64*1.21</f>
        <v>0</v>
      </c>
    </row>
    <row r="65" spans="1:9" x14ac:dyDescent="0.2">
      <c r="A65" s="62" t="s">
        <v>873</v>
      </c>
      <c r="B65" s="62" t="s">
        <v>1170</v>
      </c>
      <c r="C65" s="62" t="s">
        <v>1142</v>
      </c>
      <c r="D65" s="62" t="s">
        <v>1143</v>
      </c>
      <c r="E65" s="62" t="s">
        <v>1141</v>
      </c>
      <c r="F65" s="76">
        <f>objecturen62_1</f>
        <v>0</v>
      </c>
      <c r="G65" s="66">
        <f>objectprijs62_1</f>
        <v>0</v>
      </c>
      <c r="H65" s="66">
        <f>G65/12</f>
        <v>0</v>
      </c>
      <c r="I65" s="66">
        <f>H65*1.21</f>
        <v>0</v>
      </c>
    </row>
    <row r="66" spans="1:9" x14ac:dyDescent="0.2">
      <c r="A66" s="62" t="s">
        <v>875</v>
      </c>
      <c r="B66" s="62" t="s">
        <v>1170</v>
      </c>
      <c r="C66" s="62" t="s">
        <v>1144</v>
      </c>
      <c r="D66" s="62" t="s">
        <v>1145</v>
      </c>
      <c r="E66" s="62" t="s">
        <v>1146</v>
      </c>
      <c r="F66" s="76">
        <f>objecturen63_1</f>
        <v>0</v>
      </c>
      <c r="G66" s="66">
        <f>objectprijs63_1</f>
        <v>0</v>
      </c>
      <c r="H66" s="66">
        <f>G66/12</f>
        <v>0</v>
      </c>
      <c r="I66" s="66">
        <f>H66*1.21</f>
        <v>0</v>
      </c>
    </row>
    <row r="67" spans="1:9" x14ac:dyDescent="0.2">
      <c r="A67" s="62" t="s">
        <v>877</v>
      </c>
      <c r="B67" s="62" t="s">
        <v>1170</v>
      </c>
      <c r="C67" s="62" t="s">
        <v>1147</v>
      </c>
      <c r="D67" s="62" t="s">
        <v>1148</v>
      </c>
      <c r="E67" s="62" t="s">
        <v>1033</v>
      </c>
      <c r="F67" s="76">
        <f>objecturen64_1</f>
        <v>0</v>
      </c>
      <c r="G67" s="66">
        <f>objectprijs64_1</f>
        <v>0</v>
      </c>
      <c r="H67" s="66">
        <f>G67/12</f>
        <v>0</v>
      </c>
      <c r="I67" s="66">
        <f>H67*1.21</f>
        <v>0</v>
      </c>
    </row>
    <row r="68" spans="1:9" x14ac:dyDescent="0.2">
      <c r="A68" s="62" t="s">
        <v>879</v>
      </c>
      <c r="B68" s="62" t="s">
        <v>1170</v>
      </c>
      <c r="C68" s="62" t="s">
        <v>1149</v>
      </c>
      <c r="D68" s="62" t="s">
        <v>1150</v>
      </c>
      <c r="E68" s="62" t="s">
        <v>1151</v>
      </c>
      <c r="F68" s="76">
        <f>objecturen65_1</f>
        <v>0</v>
      </c>
      <c r="G68" s="66">
        <f>objectprijs65_1</f>
        <v>0</v>
      </c>
      <c r="H68" s="66">
        <f>G68/12</f>
        <v>0</v>
      </c>
      <c r="I68" s="66">
        <f>H68*1.21</f>
        <v>0</v>
      </c>
    </row>
    <row r="69" spans="1:9" x14ac:dyDescent="0.2">
      <c r="A69" s="62" t="s">
        <v>881</v>
      </c>
      <c r="B69" s="62" t="s">
        <v>1170</v>
      </c>
      <c r="C69" s="62" t="s">
        <v>1152</v>
      </c>
      <c r="D69" s="62" t="s">
        <v>1153</v>
      </c>
      <c r="E69" s="62" t="s">
        <v>1039</v>
      </c>
      <c r="F69" s="76">
        <f>objecturen66_1</f>
        <v>0</v>
      </c>
      <c r="G69" s="66">
        <f>objectprijs66_1</f>
        <v>0</v>
      </c>
      <c r="H69" s="66">
        <f>G69/12</f>
        <v>0</v>
      </c>
      <c r="I69" s="66">
        <f>H69*1.21</f>
        <v>0</v>
      </c>
    </row>
    <row r="70" spans="1:9" x14ac:dyDescent="0.2">
      <c r="A70" s="62" t="s">
        <v>884</v>
      </c>
      <c r="B70" s="62" t="s">
        <v>1170</v>
      </c>
      <c r="C70" s="62" t="s">
        <v>1154</v>
      </c>
      <c r="D70" s="62" t="s">
        <v>1155</v>
      </c>
      <c r="E70" s="62" t="s">
        <v>1156</v>
      </c>
      <c r="F70" s="76">
        <f>objecturen67_1</f>
        <v>0</v>
      </c>
      <c r="G70" s="66">
        <f>objectprijs67_1</f>
        <v>0</v>
      </c>
      <c r="H70" s="66">
        <f>G70/12</f>
        <v>0</v>
      </c>
      <c r="I70" s="66">
        <f>H70*1.21</f>
        <v>0</v>
      </c>
    </row>
    <row r="71" spans="1:9" x14ac:dyDescent="0.2">
      <c r="A71" s="62" t="s">
        <v>886</v>
      </c>
      <c r="B71" s="62" t="s">
        <v>1170</v>
      </c>
      <c r="C71" s="62" t="s">
        <v>1157</v>
      </c>
      <c r="D71" s="62" t="s">
        <v>1158</v>
      </c>
      <c r="E71" s="62" t="s">
        <v>1036</v>
      </c>
      <c r="F71" s="76">
        <f>objecturen68_1</f>
        <v>0</v>
      </c>
      <c r="G71" s="66">
        <f>objectprijs68_1</f>
        <v>0</v>
      </c>
      <c r="H71" s="66">
        <f>G71/12</f>
        <v>0</v>
      </c>
      <c r="I71" s="66">
        <f>H71*1.21</f>
        <v>0</v>
      </c>
    </row>
    <row r="72" spans="1:9" x14ac:dyDescent="0.2">
      <c r="A72" s="62" t="s">
        <v>888</v>
      </c>
      <c r="B72" s="62" t="s">
        <v>1170</v>
      </c>
      <c r="C72" s="62" t="s">
        <v>1159</v>
      </c>
      <c r="D72" s="62" t="s">
        <v>1160</v>
      </c>
      <c r="E72" s="62" t="s">
        <v>1036</v>
      </c>
      <c r="F72" s="76">
        <f>objecturen69_1</f>
        <v>0</v>
      </c>
      <c r="G72" s="66">
        <f>objectprijs69_1</f>
        <v>0</v>
      </c>
      <c r="H72" s="66">
        <f>G72/12</f>
        <v>0</v>
      </c>
      <c r="I72" s="66">
        <f>H72*1.21</f>
        <v>0</v>
      </c>
    </row>
    <row r="73" spans="1:9" x14ac:dyDescent="0.2">
      <c r="A73" s="67" t="s">
        <v>890</v>
      </c>
      <c r="B73" s="67" t="s">
        <v>1170</v>
      </c>
      <c r="C73" s="67" t="s">
        <v>1161</v>
      </c>
      <c r="D73" s="67" t="s">
        <v>1162</v>
      </c>
      <c r="E73" s="67" t="s">
        <v>1163</v>
      </c>
      <c r="F73" s="79">
        <f>objecturen70_1</f>
        <v>0</v>
      </c>
      <c r="G73" s="71">
        <f>objectprijs70_1</f>
        <v>0</v>
      </c>
      <c r="H73" s="71">
        <f>G73/12</f>
        <v>0</v>
      </c>
      <c r="I73" s="71">
        <f>H73*1.21</f>
        <v>0</v>
      </c>
    </row>
    <row r="75" spans="1:9" x14ac:dyDescent="0.2">
      <c r="A75" s="82" t="s">
        <v>1173</v>
      </c>
      <c r="B75" s="83"/>
      <c r="C75" s="83"/>
      <c r="D75" s="83"/>
      <c r="E75" s="83"/>
      <c r="F75" s="84">
        <f>SUM(F4:F73)</f>
        <v>0</v>
      </c>
      <c r="G75" s="85">
        <f>SUM(G4:G73)</f>
        <v>0</v>
      </c>
      <c r="H75" s="85">
        <f>SUM(H4:H73)</f>
        <v>0</v>
      </c>
      <c r="I75" s="85">
        <f>SUM(I4:I73)</f>
        <v>0</v>
      </c>
    </row>
  </sheetData>
  <sheetProtection algorithmName="SHA-512" hashValue="0Isxl75tSgfwCZLhZh+sVWTU/v85il8jcMT7y2/JB3OoXvDLLB91Nxhjl2BgL1lKjo3uIr4TMSg2/Aqz7EIJ6w==" saltValue="vU/n0dMBWWOO1F9qsbCFnQ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&amp;LWaterschap Vallei &amp; Veluwe EA 2027                          &amp;ROpmaakdatum: 30-10-2026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421DF-6EBE-478F-ACD3-9F623FA24A8B}">
  <dimension ref="A1:L13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G.6: ",tabeltype," additioneel werk")</f>
        <v>Bijlage G.6: Invultabel additioneel werk</v>
      </c>
    </row>
    <row r="3" spans="1:12" ht="38.25" x14ac:dyDescent="0.2">
      <c r="A3" s="46" t="s">
        <v>1174</v>
      </c>
      <c r="B3" s="46" t="s">
        <v>7</v>
      </c>
      <c r="C3" s="46" t="s">
        <v>1175</v>
      </c>
      <c r="D3" s="46" t="s">
        <v>96</v>
      </c>
      <c r="E3" s="46" t="s">
        <v>99</v>
      </c>
      <c r="F3" s="46" t="s">
        <v>1176</v>
      </c>
      <c r="G3" s="46" t="s">
        <v>1177</v>
      </c>
      <c r="H3" s="46" t="s">
        <v>1178</v>
      </c>
      <c r="I3" s="46" t="s">
        <v>1179</v>
      </c>
      <c r="J3" s="46" t="s">
        <v>1180</v>
      </c>
      <c r="K3" s="46" t="s">
        <v>229</v>
      </c>
      <c r="L3" s="46" t="s">
        <v>979</v>
      </c>
    </row>
    <row r="4" spans="1:12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9"/>
    </row>
    <row r="5" spans="1:12" x14ac:dyDescent="0.2">
      <c r="A5" s="50" t="s">
        <v>101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2"/>
    </row>
    <row r="6" spans="1:12" x14ac:dyDescent="0.2">
      <c r="A6" s="57" t="s">
        <v>1181</v>
      </c>
      <c r="B6" s="57" t="s">
        <v>23</v>
      </c>
      <c r="C6" s="58">
        <f>IF(ISBLANK(B6),0,IF(ISERROR(VALUE(B6)),VLOOKUP(B6,dagsoorttabel1,2,FALSE)*dagenperjaar1,VALUE(B6)))</f>
        <v>1</v>
      </c>
      <c r="D6" s="57" t="s">
        <v>1182</v>
      </c>
      <c r="E6" s="57" t="s">
        <v>1183</v>
      </c>
      <c r="F6" s="129">
        <v>1979.6800000000003</v>
      </c>
      <c r="G6" s="130">
        <f>Tariefopbouw4</f>
        <v>0</v>
      </c>
      <c r="H6" s="59"/>
      <c r="I6" s="131"/>
      <c r="J6" s="61">
        <f>IF(ISBLANK(H6),0,F6 / ROUND(H6,4) * ROUND(G6,2))</f>
        <v>0</v>
      </c>
      <c r="K6" s="61">
        <f>C6*J6</f>
        <v>0</v>
      </c>
      <c r="L6" s="61">
        <f>K6/12</f>
        <v>0</v>
      </c>
    </row>
    <row r="7" spans="1:12" x14ac:dyDescent="0.2">
      <c r="A7" s="62" t="s">
        <v>1184</v>
      </c>
      <c r="B7" s="62" t="s">
        <v>23</v>
      </c>
      <c r="C7" s="63">
        <f>IF(ISBLANK(B7),0,IF(ISERROR(VALUE(B7)),VLOOKUP(B7,dagsoorttabel1,2,FALSE)*dagenperjaar1,VALUE(B7)))</f>
        <v>1</v>
      </c>
      <c r="D7" s="62" t="s">
        <v>1185</v>
      </c>
      <c r="E7" s="62" t="s">
        <v>1183</v>
      </c>
      <c r="F7" s="132">
        <v>200</v>
      </c>
      <c r="G7" s="133">
        <f>Tariefopbouw3</f>
        <v>0</v>
      </c>
      <c r="H7" s="64"/>
      <c r="I7" s="134"/>
      <c r="J7" s="66">
        <f>IF(ISBLANK(H7),0,F7 / ROUND(H7,4) * ROUND(G7,2))</f>
        <v>0</v>
      </c>
      <c r="K7" s="66">
        <f>C7*J7</f>
        <v>0</v>
      </c>
      <c r="L7" s="66">
        <f>K7/12</f>
        <v>0</v>
      </c>
    </row>
    <row r="8" spans="1:12" x14ac:dyDescent="0.2">
      <c r="A8" s="62" t="s">
        <v>1186</v>
      </c>
      <c r="B8" s="62" t="s">
        <v>23</v>
      </c>
      <c r="C8" s="63">
        <f>IF(ISBLANK(B8),0,IF(ISERROR(VALUE(B8)),VLOOKUP(B8,dagsoorttabel1,2,FALSE)*dagenperjaar1,VALUE(B8)))</f>
        <v>1</v>
      </c>
      <c r="D8" s="62" t="s">
        <v>1187</v>
      </c>
      <c r="E8" s="62" t="s">
        <v>1188</v>
      </c>
      <c r="F8" s="132">
        <v>450</v>
      </c>
      <c r="G8" s="133">
        <f>Tariefopbouw1</f>
        <v>0</v>
      </c>
      <c r="H8" s="135"/>
      <c r="I8" s="136"/>
      <c r="J8" s="66">
        <f>IF(ISBLANK(F8),0,F8)*ROUND(I8,2)</f>
        <v>0</v>
      </c>
      <c r="K8" s="66">
        <f>C8*J8</f>
        <v>0</v>
      </c>
      <c r="L8" s="66">
        <f>K8/12</f>
        <v>0</v>
      </c>
    </row>
    <row r="9" spans="1:12" x14ac:dyDescent="0.2">
      <c r="A9" s="62" t="s">
        <v>1189</v>
      </c>
      <c r="B9" s="62" t="s">
        <v>23</v>
      </c>
      <c r="C9" s="63">
        <f>IF(ISBLANK(B9),0,IF(ISERROR(VALUE(B9)),VLOOKUP(B9,dagsoorttabel1,2,FALSE)*dagenperjaar1,VALUE(B9)))</f>
        <v>1</v>
      </c>
      <c r="D9" s="62" t="s">
        <v>1190</v>
      </c>
      <c r="E9" s="62" t="s">
        <v>1188</v>
      </c>
      <c r="F9" s="132">
        <v>250</v>
      </c>
      <c r="G9" s="133">
        <f>Tariefopbouw1</f>
        <v>0</v>
      </c>
      <c r="H9" s="135"/>
      <c r="I9" s="136"/>
      <c r="J9" s="66">
        <f>IF(ISBLANK(F9),0,F9)*ROUND(I9,2)</f>
        <v>0</v>
      </c>
      <c r="K9" s="66">
        <f>C9*J9</f>
        <v>0</v>
      </c>
      <c r="L9" s="66">
        <f>K9/12</f>
        <v>0</v>
      </c>
    </row>
    <row r="10" spans="1:12" x14ac:dyDescent="0.2">
      <c r="A10" s="67" t="s">
        <v>1191</v>
      </c>
      <c r="B10" s="67" t="s">
        <v>23</v>
      </c>
      <c r="C10" s="68">
        <f>IF(ISBLANK(B10),0,IF(ISERROR(VALUE(B10)),VLOOKUP(B10,dagsoorttabel1,2,FALSE)*dagenperjaar1,VALUE(B10)))</f>
        <v>1</v>
      </c>
      <c r="D10" s="67" t="s">
        <v>1192</v>
      </c>
      <c r="E10" s="67" t="s">
        <v>1188</v>
      </c>
      <c r="F10" s="137">
        <v>40</v>
      </c>
      <c r="G10" s="138">
        <f>Tariefopbouw1</f>
        <v>0</v>
      </c>
      <c r="H10" s="139"/>
      <c r="I10" s="140"/>
      <c r="J10" s="71">
        <f>IF(ISBLANK(F10),0,F10)*ROUND(I10,2)</f>
        <v>0</v>
      </c>
      <c r="K10" s="71">
        <f>C10*J10</f>
        <v>0</v>
      </c>
      <c r="L10" s="71">
        <f>K10/12</f>
        <v>0</v>
      </c>
    </row>
    <row r="11" spans="1:12" x14ac:dyDescent="0.2">
      <c r="A11" s="82" t="s">
        <v>308</v>
      </c>
      <c r="B11" s="83"/>
      <c r="C11" s="83"/>
      <c r="D11" s="83"/>
      <c r="E11" s="83"/>
      <c r="F11" s="83"/>
      <c r="G11" s="83"/>
      <c r="H11" s="83"/>
      <c r="I11" s="83"/>
      <c r="J11" s="83"/>
      <c r="K11" s="85">
        <f>SUM(K6:K10)</f>
        <v>0</v>
      </c>
      <c r="L11" s="141">
        <f>K11/12</f>
        <v>0</v>
      </c>
    </row>
    <row r="13" spans="1:12" x14ac:dyDescent="0.2">
      <c r="A13" s="82" t="s">
        <v>1193</v>
      </c>
      <c r="B13" s="83"/>
      <c r="C13" s="83"/>
      <c r="D13" s="83"/>
      <c r="E13" s="83"/>
      <c r="F13" s="83"/>
      <c r="G13" s="83"/>
      <c r="H13" s="83"/>
      <c r="I13" s="83"/>
      <c r="J13" s="83"/>
      <c r="K13" s="85">
        <f>prijsjaaradditioneel1</f>
        <v>0</v>
      </c>
      <c r="L13" s="141">
        <f>K13/12</f>
        <v>0</v>
      </c>
    </row>
  </sheetData>
  <sheetProtection algorithmName="SHA-512" hashValue="1DknAaNsNUTjmxbBMMH8fztyR3Yyx6NLH6KUYmdNtJkIVurT6qE/T+PgLTwHGqNGA0F5F6VTjm9yWUrjrIdrjQ==" saltValue="6tJwUx92j3ewso5HhVZCHw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&amp;LWaterschap Vallei &amp; Veluwe EA 2027                          &amp;ROpmaakdatum: 30-10-2026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5DFCA-07E5-416C-B177-0376ECE5ED9C}">
  <dimension ref="A1:M87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G.7: ",tabeltype," additioneel werk per locatie")</f>
        <v>Bijlage G.7: Invultabel additioneel werk per locatie</v>
      </c>
    </row>
    <row r="3" spans="1:13" ht="38.25" x14ac:dyDescent="0.2">
      <c r="A3" s="46" t="s">
        <v>1174</v>
      </c>
      <c r="B3" s="46" t="s">
        <v>7</v>
      </c>
      <c r="C3" s="46" t="s">
        <v>1175</v>
      </c>
      <c r="D3" s="46" t="s">
        <v>892</v>
      </c>
      <c r="E3" s="46" t="s">
        <v>96</v>
      </c>
      <c r="F3" s="46" t="s">
        <v>99</v>
      </c>
      <c r="G3" s="46" t="s">
        <v>1176</v>
      </c>
      <c r="H3" s="46" t="s">
        <v>1177</v>
      </c>
      <c r="I3" s="46" t="s">
        <v>1178</v>
      </c>
      <c r="J3" s="46" t="s">
        <v>1179</v>
      </c>
      <c r="K3" s="46" t="s">
        <v>1180</v>
      </c>
      <c r="L3" s="46" t="s">
        <v>229</v>
      </c>
      <c r="M3" s="46" t="s">
        <v>979</v>
      </c>
    </row>
    <row r="5" spans="1:13" x14ac:dyDescent="0.2">
      <c r="A5" s="142" t="s">
        <v>320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143"/>
    </row>
    <row r="6" spans="1:13" x14ac:dyDescent="0.2">
      <c r="A6" s="116" t="s">
        <v>1181</v>
      </c>
      <c r="B6" s="116" t="s">
        <v>23</v>
      </c>
      <c r="C6" s="144">
        <f>IF(ISBLANK(B6),0,IF(ISERROR(VALUE(B6)),VLOOKUP(B6,dagsoorttabel1,2,FALSE)*dagenperjaar1,VALUE(B6)))</f>
        <v>1</v>
      </c>
      <c r="D6" s="116" t="s">
        <v>968</v>
      </c>
      <c r="E6" s="116" t="s">
        <v>1182</v>
      </c>
      <c r="F6" s="116" t="s">
        <v>1183</v>
      </c>
      <c r="G6" s="145">
        <v>47.800000000000004</v>
      </c>
      <c r="H6" s="146">
        <f>'Additioneel werk'!G6</f>
        <v>0</v>
      </c>
      <c r="I6" s="147">
        <f>'Additioneel werk'!H6</f>
        <v>0</v>
      </c>
      <c r="J6" s="148"/>
      <c r="K6" s="117" t="e">
        <f>IF(ISBLANK(I6),0,G6 / ROUND(I6,4) * ROUND(H6,2))</f>
        <v>#DIV/0!</v>
      </c>
      <c r="L6" s="117" t="e">
        <f>C6*K6</f>
        <v>#DIV/0!</v>
      </c>
      <c r="M6" s="117" t="e">
        <f>L6/12</f>
        <v>#DIV/0!</v>
      </c>
    </row>
    <row r="7" spans="1:13" x14ac:dyDescent="0.2">
      <c r="A7" s="149" t="s">
        <v>1194</v>
      </c>
      <c r="B7" s="83"/>
      <c r="C7" s="83"/>
      <c r="D7" s="83"/>
      <c r="E7" s="83"/>
      <c r="F7" s="83"/>
      <c r="G7" s="83"/>
      <c r="H7" s="83"/>
      <c r="I7" s="83"/>
      <c r="J7" s="83"/>
      <c r="K7" s="85" t="e">
        <f>SUM(K6:K6)</f>
        <v>#DIV/0!</v>
      </c>
      <c r="L7" s="85" t="e">
        <f>SUM(L6:L6)</f>
        <v>#DIV/0!</v>
      </c>
      <c r="M7" s="141" t="e">
        <f>L7/12</f>
        <v>#DIV/0!</v>
      </c>
    </row>
    <row r="9" spans="1:13" x14ac:dyDescent="0.2">
      <c r="A9" s="142" t="s">
        <v>547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143"/>
    </row>
    <row r="10" spans="1:13" x14ac:dyDescent="0.2">
      <c r="A10" s="116" t="s">
        <v>1181</v>
      </c>
      <c r="B10" s="116" t="s">
        <v>23</v>
      </c>
      <c r="C10" s="144">
        <f>IF(ISBLANK(B10),0,IF(ISERROR(VALUE(B10)),VLOOKUP(B10,dagsoorttabel1,2,FALSE)*dagenperjaar1,VALUE(B10)))</f>
        <v>1</v>
      </c>
      <c r="D10" s="116" t="s">
        <v>968</v>
      </c>
      <c r="E10" s="116" t="s">
        <v>1182</v>
      </c>
      <c r="F10" s="116" t="s">
        <v>1183</v>
      </c>
      <c r="G10" s="145">
        <v>7.85</v>
      </c>
      <c r="H10" s="146">
        <f>'Additioneel werk'!G6</f>
        <v>0</v>
      </c>
      <c r="I10" s="147">
        <f>'Additioneel werk'!H6</f>
        <v>0</v>
      </c>
      <c r="J10" s="148"/>
      <c r="K10" s="117" t="e">
        <f>IF(ISBLANK(I10),0,G10 / ROUND(I10,4) * ROUND(H10,2))</f>
        <v>#DIV/0!</v>
      </c>
      <c r="L10" s="117" t="e">
        <f>C10*K10</f>
        <v>#DIV/0!</v>
      </c>
      <c r="M10" s="117" t="e">
        <f>L10/12</f>
        <v>#DIV/0!</v>
      </c>
    </row>
    <row r="11" spans="1:13" x14ac:dyDescent="0.2">
      <c r="A11" s="149" t="s">
        <v>1195</v>
      </c>
      <c r="B11" s="83"/>
      <c r="C11" s="83"/>
      <c r="D11" s="83"/>
      <c r="E11" s="83"/>
      <c r="F11" s="83"/>
      <c r="G11" s="83"/>
      <c r="H11" s="83"/>
      <c r="I11" s="83"/>
      <c r="J11" s="83"/>
      <c r="K11" s="85" t="e">
        <f>SUM(K10:K10)</f>
        <v>#DIV/0!</v>
      </c>
      <c r="L11" s="85" t="e">
        <f>SUM(L10:L10)</f>
        <v>#DIV/0!</v>
      </c>
      <c r="M11" s="141" t="e">
        <f>L11/12</f>
        <v>#DIV/0!</v>
      </c>
    </row>
    <row r="13" spans="1:13" x14ac:dyDescent="0.2">
      <c r="A13" s="142" t="s">
        <v>567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143"/>
    </row>
    <row r="14" spans="1:13" x14ac:dyDescent="0.2">
      <c r="A14" s="116" t="s">
        <v>1181</v>
      </c>
      <c r="B14" s="116" t="s">
        <v>23</v>
      </c>
      <c r="C14" s="144">
        <f>IF(ISBLANK(B14),0,IF(ISERROR(VALUE(B14)),VLOOKUP(B14,dagsoorttabel1,2,FALSE)*dagenperjaar1,VALUE(B14)))</f>
        <v>1</v>
      </c>
      <c r="D14" s="116" t="s">
        <v>968</v>
      </c>
      <c r="E14" s="116" t="s">
        <v>1182</v>
      </c>
      <c r="F14" s="116" t="s">
        <v>1183</v>
      </c>
      <c r="G14" s="145">
        <v>59.9</v>
      </c>
      <c r="H14" s="146">
        <f>'Additioneel werk'!G6</f>
        <v>0</v>
      </c>
      <c r="I14" s="147">
        <f>'Additioneel werk'!H6</f>
        <v>0</v>
      </c>
      <c r="J14" s="148"/>
      <c r="K14" s="117" t="e">
        <f>IF(ISBLANK(I14),0,G14 / ROUND(I14,4) * ROUND(H14,2))</f>
        <v>#DIV/0!</v>
      </c>
      <c r="L14" s="117" t="e">
        <f>C14*K14</f>
        <v>#DIV/0!</v>
      </c>
      <c r="M14" s="117" t="e">
        <f>L14/12</f>
        <v>#DIV/0!</v>
      </c>
    </row>
    <row r="15" spans="1:13" x14ac:dyDescent="0.2">
      <c r="A15" s="149" t="s">
        <v>1196</v>
      </c>
      <c r="B15" s="83"/>
      <c r="C15" s="83"/>
      <c r="D15" s="83"/>
      <c r="E15" s="83"/>
      <c r="F15" s="83"/>
      <c r="G15" s="83"/>
      <c r="H15" s="83"/>
      <c r="I15" s="83"/>
      <c r="J15" s="83"/>
      <c r="K15" s="85" t="e">
        <f>SUM(K14:K14)</f>
        <v>#DIV/0!</v>
      </c>
      <c r="L15" s="85" t="e">
        <f>SUM(L14:L14)</f>
        <v>#DIV/0!</v>
      </c>
      <c r="M15" s="141" t="e">
        <f>L15/12</f>
        <v>#DIV/0!</v>
      </c>
    </row>
    <row r="17" spans="1:13" x14ac:dyDescent="0.2">
      <c r="A17" s="142" t="s">
        <v>616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143"/>
    </row>
    <row r="18" spans="1:13" x14ac:dyDescent="0.2">
      <c r="A18" s="116" t="s">
        <v>1181</v>
      </c>
      <c r="B18" s="116" t="s">
        <v>23</v>
      </c>
      <c r="C18" s="144">
        <f>IF(ISBLANK(B18),0,IF(ISERROR(VALUE(B18)),VLOOKUP(B18,dagsoorttabel1,2,FALSE)*dagenperjaar1,VALUE(B18)))</f>
        <v>1</v>
      </c>
      <c r="D18" s="116" t="s">
        <v>968</v>
      </c>
      <c r="E18" s="116" t="s">
        <v>1182</v>
      </c>
      <c r="F18" s="116" t="s">
        <v>1183</v>
      </c>
      <c r="G18" s="145">
        <v>225</v>
      </c>
      <c r="H18" s="146">
        <f>'Additioneel werk'!G6</f>
        <v>0</v>
      </c>
      <c r="I18" s="147">
        <f>'Additioneel werk'!H6</f>
        <v>0</v>
      </c>
      <c r="J18" s="148"/>
      <c r="K18" s="117" t="e">
        <f>IF(ISBLANK(I18),0,G18 / ROUND(I18,4) * ROUND(H18,2))</f>
        <v>#DIV/0!</v>
      </c>
      <c r="L18" s="117" t="e">
        <f>C18*K18</f>
        <v>#DIV/0!</v>
      </c>
      <c r="M18" s="117" t="e">
        <f>L18/12</f>
        <v>#DIV/0!</v>
      </c>
    </row>
    <row r="19" spans="1:13" x14ac:dyDescent="0.2">
      <c r="A19" s="149" t="s">
        <v>1197</v>
      </c>
      <c r="B19" s="83"/>
      <c r="C19" s="83"/>
      <c r="D19" s="83"/>
      <c r="E19" s="83"/>
      <c r="F19" s="83"/>
      <c r="G19" s="83"/>
      <c r="H19" s="83"/>
      <c r="I19" s="83"/>
      <c r="J19" s="83"/>
      <c r="K19" s="85" t="e">
        <f>SUM(K18:K18)</f>
        <v>#DIV/0!</v>
      </c>
      <c r="L19" s="85" t="e">
        <f>SUM(L18:L18)</f>
        <v>#DIV/0!</v>
      </c>
      <c r="M19" s="141" t="e">
        <f>L19/12</f>
        <v>#DIV/0!</v>
      </c>
    </row>
    <row r="21" spans="1:13" x14ac:dyDescent="0.2">
      <c r="A21" s="142" t="s">
        <v>626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143"/>
    </row>
    <row r="22" spans="1:13" x14ac:dyDescent="0.2">
      <c r="A22" s="116" t="s">
        <v>1181</v>
      </c>
      <c r="B22" s="116" t="s">
        <v>23</v>
      </c>
      <c r="C22" s="144">
        <f>IF(ISBLANK(B22),0,IF(ISERROR(VALUE(B22)),VLOOKUP(B22,dagsoorttabel1,2,FALSE)*dagenperjaar1,VALUE(B22)))</f>
        <v>1</v>
      </c>
      <c r="D22" s="116" t="s">
        <v>968</v>
      </c>
      <c r="E22" s="116" t="s">
        <v>1182</v>
      </c>
      <c r="F22" s="116" t="s">
        <v>1183</v>
      </c>
      <c r="G22" s="145">
        <v>162</v>
      </c>
      <c r="H22" s="146">
        <f>'Additioneel werk'!G6</f>
        <v>0</v>
      </c>
      <c r="I22" s="147">
        <f>'Additioneel werk'!H6</f>
        <v>0</v>
      </c>
      <c r="J22" s="148"/>
      <c r="K22" s="117" t="e">
        <f>IF(ISBLANK(I22),0,G22 / ROUND(I22,4) * ROUND(H22,2))</f>
        <v>#DIV/0!</v>
      </c>
      <c r="L22" s="117" t="e">
        <f>C22*K22</f>
        <v>#DIV/0!</v>
      </c>
      <c r="M22" s="117" t="e">
        <f>L22/12</f>
        <v>#DIV/0!</v>
      </c>
    </row>
    <row r="23" spans="1:13" x14ac:dyDescent="0.2">
      <c r="A23" s="149" t="s">
        <v>1198</v>
      </c>
      <c r="B23" s="83"/>
      <c r="C23" s="83"/>
      <c r="D23" s="83"/>
      <c r="E23" s="83"/>
      <c r="F23" s="83"/>
      <c r="G23" s="83"/>
      <c r="H23" s="83"/>
      <c r="I23" s="83"/>
      <c r="J23" s="83"/>
      <c r="K23" s="85" t="e">
        <f>SUM(K22:K22)</f>
        <v>#DIV/0!</v>
      </c>
      <c r="L23" s="85" t="e">
        <f>SUM(L22:L22)</f>
        <v>#DIV/0!</v>
      </c>
      <c r="M23" s="141" t="e">
        <f>L23/12</f>
        <v>#DIV/0!</v>
      </c>
    </row>
    <row r="25" spans="1:13" x14ac:dyDescent="0.2">
      <c r="A25" s="142" t="s">
        <v>646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143"/>
    </row>
    <row r="26" spans="1:13" x14ac:dyDescent="0.2">
      <c r="A26" s="116" t="s">
        <v>1181</v>
      </c>
      <c r="B26" s="116" t="s">
        <v>23</v>
      </c>
      <c r="C26" s="144">
        <f>IF(ISBLANK(B26),0,IF(ISERROR(VALUE(B26)),VLOOKUP(B26,dagsoorttabel1,2,FALSE)*dagenperjaar1,VALUE(B26)))</f>
        <v>1</v>
      </c>
      <c r="D26" s="116" t="s">
        <v>968</v>
      </c>
      <c r="E26" s="116" t="s">
        <v>1182</v>
      </c>
      <c r="F26" s="116" t="s">
        <v>1183</v>
      </c>
      <c r="G26" s="145">
        <v>24.8</v>
      </c>
      <c r="H26" s="146">
        <f>'Additioneel werk'!G6</f>
        <v>0</v>
      </c>
      <c r="I26" s="147">
        <f>'Additioneel werk'!H6</f>
        <v>0</v>
      </c>
      <c r="J26" s="148"/>
      <c r="K26" s="117" t="e">
        <f>IF(ISBLANK(I26),0,G26 / ROUND(I26,4) * ROUND(H26,2))</f>
        <v>#DIV/0!</v>
      </c>
      <c r="L26" s="117" t="e">
        <f>C26*K26</f>
        <v>#DIV/0!</v>
      </c>
      <c r="M26" s="117" t="e">
        <f>L26/12</f>
        <v>#DIV/0!</v>
      </c>
    </row>
    <row r="27" spans="1:13" x14ac:dyDescent="0.2">
      <c r="A27" s="149" t="s">
        <v>1199</v>
      </c>
      <c r="B27" s="83"/>
      <c r="C27" s="83"/>
      <c r="D27" s="83"/>
      <c r="E27" s="83"/>
      <c r="F27" s="83"/>
      <c r="G27" s="83"/>
      <c r="H27" s="83"/>
      <c r="I27" s="83"/>
      <c r="J27" s="83"/>
      <c r="K27" s="85" t="e">
        <f>SUM(K26:K26)</f>
        <v>#DIV/0!</v>
      </c>
      <c r="L27" s="85" t="e">
        <f>SUM(L26:L26)</f>
        <v>#DIV/0!</v>
      </c>
      <c r="M27" s="141" t="e">
        <f>L27/12</f>
        <v>#DIV/0!</v>
      </c>
    </row>
    <row r="29" spans="1:13" x14ac:dyDescent="0.2">
      <c r="A29" s="142" t="s">
        <v>651</v>
      </c>
      <c r="B29" s="8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143"/>
    </row>
    <row r="30" spans="1:13" x14ac:dyDescent="0.2">
      <c r="A30" s="116" t="s">
        <v>1181</v>
      </c>
      <c r="B30" s="116" t="s">
        <v>23</v>
      </c>
      <c r="C30" s="144">
        <f>IF(ISBLANK(B30),0,IF(ISERROR(VALUE(B30)),VLOOKUP(B30,dagsoorttabel1,2,FALSE)*dagenperjaar1,VALUE(B30)))</f>
        <v>1</v>
      </c>
      <c r="D30" s="116" t="s">
        <v>968</v>
      </c>
      <c r="E30" s="116" t="s">
        <v>1182</v>
      </c>
      <c r="F30" s="116" t="s">
        <v>1183</v>
      </c>
      <c r="G30" s="145">
        <v>41.6</v>
      </c>
      <c r="H30" s="146">
        <f>'Additioneel werk'!G6</f>
        <v>0</v>
      </c>
      <c r="I30" s="147">
        <f>'Additioneel werk'!H6</f>
        <v>0</v>
      </c>
      <c r="J30" s="148"/>
      <c r="K30" s="117" t="e">
        <f>IF(ISBLANK(I30),0,G30 / ROUND(I30,4) * ROUND(H30,2))</f>
        <v>#DIV/0!</v>
      </c>
      <c r="L30" s="117" t="e">
        <f>C30*K30</f>
        <v>#DIV/0!</v>
      </c>
      <c r="M30" s="117" t="e">
        <f>L30/12</f>
        <v>#DIV/0!</v>
      </c>
    </row>
    <row r="31" spans="1:13" x14ac:dyDescent="0.2">
      <c r="A31" s="149" t="s">
        <v>1200</v>
      </c>
      <c r="B31" s="83"/>
      <c r="C31" s="83"/>
      <c r="D31" s="83"/>
      <c r="E31" s="83"/>
      <c r="F31" s="83"/>
      <c r="G31" s="83"/>
      <c r="H31" s="83"/>
      <c r="I31" s="83"/>
      <c r="J31" s="83"/>
      <c r="K31" s="85" t="e">
        <f>SUM(K30:K30)</f>
        <v>#DIV/0!</v>
      </c>
      <c r="L31" s="85" t="e">
        <f>SUM(L30:L30)</f>
        <v>#DIV/0!</v>
      </c>
      <c r="M31" s="141" t="e">
        <f>L31/12</f>
        <v>#DIV/0!</v>
      </c>
    </row>
    <row r="33" spans="1:13" x14ac:dyDescent="0.2">
      <c r="A33" s="142" t="s">
        <v>655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143"/>
    </row>
    <row r="34" spans="1:13" x14ac:dyDescent="0.2">
      <c r="A34" s="116" t="s">
        <v>1181</v>
      </c>
      <c r="B34" s="116" t="s">
        <v>23</v>
      </c>
      <c r="C34" s="144">
        <f>IF(ISBLANK(B34),0,IF(ISERROR(VALUE(B34)),VLOOKUP(B34,dagsoorttabel1,2,FALSE)*dagenperjaar1,VALUE(B34)))</f>
        <v>1</v>
      </c>
      <c r="D34" s="116" t="s">
        <v>968</v>
      </c>
      <c r="E34" s="116" t="s">
        <v>1182</v>
      </c>
      <c r="F34" s="116" t="s">
        <v>1183</v>
      </c>
      <c r="G34" s="145">
        <v>53</v>
      </c>
      <c r="H34" s="146">
        <f>'Additioneel werk'!G6</f>
        <v>0</v>
      </c>
      <c r="I34" s="147">
        <f>'Additioneel werk'!H6</f>
        <v>0</v>
      </c>
      <c r="J34" s="148"/>
      <c r="K34" s="117" t="e">
        <f>IF(ISBLANK(I34),0,G34 / ROUND(I34,4) * ROUND(H34,2))</f>
        <v>#DIV/0!</v>
      </c>
      <c r="L34" s="117" t="e">
        <f>C34*K34</f>
        <v>#DIV/0!</v>
      </c>
      <c r="M34" s="117" t="e">
        <f>L34/12</f>
        <v>#DIV/0!</v>
      </c>
    </row>
    <row r="35" spans="1:13" x14ac:dyDescent="0.2">
      <c r="A35" s="149" t="s">
        <v>1201</v>
      </c>
      <c r="B35" s="83"/>
      <c r="C35" s="83"/>
      <c r="D35" s="83"/>
      <c r="E35" s="83"/>
      <c r="F35" s="83"/>
      <c r="G35" s="83"/>
      <c r="H35" s="83"/>
      <c r="I35" s="83"/>
      <c r="J35" s="83"/>
      <c r="K35" s="85" t="e">
        <f>SUM(K34:K34)</f>
        <v>#DIV/0!</v>
      </c>
      <c r="L35" s="85" t="e">
        <f>SUM(L34:L34)</f>
        <v>#DIV/0!</v>
      </c>
      <c r="M35" s="141" t="e">
        <f>L35/12</f>
        <v>#DIV/0!</v>
      </c>
    </row>
    <row r="37" spans="1:13" x14ac:dyDescent="0.2">
      <c r="A37" s="142" t="s">
        <v>658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143"/>
    </row>
    <row r="38" spans="1:13" x14ac:dyDescent="0.2">
      <c r="A38" s="116" t="s">
        <v>1181</v>
      </c>
      <c r="B38" s="116" t="s">
        <v>23</v>
      </c>
      <c r="C38" s="144">
        <f>IF(ISBLANK(B38),0,IF(ISERROR(VALUE(B38)),VLOOKUP(B38,dagsoorttabel1,2,FALSE)*dagenperjaar1,VALUE(B38)))</f>
        <v>1</v>
      </c>
      <c r="D38" s="116" t="s">
        <v>968</v>
      </c>
      <c r="E38" s="116" t="s">
        <v>1182</v>
      </c>
      <c r="F38" s="116" t="s">
        <v>1183</v>
      </c>
      <c r="G38" s="145">
        <v>79.83</v>
      </c>
      <c r="H38" s="146">
        <f>'Additioneel werk'!G6</f>
        <v>0</v>
      </c>
      <c r="I38" s="147">
        <f>'Additioneel werk'!H6</f>
        <v>0</v>
      </c>
      <c r="J38" s="148"/>
      <c r="K38" s="117" t="e">
        <f>IF(ISBLANK(I38),0,G38 / ROUND(I38,4) * ROUND(H38,2))</f>
        <v>#DIV/0!</v>
      </c>
      <c r="L38" s="117" t="e">
        <f>C38*K38</f>
        <v>#DIV/0!</v>
      </c>
      <c r="M38" s="117" t="e">
        <f>L38/12</f>
        <v>#DIV/0!</v>
      </c>
    </row>
    <row r="39" spans="1:13" x14ac:dyDescent="0.2">
      <c r="A39" s="149" t="s">
        <v>1202</v>
      </c>
      <c r="B39" s="83"/>
      <c r="C39" s="83"/>
      <c r="D39" s="83"/>
      <c r="E39" s="83"/>
      <c r="F39" s="83"/>
      <c r="G39" s="83"/>
      <c r="H39" s="83"/>
      <c r="I39" s="83"/>
      <c r="J39" s="83"/>
      <c r="K39" s="85" t="e">
        <f>SUM(K38:K38)</f>
        <v>#DIV/0!</v>
      </c>
      <c r="L39" s="85" t="e">
        <f>SUM(L38:L38)</f>
        <v>#DIV/0!</v>
      </c>
      <c r="M39" s="141" t="e">
        <f>L39/12</f>
        <v>#DIV/0!</v>
      </c>
    </row>
    <row r="41" spans="1:13" x14ac:dyDescent="0.2">
      <c r="A41" s="142" t="s">
        <v>665</v>
      </c>
      <c r="B41" s="83"/>
      <c r="C41" s="83"/>
      <c r="D41" s="83"/>
      <c r="E41" s="83"/>
      <c r="F41" s="83"/>
      <c r="G41" s="83"/>
      <c r="H41" s="83"/>
      <c r="I41" s="83"/>
      <c r="J41" s="83"/>
      <c r="K41" s="83"/>
      <c r="L41" s="83"/>
      <c r="M41" s="143"/>
    </row>
    <row r="42" spans="1:13" x14ac:dyDescent="0.2">
      <c r="A42" s="116" t="s">
        <v>1181</v>
      </c>
      <c r="B42" s="116" t="s">
        <v>23</v>
      </c>
      <c r="C42" s="144">
        <f>IF(ISBLANK(B42),0,IF(ISERROR(VALUE(B42)),VLOOKUP(B42,dagsoorttabel1,2,FALSE)*dagenperjaar1,VALUE(B42)))</f>
        <v>1</v>
      </c>
      <c r="D42" s="116" t="s">
        <v>968</v>
      </c>
      <c r="E42" s="116" t="s">
        <v>1182</v>
      </c>
      <c r="F42" s="116" t="s">
        <v>1183</v>
      </c>
      <c r="G42" s="145">
        <v>113.1</v>
      </c>
      <c r="H42" s="146">
        <f>'Additioneel werk'!G6</f>
        <v>0</v>
      </c>
      <c r="I42" s="147">
        <f>'Additioneel werk'!H6</f>
        <v>0</v>
      </c>
      <c r="J42" s="148"/>
      <c r="K42" s="117" t="e">
        <f>IF(ISBLANK(I42),0,G42 / ROUND(I42,4) * ROUND(H42,2))</f>
        <v>#DIV/0!</v>
      </c>
      <c r="L42" s="117" t="e">
        <f>C42*K42</f>
        <v>#DIV/0!</v>
      </c>
      <c r="M42" s="117" t="e">
        <f>L42/12</f>
        <v>#DIV/0!</v>
      </c>
    </row>
    <row r="43" spans="1:13" x14ac:dyDescent="0.2">
      <c r="A43" s="149" t="s">
        <v>1203</v>
      </c>
      <c r="B43" s="83"/>
      <c r="C43" s="83"/>
      <c r="D43" s="83"/>
      <c r="E43" s="83"/>
      <c r="F43" s="83"/>
      <c r="G43" s="83"/>
      <c r="H43" s="83"/>
      <c r="I43" s="83"/>
      <c r="J43" s="83"/>
      <c r="K43" s="85" t="e">
        <f>SUM(K42:K42)</f>
        <v>#DIV/0!</v>
      </c>
      <c r="L43" s="85" t="e">
        <f>SUM(L42:L42)</f>
        <v>#DIV/0!</v>
      </c>
      <c r="M43" s="141" t="e">
        <f>L43/12</f>
        <v>#DIV/0!</v>
      </c>
    </row>
    <row r="45" spans="1:13" x14ac:dyDescent="0.2">
      <c r="A45" s="142" t="s">
        <v>669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143"/>
    </row>
    <row r="46" spans="1:13" x14ac:dyDescent="0.2">
      <c r="A46" s="116" t="s">
        <v>1181</v>
      </c>
      <c r="B46" s="116" t="s">
        <v>23</v>
      </c>
      <c r="C46" s="144">
        <f>IF(ISBLANK(B46),0,IF(ISERROR(VALUE(B46)),VLOOKUP(B46,dagsoorttabel1,2,FALSE)*dagenperjaar1,VALUE(B46)))</f>
        <v>1</v>
      </c>
      <c r="D46" s="116" t="s">
        <v>968</v>
      </c>
      <c r="E46" s="116" t="s">
        <v>1182</v>
      </c>
      <c r="F46" s="116" t="s">
        <v>1183</v>
      </c>
      <c r="G46" s="145">
        <v>183</v>
      </c>
      <c r="H46" s="146">
        <f>'Additioneel werk'!G6</f>
        <v>0</v>
      </c>
      <c r="I46" s="147">
        <f>'Additioneel werk'!H6</f>
        <v>0</v>
      </c>
      <c r="J46" s="148"/>
      <c r="K46" s="117" t="e">
        <f>IF(ISBLANK(I46),0,G46 / ROUND(I46,4) * ROUND(H46,2))</f>
        <v>#DIV/0!</v>
      </c>
      <c r="L46" s="117" t="e">
        <f>C46*K46</f>
        <v>#DIV/0!</v>
      </c>
      <c r="M46" s="117" t="e">
        <f>L46/12</f>
        <v>#DIV/0!</v>
      </c>
    </row>
    <row r="47" spans="1:13" x14ac:dyDescent="0.2">
      <c r="A47" s="149" t="s">
        <v>1204</v>
      </c>
      <c r="B47" s="83"/>
      <c r="C47" s="83"/>
      <c r="D47" s="83"/>
      <c r="E47" s="83"/>
      <c r="F47" s="83"/>
      <c r="G47" s="83"/>
      <c r="H47" s="83"/>
      <c r="I47" s="83"/>
      <c r="J47" s="83"/>
      <c r="K47" s="85" t="e">
        <f>SUM(K46:K46)</f>
        <v>#DIV/0!</v>
      </c>
      <c r="L47" s="85" t="e">
        <f>SUM(L46:L46)</f>
        <v>#DIV/0!</v>
      </c>
      <c r="M47" s="141" t="e">
        <f>L47/12</f>
        <v>#DIV/0!</v>
      </c>
    </row>
    <row r="49" spans="1:13" x14ac:dyDescent="0.2">
      <c r="A49" s="142" t="s">
        <v>674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143"/>
    </row>
    <row r="50" spans="1:13" x14ac:dyDescent="0.2">
      <c r="A50" s="116" t="s">
        <v>1181</v>
      </c>
      <c r="B50" s="116" t="s">
        <v>23</v>
      </c>
      <c r="C50" s="144">
        <f>IF(ISBLANK(B50),0,IF(ISERROR(VALUE(B50)),VLOOKUP(B50,dagsoorttabel1,2,FALSE)*dagenperjaar1,VALUE(B50)))</f>
        <v>1</v>
      </c>
      <c r="D50" s="116" t="s">
        <v>968</v>
      </c>
      <c r="E50" s="116" t="s">
        <v>1182</v>
      </c>
      <c r="F50" s="116" t="s">
        <v>1183</v>
      </c>
      <c r="G50" s="145">
        <v>164.4</v>
      </c>
      <c r="H50" s="146">
        <f>'Additioneel werk'!G6</f>
        <v>0</v>
      </c>
      <c r="I50" s="147">
        <f>'Additioneel werk'!H6</f>
        <v>0</v>
      </c>
      <c r="J50" s="148"/>
      <c r="K50" s="117" t="e">
        <f>IF(ISBLANK(I50),0,G50 / ROUND(I50,4) * ROUND(H50,2))</f>
        <v>#DIV/0!</v>
      </c>
      <c r="L50" s="117" t="e">
        <f>C50*K50</f>
        <v>#DIV/0!</v>
      </c>
      <c r="M50" s="117" t="e">
        <f>L50/12</f>
        <v>#DIV/0!</v>
      </c>
    </row>
    <row r="51" spans="1:13" x14ac:dyDescent="0.2">
      <c r="A51" s="149" t="s">
        <v>1205</v>
      </c>
      <c r="B51" s="83"/>
      <c r="C51" s="83"/>
      <c r="D51" s="83"/>
      <c r="E51" s="83"/>
      <c r="F51" s="83"/>
      <c r="G51" s="83"/>
      <c r="H51" s="83"/>
      <c r="I51" s="83"/>
      <c r="J51" s="83"/>
      <c r="K51" s="85" t="e">
        <f>SUM(K50:K50)</f>
        <v>#DIV/0!</v>
      </c>
      <c r="L51" s="85" t="e">
        <f>SUM(L50:L50)</f>
        <v>#DIV/0!</v>
      </c>
      <c r="M51" s="141" t="e">
        <f>L51/12</f>
        <v>#DIV/0!</v>
      </c>
    </row>
    <row r="53" spans="1:13" x14ac:dyDescent="0.2">
      <c r="A53" s="142" t="s">
        <v>688</v>
      </c>
      <c r="B53" s="83"/>
      <c r="C53" s="83"/>
      <c r="D53" s="83"/>
      <c r="E53" s="83"/>
      <c r="F53" s="83"/>
      <c r="G53" s="83"/>
      <c r="H53" s="83"/>
      <c r="I53" s="83"/>
      <c r="J53" s="83"/>
      <c r="K53" s="83"/>
      <c r="L53" s="83"/>
      <c r="M53" s="143"/>
    </row>
    <row r="54" spans="1:13" x14ac:dyDescent="0.2">
      <c r="A54" s="116" t="s">
        <v>1181</v>
      </c>
      <c r="B54" s="116" t="s">
        <v>23</v>
      </c>
      <c r="C54" s="144">
        <f>IF(ISBLANK(B54),0,IF(ISERROR(VALUE(B54)),VLOOKUP(B54,dagsoorttabel1,2,FALSE)*dagenperjaar1,VALUE(B54)))</f>
        <v>1</v>
      </c>
      <c r="D54" s="116" t="s">
        <v>968</v>
      </c>
      <c r="E54" s="116" t="s">
        <v>1182</v>
      </c>
      <c r="F54" s="116" t="s">
        <v>1183</v>
      </c>
      <c r="G54" s="145">
        <v>61.199999999999996</v>
      </c>
      <c r="H54" s="146">
        <f>'Additioneel werk'!G6</f>
        <v>0</v>
      </c>
      <c r="I54" s="147">
        <f>'Additioneel werk'!H6</f>
        <v>0</v>
      </c>
      <c r="J54" s="148"/>
      <c r="K54" s="117" t="e">
        <f>IF(ISBLANK(I54),0,G54 / ROUND(I54,4) * ROUND(H54,2))</f>
        <v>#DIV/0!</v>
      </c>
      <c r="L54" s="117" t="e">
        <f>C54*K54</f>
        <v>#DIV/0!</v>
      </c>
      <c r="M54" s="117" t="e">
        <f>L54/12</f>
        <v>#DIV/0!</v>
      </c>
    </row>
    <row r="55" spans="1:13" x14ac:dyDescent="0.2">
      <c r="A55" s="149" t="s">
        <v>1206</v>
      </c>
      <c r="B55" s="83"/>
      <c r="C55" s="83"/>
      <c r="D55" s="83"/>
      <c r="E55" s="83"/>
      <c r="F55" s="83"/>
      <c r="G55" s="83"/>
      <c r="H55" s="83"/>
      <c r="I55" s="83"/>
      <c r="J55" s="83"/>
      <c r="K55" s="85" t="e">
        <f>SUM(K54:K54)</f>
        <v>#DIV/0!</v>
      </c>
      <c r="L55" s="85" t="e">
        <f>SUM(L54:L54)</f>
        <v>#DIV/0!</v>
      </c>
      <c r="M55" s="141" t="e">
        <f>L55/12</f>
        <v>#DIV/0!</v>
      </c>
    </row>
    <row r="57" spans="1:13" x14ac:dyDescent="0.2">
      <c r="A57" s="142" t="s">
        <v>701</v>
      </c>
      <c r="B57" s="83"/>
      <c r="C57" s="83"/>
      <c r="D57" s="83"/>
      <c r="E57" s="83"/>
      <c r="F57" s="83"/>
      <c r="G57" s="83"/>
      <c r="H57" s="83"/>
      <c r="I57" s="83"/>
      <c r="J57" s="83"/>
      <c r="K57" s="83"/>
      <c r="L57" s="83"/>
      <c r="M57" s="143"/>
    </row>
    <row r="58" spans="1:13" x14ac:dyDescent="0.2">
      <c r="A58" s="116" t="s">
        <v>1181</v>
      </c>
      <c r="B58" s="116" t="s">
        <v>23</v>
      </c>
      <c r="C58" s="144">
        <f>IF(ISBLANK(B58),0,IF(ISERROR(VALUE(B58)),VLOOKUP(B58,dagsoorttabel1,2,FALSE)*dagenperjaar1,VALUE(B58)))</f>
        <v>1</v>
      </c>
      <c r="D58" s="116" t="s">
        <v>968</v>
      </c>
      <c r="E58" s="116" t="s">
        <v>1182</v>
      </c>
      <c r="F58" s="116" t="s">
        <v>1183</v>
      </c>
      <c r="G58" s="145">
        <v>74</v>
      </c>
      <c r="H58" s="146">
        <f>'Additioneel werk'!G6</f>
        <v>0</v>
      </c>
      <c r="I58" s="147">
        <f>'Additioneel werk'!H6</f>
        <v>0</v>
      </c>
      <c r="J58" s="148"/>
      <c r="K58" s="117" t="e">
        <f>IF(ISBLANK(I58),0,G58 / ROUND(I58,4) * ROUND(H58,2))</f>
        <v>#DIV/0!</v>
      </c>
      <c r="L58" s="117" t="e">
        <f>C58*K58</f>
        <v>#DIV/0!</v>
      </c>
      <c r="M58" s="117" t="e">
        <f>L58/12</f>
        <v>#DIV/0!</v>
      </c>
    </row>
    <row r="59" spans="1:13" x14ac:dyDescent="0.2">
      <c r="A59" s="149" t="s">
        <v>1207</v>
      </c>
      <c r="B59" s="83"/>
      <c r="C59" s="83"/>
      <c r="D59" s="83"/>
      <c r="E59" s="83"/>
      <c r="F59" s="83"/>
      <c r="G59" s="83"/>
      <c r="H59" s="83"/>
      <c r="I59" s="83"/>
      <c r="J59" s="83"/>
      <c r="K59" s="85" t="e">
        <f>SUM(K58:K58)</f>
        <v>#DIV/0!</v>
      </c>
      <c r="L59" s="85" t="e">
        <f>SUM(L58:L58)</f>
        <v>#DIV/0!</v>
      </c>
      <c r="M59" s="141" t="e">
        <f>L59/12</f>
        <v>#DIV/0!</v>
      </c>
    </row>
    <row r="61" spans="1:13" x14ac:dyDescent="0.2">
      <c r="A61" s="142" t="s">
        <v>704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143"/>
    </row>
    <row r="62" spans="1:13" x14ac:dyDescent="0.2">
      <c r="A62" s="116" t="s">
        <v>1181</v>
      </c>
      <c r="B62" s="116" t="s">
        <v>23</v>
      </c>
      <c r="C62" s="144">
        <f>IF(ISBLANK(B62),0,IF(ISERROR(VALUE(B62)),VLOOKUP(B62,dagsoorttabel1,2,FALSE)*dagenperjaar1,VALUE(B62)))</f>
        <v>1</v>
      </c>
      <c r="D62" s="116" t="s">
        <v>968</v>
      </c>
      <c r="E62" s="116" t="s">
        <v>1182</v>
      </c>
      <c r="F62" s="116" t="s">
        <v>1183</v>
      </c>
      <c r="G62" s="145">
        <v>23</v>
      </c>
      <c r="H62" s="146">
        <f>'Additioneel werk'!G6</f>
        <v>0</v>
      </c>
      <c r="I62" s="147">
        <f>'Additioneel werk'!H6</f>
        <v>0</v>
      </c>
      <c r="J62" s="148"/>
      <c r="K62" s="117" t="e">
        <f>IF(ISBLANK(I62),0,G62 / ROUND(I62,4) * ROUND(H62,2))</f>
        <v>#DIV/0!</v>
      </c>
      <c r="L62" s="117" t="e">
        <f>C62*K62</f>
        <v>#DIV/0!</v>
      </c>
      <c r="M62" s="117" t="e">
        <f>L62/12</f>
        <v>#DIV/0!</v>
      </c>
    </row>
    <row r="63" spans="1:13" x14ac:dyDescent="0.2">
      <c r="A63" s="149" t="s">
        <v>1208</v>
      </c>
      <c r="B63" s="83"/>
      <c r="C63" s="83"/>
      <c r="D63" s="83"/>
      <c r="E63" s="83"/>
      <c r="F63" s="83"/>
      <c r="G63" s="83"/>
      <c r="H63" s="83"/>
      <c r="I63" s="83"/>
      <c r="J63" s="83"/>
      <c r="K63" s="85" t="e">
        <f>SUM(K62:K62)</f>
        <v>#DIV/0!</v>
      </c>
      <c r="L63" s="85" t="e">
        <f>SUM(L62:L62)</f>
        <v>#DIV/0!</v>
      </c>
      <c r="M63" s="141" t="e">
        <f>L63/12</f>
        <v>#DIV/0!</v>
      </c>
    </row>
    <row r="65" spans="1:13" x14ac:dyDescent="0.2">
      <c r="A65" s="142" t="s">
        <v>712</v>
      </c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143"/>
    </row>
    <row r="66" spans="1:13" x14ac:dyDescent="0.2">
      <c r="A66" s="116" t="s">
        <v>1181</v>
      </c>
      <c r="B66" s="116" t="s">
        <v>23</v>
      </c>
      <c r="C66" s="144">
        <f>IF(ISBLANK(B66),0,IF(ISERROR(VALUE(B66)),VLOOKUP(B66,dagsoorttabel1,2,FALSE)*dagenperjaar1,VALUE(B66)))</f>
        <v>1</v>
      </c>
      <c r="D66" s="116" t="s">
        <v>968</v>
      </c>
      <c r="E66" s="116" t="s">
        <v>1182</v>
      </c>
      <c r="F66" s="116" t="s">
        <v>1183</v>
      </c>
      <c r="G66" s="145">
        <v>86.7</v>
      </c>
      <c r="H66" s="146">
        <f>'Additioneel werk'!G6</f>
        <v>0</v>
      </c>
      <c r="I66" s="147">
        <f>'Additioneel werk'!H6</f>
        <v>0</v>
      </c>
      <c r="J66" s="148"/>
      <c r="K66" s="117" t="e">
        <f>IF(ISBLANK(I66),0,G66 / ROUND(I66,4) * ROUND(H66,2))</f>
        <v>#DIV/0!</v>
      </c>
      <c r="L66" s="117" t="e">
        <f>C66*K66</f>
        <v>#DIV/0!</v>
      </c>
      <c r="M66" s="117" t="e">
        <f>L66/12</f>
        <v>#DIV/0!</v>
      </c>
    </row>
    <row r="67" spans="1:13" x14ac:dyDescent="0.2">
      <c r="A67" s="149" t="s">
        <v>1209</v>
      </c>
      <c r="B67" s="83"/>
      <c r="C67" s="83"/>
      <c r="D67" s="83"/>
      <c r="E67" s="83"/>
      <c r="F67" s="83"/>
      <c r="G67" s="83"/>
      <c r="H67" s="83"/>
      <c r="I67" s="83"/>
      <c r="J67" s="83"/>
      <c r="K67" s="85" t="e">
        <f>SUM(K66:K66)</f>
        <v>#DIV/0!</v>
      </c>
      <c r="L67" s="85" t="e">
        <f>SUM(L66:L66)</f>
        <v>#DIV/0!</v>
      </c>
      <c r="M67" s="141" t="e">
        <f>L67/12</f>
        <v>#DIV/0!</v>
      </c>
    </row>
    <row r="69" spans="1:13" x14ac:dyDescent="0.2">
      <c r="A69" s="142" t="s">
        <v>715</v>
      </c>
      <c r="B69" s="83"/>
      <c r="C69" s="83"/>
      <c r="D69" s="83"/>
      <c r="E69" s="83"/>
      <c r="F69" s="83"/>
      <c r="G69" s="83"/>
      <c r="H69" s="83"/>
      <c r="I69" s="83"/>
      <c r="J69" s="83"/>
      <c r="K69" s="83"/>
      <c r="L69" s="83"/>
      <c r="M69" s="143"/>
    </row>
    <row r="70" spans="1:13" x14ac:dyDescent="0.2">
      <c r="A70" s="116" t="s">
        <v>1181</v>
      </c>
      <c r="B70" s="116" t="s">
        <v>23</v>
      </c>
      <c r="C70" s="144">
        <f>IF(ISBLANK(B70),0,IF(ISERROR(VALUE(B70)),VLOOKUP(B70,dagsoorttabel1,2,FALSE)*dagenperjaar1,VALUE(B70)))</f>
        <v>1</v>
      </c>
      <c r="D70" s="116" t="s">
        <v>968</v>
      </c>
      <c r="E70" s="116" t="s">
        <v>1182</v>
      </c>
      <c r="F70" s="116" t="s">
        <v>1183</v>
      </c>
      <c r="G70" s="145">
        <v>139.1</v>
      </c>
      <c r="H70" s="146">
        <f>'Additioneel werk'!G6</f>
        <v>0</v>
      </c>
      <c r="I70" s="147">
        <f>'Additioneel werk'!H6</f>
        <v>0</v>
      </c>
      <c r="J70" s="148"/>
      <c r="K70" s="117" t="e">
        <f>IF(ISBLANK(I70),0,G70 / ROUND(I70,4) * ROUND(H70,2))</f>
        <v>#DIV/0!</v>
      </c>
      <c r="L70" s="117" t="e">
        <f>C70*K70</f>
        <v>#DIV/0!</v>
      </c>
      <c r="M70" s="117" t="e">
        <f>L70/12</f>
        <v>#DIV/0!</v>
      </c>
    </row>
    <row r="71" spans="1:13" x14ac:dyDescent="0.2">
      <c r="A71" s="149" t="s">
        <v>1210</v>
      </c>
      <c r="B71" s="83"/>
      <c r="C71" s="83"/>
      <c r="D71" s="83"/>
      <c r="E71" s="83"/>
      <c r="F71" s="83"/>
      <c r="G71" s="83"/>
      <c r="H71" s="83"/>
      <c r="I71" s="83"/>
      <c r="J71" s="83"/>
      <c r="K71" s="85" t="e">
        <f>SUM(K70:K70)</f>
        <v>#DIV/0!</v>
      </c>
      <c r="L71" s="85" t="e">
        <f>SUM(L70:L70)</f>
        <v>#DIV/0!</v>
      </c>
      <c r="M71" s="141" t="e">
        <f>L71/12</f>
        <v>#DIV/0!</v>
      </c>
    </row>
    <row r="73" spans="1:13" x14ac:dyDescent="0.2">
      <c r="A73" s="142" t="s">
        <v>731</v>
      </c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143"/>
    </row>
    <row r="74" spans="1:13" x14ac:dyDescent="0.2">
      <c r="A74" s="116" t="s">
        <v>1181</v>
      </c>
      <c r="B74" s="116" t="s">
        <v>23</v>
      </c>
      <c r="C74" s="144">
        <f>IF(ISBLANK(B74),0,IF(ISERROR(VALUE(B74)),VLOOKUP(B74,dagsoorttabel1,2,FALSE)*dagenperjaar1,VALUE(B74)))</f>
        <v>1</v>
      </c>
      <c r="D74" s="116" t="s">
        <v>968</v>
      </c>
      <c r="E74" s="116" t="s">
        <v>1182</v>
      </c>
      <c r="F74" s="116" t="s">
        <v>1183</v>
      </c>
      <c r="G74" s="145">
        <v>189.5</v>
      </c>
      <c r="H74" s="146">
        <f>'Additioneel werk'!G6</f>
        <v>0</v>
      </c>
      <c r="I74" s="147">
        <f>'Additioneel werk'!H6</f>
        <v>0</v>
      </c>
      <c r="J74" s="148"/>
      <c r="K74" s="117" t="e">
        <f>IF(ISBLANK(I74),0,G74 / ROUND(I74,4) * ROUND(H74,2))</f>
        <v>#DIV/0!</v>
      </c>
      <c r="L74" s="117" t="e">
        <f>C74*K74</f>
        <v>#DIV/0!</v>
      </c>
      <c r="M74" s="117" t="e">
        <f>L74/12</f>
        <v>#DIV/0!</v>
      </c>
    </row>
    <row r="75" spans="1:13" x14ac:dyDescent="0.2">
      <c r="A75" s="149" t="s">
        <v>1211</v>
      </c>
      <c r="B75" s="83"/>
      <c r="C75" s="83"/>
      <c r="D75" s="83"/>
      <c r="E75" s="83"/>
      <c r="F75" s="83"/>
      <c r="G75" s="83"/>
      <c r="H75" s="83"/>
      <c r="I75" s="83"/>
      <c r="J75" s="83"/>
      <c r="K75" s="85" t="e">
        <f>SUM(K74:K74)</f>
        <v>#DIV/0!</v>
      </c>
      <c r="L75" s="85" t="e">
        <f>SUM(L74:L74)</f>
        <v>#DIV/0!</v>
      </c>
      <c r="M75" s="141" t="e">
        <f>L75/12</f>
        <v>#DIV/0!</v>
      </c>
    </row>
    <row r="77" spans="1:13" x14ac:dyDescent="0.2">
      <c r="A77" s="142" t="s">
        <v>771</v>
      </c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143"/>
    </row>
    <row r="78" spans="1:13" x14ac:dyDescent="0.2">
      <c r="A78" s="116" t="s">
        <v>1181</v>
      </c>
      <c r="B78" s="116" t="s">
        <v>23</v>
      </c>
      <c r="C78" s="144">
        <f>IF(ISBLANK(B78),0,IF(ISERROR(VALUE(B78)),VLOOKUP(B78,dagsoorttabel1,2,FALSE)*dagenperjaar1,VALUE(B78)))</f>
        <v>1</v>
      </c>
      <c r="D78" s="116" t="s">
        <v>968</v>
      </c>
      <c r="E78" s="116" t="s">
        <v>1182</v>
      </c>
      <c r="F78" s="116" t="s">
        <v>1183</v>
      </c>
      <c r="G78" s="145">
        <v>26</v>
      </c>
      <c r="H78" s="146">
        <f>'Additioneel werk'!G6</f>
        <v>0</v>
      </c>
      <c r="I78" s="147">
        <f>'Additioneel werk'!H6</f>
        <v>0</v>
      </c>
      <c r="J78" s="148"/>
      <c r="K78" s="117" t="e">
        <f>IF(ISBLANK(I78),0,G78 / ROUND(I78,4) * ROUND(H78,2))</f>
        <v>#DIV/0!</v>
      </c>
      <c r="L78" s="117" t="e">
        <f>C78*K78</f>
        <v>#DIV/0!</v>
      </c>
      <c r="M78" s="117" t="e">
        <f>L78/12</f>
        <v>#DIV/0!</v>
      </c>
    </row>
    <row r="79" spans="1:13" x14ac:dyDescent="0.2">
      <c r="A79" s="149" t="s">
        <v>1212</v>
      </c>
      <c r="B79" s="83"/>
      <c r="C79" s="83"/>
      <c r="D79" s="83"/>
      <c r="E79" s="83"/>
      <c r="F79" s="83"/>
      <c r="G79" s="83"/>
      <c r="H79" s="83"/>
      <c r="I79" s="83"/>
      <c r="J79" s="83"/>
      <c r="K79" s="85" t="e">
        <f>SUM(K78:K78)</f>
        <v>#DIV/0!</v>
      </c>
      <c r="L79" s="85" t="e">
        <f>SUM(L78:L78)</f>
        <v>#DIV/0!</v>
      </c>
      <c r="M79" s="141" t="e">
        <f>L79/12</f>
        <v>#DIV/0!</v>
      </c>
    </row>
    <row r="81" spans="1:13" x14ac:dyDescent="0.2">
      <c r="A81" s="142" t="s">
        <v>797</v>
      </c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143"/>
    </row>
    <row r="82" spans="1:13" x14ac:dyDescent="0.2">
      <c r="A82" s="116" t="s">
        <v>1181</v>
      </c>
      <c r="B82" s="116" t="s">
        <v>23</v>
      </c>
      <c r="C82" s="144">
        <f>IF(ISBLANK(B82),0,IF(ISERROR(VALUE(B82)),VLOOKUP(B82,dagsoorttabel1,2,FALSE)*dagenperjaar1,VALUE(B82)))</f>
        <v>1</v>
      </c>
      <c r="D82" s="116" t="s">
        <v>968</v>
      </c>
      <c r="E82" s="116" t="s">
        <v>1182</v>
      </c>
      <c r="F82" s="116" t="s">
        <v>1183</v>
      </c>
      <c r="G82" s="145">
        <v>38.200000000000003</v>
      </c>
      <c r="H82" s="146">
        <f>'Additioneel werk'!G6</f>
        <v>0</v>
      </c>
      <c r="I82" s="147">
        <f>'Additioneel werk'!H6</f>
        <v>0</v>
      </c>
      <c r="J82" s="148"/>
      <c r="K82" s="117" t="e">
        <f>IF(ISBLANK(I82),0,G82 / ROUND(I82,4) * ROUND(H82,2))</f>
        <v>#DIV/0!</v>
      </c>
      <c r="L82" s="117" t="e">
        <f>C82*K82</f>
        <v>#DIV/0!</v>
      </c>
      <c r="M82" s="117" t="e">
        <f>L82/12</f>
        <v>#DIV/0!</v>
      </c>
    </row>
    <row r="83" spans="1:13" x14ac:dyDescent="0.2">
      <c r="A83" s="149" t="s">
        <v>1213</v>
      </c>
      <c r="B83" s="83"/>
      <c r="C83" s="83"/>
      <c r="D83" s="83"/>
      <c r="E83" s="83"/>
      <c r="F83" s="83"/>
      <c r="G83" s="83"/>
      <c r="H83" s="83"/>
      <c r="I83" s="83"/>
      <c r="J83" s="83"/>
      <c r="K83" s="85" t="e">
        <f>SUM(K82:K82)</f>
        <v>#DIV/0!</v>
      </c>
      <c r="L83" s="85" t="e">
        <f>SUM(L82:L82)</f>
        <v>#DIV/0!</v>
      </c>
      <c r="M83" s="141" t="e">
        <f>L83/12</f>
        <v>#DIV/0!</v>
      </c>
    </row>
    <row r="85" spans="1:13" x14ac:dyDescent="0.2">
      <c r="A85" s="142" t="s">
        <v>811</v>
      </c>
      <c r="B85" s="83"/>
      <c r="C85" s="83"/>
      <c r="D85" s="83"/>
      <c r="E85" s="83"/>
      <c r="F85" s="83"/>
      <c r="G85" s="83"/>
      <c r="H85" s="83"/>
      <c r="I85" s="83"/>
      <c r="J85" s="83"/>
      <c r="K85" s="83"/>
      <c r="L85" s="83"/>
      <c r="M85" s="143"/>
    </row>
    <row r="86" spans="1:13" x14ac:dyDescent="0.2">
      <c r="A86" s="116" t="s">
        <v>1181</v>
      </c>
      <c r="B86" s="116" t="s">
        <v>23</v>
      </c>
      <c r="C86" s="144">
        <f>IF(ISBLANK(B86),0,IF(ISERROR(VALUE(B86)),VLOOKUP(B86,dagsoorttabel1,2,FALSE)*dagenperjaar1,VALUE(B86)))</f>
        <v>1</v>
      </c>
      <c r="D86" s="116" t="s">
        <v>968</v>
      </c>
      <c r="E86" s="116" t="s">
        <v>1182</v>
      </c>
      <c r="F86" s="116" t="s">
        <v>1183</v>
      </c>
      <c r="G86" s="145">
        <v>179.70000000000002</v>
      </c>
      <c r="H86" s="146">
        <f>'Additioneel werk'!G6</f>
        <v>0</v>
      </c>
      <c r="I86" s="147">
        <f>'Additioneel werk'!H6</f>
        <v>0</v>
      </c>
      <c r="J86" s="148"/>
      <c r="K86" s="117" t="e">
        <f>IF(ISBLANK(I86),0,G86 / ROUND(I86,4) * ROUND(H86,2))</f>
        <v>#DIV/0!</v>
      </c>
      <c r="L86" s="117" t="e">
        <f>C86*K86</f>
        <v>#DIV/0!</v>
      </c>
      <c r="M86" s="117" t="e">
        <f>L86/12</f>
        <v>#DIV/0!</v>
      </c>
    </row>
    <row r="87" spans="1:13" x14ac:dyDescent="0.2">
      <c r="A87" s="149" t="s">
        <v>1214</v>
      </c>
      <c r="B87" s="83"/>
      <c r="C87" s="83"/>
      <c r="D87" s="83"/>
      <c r="E87" s="83"/>
      <c r="F87" s="83"/>
      <c r="G87" s="83"/>
      <c r="H87" s="83"/>
      <c r="I87" s="83"/>
      <c r="J87" s="83"/>
      <c r="K87" s="85" t="e">
        <f>SUM(K86:K86)</f>
        <v>#DIV/0!</v>
      </c>
      <c r="L87" s="85" t="e">
        <f>SUM(L86:L86)</f>
        <v>#DIV/0!</v>
      </c>
      <c r="M87" s="141" t="e">
        <f>L87/12</f>
        <v>#DIV/0!</v>
      </c>
    </row>
  </sheetData>
  <sheetProtection algorithmName="SHA-512" hashValue="zIFItlDqw7nPaNVvcOgihMd6OXX9Ct1DJ4gjVpqHBUmvC9S9p890Eme3PKwJdUOwDMvllQQpDapLS/gVnPc0JQ==" saltValue="KUV7sRRHwelFmkftZ3v/uQ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&amp;LWaterschap Vallei &amp; Veluwe EA 2027                          &amp;ROpmaakdatum: 30-10-2026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AAE44-6CF8-4D03-B433-58EA3A14AB69}">
  <dimension ref="A1:E94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G.8: ",tabeltype," afroep incidenteel")</f>
        <v>Bijlage G.8: Invultabel afroep incidenteel</v>
      </c>
    </row>
    <row r="3" spans="1:5" ht="38.25" x14ac:dyDescent="0.2">
      <c r="A3" s="46" t="s">
        <v>1174</v>
      </c>
      <c r="B3" s="46" t="s">
        <v>96</v>
      </c>
      <c r="C3" s="46" t="s">
        <v>99</v>
      </c>
      <c r="D3" s="46" t="s">
        <v>1215</v>
      </c>
      <c r="E3" s="46" t="s">
        <v>1179</v>
      </c>
    </row>
    <row r="4" spans="1:5" x14ac:dyDescent="0.2">
      <c r="A4" s="47"/>
      <c r="B4" s="48"/>
      <c r="C4" s="48"/>
      <c r="D4" s="48"/>
      <c r="E4" s="49"/>
    </row>
    <row r="5" spans="1:5" x14ac:dyDescent="0.2">
      <c r="A5" s="50" t="s">
        <v>101</v>
      </c>
      <c r="B5" s="51"/>
      <c r="C5" s="51"/>
      <c r="D5" s="51"/>
      <c r="E5" s="52"/>
    </row>
    <row r="6" spans="1:5" x14ac:dyDescent="0.2">
      <c r="A6" s="57" t="s">
        <v>1216</v>
      </c>
      <c r="B6" s="57" t="s">
        <v>1217</v>
      </c>
      <c r="C6" s="57" t="s">
        <v>1188</v>
      </c>
      <c r="D6" s="57" t="s">
        <v>1218</v>
      </c>
      <c r="E6" s="150"/>
    </row>
    <row r="7" spans="1:5" x14ac:dyDescent="0.2">
      <c r="A7" s="62" t="s">
        <v>1219</v>
      </c>
      <c r="B7" s="62" t="s">
        <v>1217</v>
      </c>
      <c r="C7" s="62" t="s">
        <v>1188</v>
      </c>
      <c r="D7" s="62" t="s">
        <v>1220</v>
      </c>
      <c r="E7" s="136"/>
    </row>
    <row r="8" spans="1:5" x14ac:dyDescent="0.2">
      <c r="A8" s="62" t="s">
        <v>1221</v>
      </c>
      <c r="B8" s="62" t="s">
        <v>1217</v>
      </c>
      <c r="C8" s="62" t="s">
        <v>1188</v>
      </c>
      <c r="D8" s="62" t="s">
        <v>1222</v>
      </c>
      <c r="E8" s="136"/>
    </row>
    <row r="9" spans="1:5" x14ac:dyDescent="0.2">
      <c r="A9" s="62" t="s">
        <v>1223</v>
      </c>
      <c r="B9" s="62" t="s">
        <v>1217</v>
      </c>
      <c r="C9" s="62" t="s">
        <v>1188</v>
      </c>
      <c r="D9" s="62" t="s">
        <v>1224</v>
      </c>
      <c r="E9" s="136"/>
    </row>
    <row r="10" spans="1:5" x14ac:dyDescent="0.2">
      <c r="A10" s="62" t="s">
        <v>1225</v>
      </c>
      <c r="B10" s="62" t="s">
        <v>1226</v>
      </c>
      <c r="C10" s="62" t="s">
        <v>1188</v>
      </c>
      <c r="D10" s="62" t="s">
        <v>1218</v>
      </c>
      <c r="E10" s="136"/>
    </row>
    <row r="11" spans="1:5" x14ac:dyDescent="0.2">
      <c r="A11" s="62" t="s">
        <v>1227</v>
      </c>
      <c r="B11" s="62" t="s">
        <v>1226</v>
      </c>
      <c r="C11" s="62" t="s">
        <v>1188</v>
      </c>
      <c r="D11" s="62" t="s">
        <v>1220</v>
      </c>
      <c r="E11" s="136"/>
    </row>
    <row r="12" spans="1:5" x14ac:dyDescent="0.2">
      <c r="A12" s="62" t="s">
        <v>1228</v>
      </c>
      <c r="B12" s="62" t="s">
        <v>1229</v>
      </c>
      <c r="C12" s="62" t="s">
        <v>1188</v>
      </c>
      <c r="D12" s="62" t="s">
        <v>1218</v>
      </c>
      <c r="E12" s="136"/>
    </row>
    <row r="13" spans="1:5" x14ac:dyDescent="0.2">
      <c r="A13" s="62" t="s">
        <v>1230</v>
      </c>
      <c r="B13" s="62" t="s">
        <v>1229</v>
      </c>
      <c r="C13" s="62" t="s">
        <v>1188</v>
      </c>
      <c r="D13" s="62" t="s">
        <v>1220</v>
      </c>
      <c r="E13" s="136"/>
    </row>
    <row r="14" spans="1:5" x14ac:dyDescent="0.2">
      <c r="A14" s="62" t="s">
        <v>1231</v>
      </c>
      <c r="B14" s="62" t="s">
        <v>1229</v>
      </c>
      <c r="C14" s="62" t="s">
        <v>1188</v>
      </c>
      <c r="D14" s="62" t="s">
        <v>1222</v>
      </c>
      <c r="E14" s="136"/>
    </row>
    <row r="15" spans="1:5" x14ac:dyDescent="0.2">
      <c r="A15" s="62" t="s">
        <v>1232</v>
      </c>
      <c r="B15" s="62" t="s">
        <v>1229</v>
      </c>
      <c r="C15" s="62" t="s">
        <v>1188</v>
      </c>
      <c r="D15" s="62" t="s">
        <v>1224</v>
      </c>
      <c r="E15" s="136"/>
    </row>
    <row r="16" spans="1:5" x14ac:dyDescent="0.2">
      <c r="A16" s="62" t="s">
        <v>1233</v>
      </c>
      <c r="B16" s="62" t="s">
        <v>1234</v>
      </c>
      <c r="C16" s="62" t="s">
        <v>1235</v>
      </c>
      <c r="D16" s="62" t="s">
        <v>1236</v>
      </c>
      <c r="E16" s="136"/>
    </row>
    <row r="17" spans="1:5" x14ac:dyDescent="0.2">
      <c r="A17" s="62" t="s">
        <v>1237</v>
      </c>
      <c r="B17" s="62" t="s">
        <v>1234</v>
      </c>
      <c r="C17" s="62" t="s">
        <v>1235</v>
      </c>
      <c r="D17" s="62" t="s">
        <v>1238</v>
      </c>
      <c r="E17" s="136"/>
    </row>
    <row r="18" spans="1:5" x14ac:dyDescent="0.2">
      <c r="A18" s="62" t="s">
        <v>1239</v>
      </c>
      <c r="B18" s="62" t="s">
        <v>1234</v>
      </c>
      <c r="C18" s="62" t="s">
        <v>1235</v>
      </c>
      <c r="D18" s="62" t="s">
        <v>1240</v>
      </c>
      <c r="E18" s="136"/>
    </row>
    <row r="19" spans="1:5" x14ac:dyDescent="0.2">
      <c r="A19" s="62" t="s">
        <v>1241</v>
      </c>
      <c r="B19" s="62" t="s">
        <v>1234</v>
      </c>
      <c r="C19" s="62" t="s">
        <v>1235</v>
      </c>
      <c r="D19" s="62" t="s">
        <v>1242</v>
      </c>
      <c r="E19" s="136"/>
    </row>
    <row r="20" spans="1:5" x14ac:dyDescent="0.2">
      <c r="A20" s="62" t="s">
        <v>1243</v>
      </c>
      <c r="B20" s="62" t="s">
        <v>1244</v>
      </c>
      <c r="C20" s="62" t="s">
        <v>1235</v>
      </c>
      <c r="D20" s="62" t="s">
        <v>1236</v>
      </c>
      <c r="E20" s="136"/>
    </row>
    <row r="21" spans="1:5" x14ac:dyDescent="0.2">
      <c r="A21" s="62" t="s">
        <v>1245</v>
      </c>
      <c r="B21" s="62" t="s">
        <v>1244</v>
      </c>
      <c r="C21" s="62" t="s">
        <v>1235</v>
      </c>
      <c r="D21" s="62" t="s">
        <v>1238</v>
      </c>
      <c r="E21" s="136"/>
    </row>
    <row r="22" spans="1:5" x14ac:dyDescent="0.2">
      <c r="A22" s="62" t="s">
        <v>1246</v>
      </c>
      <c r="B22" s="62" t="s">
        <v>1244</v>
      </c>
      <c r="C22" s="62" t="s">
        <v>1235</v>
      </c>
      <c r="D22" s="62" t="s">
        <v>1240</v>
      </c>
      <c r="E22" s="136"/>
    </row>
    <row r="23" spans="1:5" x14ac:dyDescent="0.2">
      <c r="A23" s="62" t="s">
        <v>1247</v>
      </c>
      <c r="B23" s="62" t="s">
        <v>1244</v>
      </c>
      <c r="C23" s="62" t="s">
        <v>1235</v>
      </c>
      <c r="D23" s="62" t="s">
        <v>1242</v>
      </c>
      <c r="E23" s="136"/>
    </row>
    <row r="24" spans="1:5" x14ac:dyDescent="0.2">
      <c r="A24" s="62" t="s">
        <v>1248</v>
      </c>
      <c r="B24" s="62" t="s">
        <v>1249</v>
      </c>
      <c r="C24" s="62" t="s">
        <v>1235</v>
      </c>
      <c r="D24" s="62" t="s">
        <v>1236</v>
      </c>
      <c r="E24" s="136"/>
    </row>
    <row r="25" spans="1:5" x14ac:dyDescent="0.2">
      <c r="A25" s="62" t="s">
        <v>1250</v>
      </c>
      <c r="B25" s="62" t="s">
        <v>1249</v>
      </c>
      <c r="C25" s="62" t="s">
        <v>1235</v>
      </c>
      <c r="D25" s="62" t="s">
        <v>1238</v>
      </c>
      <c r="E25" s="136"/>
    </row>
    <row r="26" spans="1:5" x14ac:dyDescent="0.2">
      <c r="A26" s="62" t="s">
        <v>1251</v>
      </c>
      <c r="B26" s="62" t="s">
        <v>1249</v>
      </c>
      <c r="C26" s="62" t="s">
        <v>1235</v>
      </c>
      <c r="D26" s="62" t="s">
        <v>1240</v>
      </c>
      <c r="E26" s="136"/>
    </row>
    <row r="27" spans="1:5" x14ac:dyDescent="0.2">
      <c r="A27" s="62" t="s">
        <v>1252</v>
      </c>
      <c r="B27" s="62" t="s">
        <v>1249</v>
      </c>
      <c r="C27" s="62" t="s">
        <v>1235</v>
      </c>
      <c r="D27" s="62" t="s">
        <v>1242</v>
      </c>
      <c r="E27" s="136"/>
    </row>
    <row r="28" spans="1:5" x14ac:dyDescent="0.2">
      <c r="A28" s="62" t="s">
        <v>1253</v>
      </c>
      <c r="B28" s="62" t="s">
        <v>1254</v>
      </c>
      <c r="C28" s="62" t="s">
        <v>1235</v>
      </c>
      <c r="D28" s="62" t="s">
        <v>1236</v>
      </c>
      <c r="E28" s="136"/>
    </row>
    <row r="29" spans="1:5" x14ac:dyDescent="0.2">
      <c r="A29" s="62" t="s">
        <v>1255</v>
      </c>
      <c r="B29" s="62" t="s">
        <v>1254</v>
      </c>
      <c r="C29" s="62" t="s">
        <v>1235</v>
      </c>
      <c r="D29" s="62" t="s">
        <v>1238</v>
      </c>
      <c r="E29" s="136"/>
    </row>
    <row r="30" spans="1:5" x14ac:dyDescent="0.2">
      <c r="A30" s="62" t="s">
        <v>1256</v>
      </c>
      <c r="B30" s="62" t="s">
        <v>1254</v>
      </c>
      <c r="C30" s="62" t="s">
        <v>1235</v>
      </c>
      <c r="D30" s="62" t="s">
        <v>1240</v>
      </c>
      <c r="E30" s="136"/>
    </row>
    <row r="31" spans="1:5" x14ac:dyDescent="0.2">
      <c r="A31" s="62" t="s">
        <v>1257</v>
      </c>
      <c r="B31" s="62" t="s">
        <v>1254</v>
      </c>
      <c r="C31" s="62" t="s">
        <v>1235</v>
      </c>
      <c r="D31" s="62" t="s">
        <v>1242</v>
      </c>
      <c r="E31" s="136"/>
    </row>
    <row r="32" spans="1:5" x14ac:dyDescent="0.2">
      <c r="A32" s="62" t="s">
        <v>1258</v>
      </c>
      <c r="B32" s="62" t="s">
        <v>1259</v>
      </c>
      <c r="C32" s="62" t="s">
        <v>1235</v>
      </c>
      <c r="D32" s="62" t="s">
        <v>1236</v>
      </c>
      <c r="E32" s="136"/>
    </row>
    <row r="33" spans="1:5" x14ac:dyDescent="0.2">
      <c r="A33" s="62" t="s">
        <v>1260</v>
      </c>
      <c r="B33" s="62" t="s">
        <v>1259</v>
      </c>
      <c r="C33" s="62" t="s">
        <v>1235</v>
      </c>
      <c r="D33" s="62" t="s">
        <v>1238</v>
      </c>
      <c r="E33" s="136"/>
    </row>
    <row r="34" spans="1:5" x14ac:dyDescent="0.2">
      <c r="A34" s="62" t="s">
        <v>1261</v>
      </c>
      <c r="B34" s="62" t="s">
        <v>1259</v>
      </c>
      <c r="C34" s="62" t="s">
        <v>1235</v>
      </c>
      <c r="D34" s="62" t="s">
        <v>1240</v>
      </c>
      <c r="E34" s="136"/>
    </row>
    <row r="35" spans="1:5" x14ac:dyDescent="0.2">
      <c r="A35" s="62" t="s">
        <v>1262</v>
      </c>
      <c r="B35" s="62" t="s">
        <v>1259</v>
      </c>
      <c r="C35" s="62" t="s">
        <v>1235</v>
      </c>
      <c r="D35" s="62" t="s">
        <v>1242</v>
      </c>
      <c r="E35" s="136"/>
    </row>
    <row r="36" spans="1:5" x14ac:dyDescent="0.2">
      <c r="A36" s="62" t="s">
        <v>1263</v>
      </c>
      <c r="B36" s="62" t="s">
        <v>1264</v>
      </c>
      <c r="C36" s="62" t="s">
        <v>1235</v>
      </c>
      <c r="D36" s="62" t="s">
        <v>1236</v>
      </c>
      <c r="E36" s="136"/>
    </row>
    <row r="37" spans="1:5" x14ac:dyDescent="0.2">
      <c r="A37" s="62" t="s">
        <v>1265</v>
      </c>
      <c r="B37" s="62" t="s">
        <v>1264</v>
      </c>
      <c r="C37" s="62" t="s">
        <v>1235</v>
      </c>
      <c r="D37" s="62" t="s">
        <v>1238</v>
      </c>
      <c r="E37" s="136"/>
    </row>
    <row r="38" spans="1:5" x14ac:dyDescent="0.2">
      <c r="A38" s="62" t="s">
        <v>1266</v>
      </c>
      <c r="B38" s="62" t="s">
        <v>1264</v>
      </c>
      <c r="C38" s="62" t="s">
        <v>1235</v>
      </c>
      <c r="D38" s="62" t="s">
        <v>1240</v>
      </c>
      <c r="E38" s="136"/>
    </row>
    <row r="39" spans="1:5" x14ac:dyDescent="0.2">
      <c r="A39" s="62" t="s">
        <v>1267</v>
      </c>
      <c r="B39" s="62" t="s">
        <v>1264</v>
      </c>
      <c r="C39" s="62" t="s">
        <v>1235</v>
      </c>
      <c r="D39" s="62" t="s">
        <v>1242</v>
      </c>
      <c r="E39" s="136"/>
    </row>
    <row r="40" spans="1:5" x14ac:dyDescent="0.2">
      <c r="A40" s="62" t="s">
        <v>1268</v>
      </c>
      <c r="B40" s="62" t="s">
        <v>1269</v>
      </c>
      <c r="C40" s="62" t="s">
        <v>1235</v>
      </c>
      <c r="D40" s="62" t="s">
        <v>1236</v>
      </c>
      <c r="E40" s="136"/>
    </row>
    <row r="41" spans="1:5" x14ac:dyDescent="0.2">
      <c r="A41" s="62" t="s">
        <v>1270</v>
      </c>
      <c r="B41" s="62" t="s">
        <v>1269</v>
      </c>
      <c r="C41" s="62" t="s">
        <v>1235</v>
      </c>
      <c r="D41" s="62" t="s">
        <v>1238</v>
      </c>
      <c r="E41" s="136"/>
    </row>
    <row r="42" spans="1:5" x14ac:dyDescent="0.2">
      <c r="A42" s="62" t="s">
        <v>1271</v>
      </c>
      <c r="B42" s="62" t="s">
        <v>1269</v>
      </c>
      <c r="C42" s="62" t="s">
        <v>1235</v>
      </c>
      <c r="D42" s="62" t="s">
        <v>1240</v>
      </c>
      <c r="E42" s="136"/>
    </row>
    <row r="43" spans="1:5" x14ac:dyDescent="0.2">
      <c r="A43" s="62" t="s">
        <v>1272</v>
      </c>
      <c r="B43" s="62" t="s">
        <v>1269</v>
      </c>
      <c r="C43" s="62" t="s">
        <v>1235</v>
      </c>
      <c r="D43" s="62" t="s">
        <v>1242</v>
      </c>
      <c r="E43" s="136"/>
    </row>
    <row r="44" spans="1:5" x14ac:dyDescent="0.2">
      <c r="A44" s="62" t="s">
        <v>1273</v>
      </c>
      <c r="B44" s="62" t="s">
        <v>1274</v>
      </c>
      <c r="C44" s="62" t="s">
        <v>1235</v>
      </c>
      <c r="D44" s="62" t="s">
        <v>1218</v>
      </c>
      <c r="E44" s="136"/>
    </row>
    <row r="45" spans="1:5" x14ac:dyDescent="0.2">
      <c r="A45" s="62" t="s">
        <v>1275</v>
      </c>
      <c r="B45" s="62" t="s">
        <v>1274</v>
      </c>
      <c r="C45" s="62" t="s">
        <v>1188</v>
      </c>
      <c r="D45" s="62" t="s">
        <v>1276</v>
      </c>
      <c r="E45" s="136"/>
    </row>
    <row r="46" spans="1:5" x14ac:dyDescent="0.2">
      <c r="A46" s="62" t="s">
        <v>1277</v>
      </c>
      <c r="B46" s="62" t="s">
        <v>1274</v>
      </c>
      <c r="C46" s="62" t="s">
        <v>1188</v>
      </c>
      <c r="D46" s="62" t="s">
        <v>1278</v>
      </c>
      <c r="E46" s="136"/>
    </row>
    <row r="47" spans="1:5" x14ac:dyDescent="0.2">
      <c r="A47" s="62" t="s">
        <v>1279</v>
      </c>
      <c r="B47" s="62" t="s">
        <v>1274</v>
      </c>
      <c r="C47" s="62" t="s">
        <v>1188</v>
      </c>
      <c r="D47" s="62" t="s">
        <v>1280</v>
      </c>
      <c r="E47" s="136"/>
    </row>
    <row r="48" spans="1:5" x14ac:dyDescent="0.2">
      <c r="A48" s="62" t="s">
        <v>1281</v>
      </c>
      <c r="B48" s="62" t="s">
        <v>1282</v>
      </c>
      <c r="C48" s="62" t="s">
        <v>1188</v>
      </c>
      <c r="D48" s="62" t="s">
        <v>1283</v>
      </c>
      <c r="E48" s="136"/>
    </row>
    <row r="49" spans="1:5" x14ac:dyDescent="0.2">
      <c r="A49" s="62" t="s">
        <v>1284</v>
      </c>
      <c r="B49" s="62" t="s">
        <v>1282</v>
      </c>
      <c r="C49" s="62" t="s">
        <v>1235</v>
      </c>
      <c r="D49" s="62" t="s">
        <v>1285</v>
      </c>
      <c r="E49" s="136"/>
    </row>
    <row r="50" spans="1:5" x14ac:dyDescent="0.2">
      <c r="A50" s="62" t="s">
        <v>1286</v>
      </c>
      <c r="B50" s="62" t="s">
        <v>1282</v>
      </c>
      <c r="C50" s="62" t="s">
        <v>1235</v>
      </c>
      <c r="D50" s="62" t="s">
        <v>1287</v>
      </c>
      <c r="E50" s="136"/>
    </row>
    <row r="51" spans="1:5" x14ac:dyDescent="0.2">
      <c r="A51" s="62" t="s">
        <v>1288</v>
      </c>
      <c r="B51" s="62" t="s">
        <v>1282</v>
      </c>
      <c r="C51" s="62" t="s">
        <v>1235</v>
      </c>
      <c r="D51" s="62" t="s">
        <v>1289</v>
      </c>
      <c r="E51" s="136"/>
    </row>
    <row r="52" spans="1:5" x14ac:dyDescent="0.2">
      <c r="A52" s="62" t="s">
        <v>1290</v>
      </c>
      <c r="B52" s="62" t="s">
        <v>1291</v>
      </c>
      <c r="C52" s="62" t="s">
        <v>1235</v>
      </c>
      <c r="D52" s="62" t="s">
        <v>1283</v>
      </c>
      <c r="E52" s="136"/>
    </row>
    <row r="53" spans="1:5" x14ac:dyDescent="0.2">
      <c r="A53" s="62" t="s">
        <v>1292</v>
      </c>
      <c r="B53" s="62" t="s">
        <v>1291</v>
      </c>
      <c r="C53" s="62" t="s">
        <v>1235</v>
      </c>
      <c r="D53" s="62" t="s">
        <v>1285</v>
      </c>
      <c r="E53" s="136"/>
    </row>
    <row r="54" spans="1:5" x14ac:dyDescent="0.2">
      <c r="A54" s="62" t="s">
        <v>1293</v>
      </c>
      <c r="B54" s="62" t="s">
        <v>1291</v>
      </c>
      <c r="C54" s="62" t="s">
        <v>1235</v>
      </c>
      <c r="D54" s="62" t="s">
        <v>1287</v>
      </c>
      <c r="E54" s="136"/>
    </row>
    <row r="55" spans="1:5" x14ac:dyDescent="0.2">
      <c r="A55" s="62" t="s">
        <v>1294</v>
      </c>
      <c r="B55" s="62" t="s">
        <v>1291</v>
      </c>
      <c r="C55" s="62" t="s">
        <v>1235</v>
      </c>
      <c r="D55" s="62" t="s">
        <v>1289</v>
      </c>
      <c r="E55" s="136"/>
    </row>
    <row r="56" spans="1:5" x14ac:dyDescent="0.2">
      <c r="A56" s="62" t="s">
        <v>1295</v>
      </c>
      <c r="B56" s="62" t="s">
        <v>1296</v>
      </c>
      <c r="C56" s="62" t="s">
        <v>1235</v>
      </c>
      <c r="D56" s="62" t="s">
        <v>1283</v>
      </c>
      <c r="E56" s="136"/>
    </row>
    <row r="57" spans="1:5" x14ac:dyDescent="0.2">
      <c r="A57" s="62" t="s">
        <v>1297</v>
      </c>
      <c r="B57" s="62" t="s">
        <v>1296</v>
      </c>
      <c r="C57" s="62" t="s">
        <v>1235</v>
      </c>
      <c r="D57" s="62" t="s">
        <v>1285</v>
      </c>
      <c r="E57" s="136"/>
    </row>
    <row r="58" spans="1:5" x14ac:dyDescent="0.2">
      <c r="A58" s="62" t="s">
        <v>1298</v>
      </c>
      <c r="B58" s="62" t="s">
        <v>1296</v>
      </c>
      <c r="C58" s="62" t="s">
        <v>1235</v>
      </c>
      <c r="D58" s="62" t="s">
        <v>1287</v>
      </c>
      <c r="E58" s="136"/>
    </row>
    <row r="59" spans="1:5" x14ac:dyDescent="0.2">
      <c r="A59" s="62" t="s">
        <v>1299</v>
      </c>
      <c r="B59" s="62" t="s">
        <v>1296</v>
      </c>
      <c r="C59" s="62" t="s">
        <v>1235</v>
      </c>
      <c r="D59" s="62" t="s">
        <v>1289</v>
      </c>
      <c r="E59" s="136"/>
    </row>
    <row r="60" spans="1:5" x14ac:dyDescent="0.2">
      <c r="A60" s="62" t="s">
        <v>1300</v>
      </c>
      <c r="B60" s="62" t="s">
        <v>1301</v>
      </c>
      <c r="C60" s="62" t="s">
        <v>1235</v>
      </c>
      <c r="D60" s="62" t="s">
        <v>1283</v>
      </c>
      <c r="E60" s="136"/>
    </row>
    <row r="61" spans="1:5" x14ac:dyDescent="0.2">
      <c r="A61" s="62" t="s">
        <v>1302</v>
      </c>
      <c r="B61" s="62" t="s">
        <v>1301</v>
      </c>
      <c r="C61" s="62" t="s">
        <v>1235</v>
      </c>
      <c r="D61" s="62" t="s">
        <v>1285</v>
      </c>
      <c r="E61" s="136"/>
    </row>
    <row r="62" spans="1:5" x14ac:dyDescent="0.2">
      <c r="A62" s="62" t="s">
        <v>1303</v>
      </c>
      <c r="B62" s="62" t="s">
        <v>1301</v>
      </c>
      <c r="C62" s="62" t="s">
        <v>1235</v>
      </c>
      <c r="D62" s="62" t="s">
        <v>1287</v>
      </c>
      <c r="E62" s="136"/>
    </row>
    <row r="63" spans="1:5" x14ac:dyDescent="0.2">
      <c r="A63" s="62" t="s">
        <v>1304</v>
      </c>
      <c r="B63" s="62" t="s">
        <v>1301</v>
      </c>
      <c r="C63" s="62" t="s">
        <v>1235</v>
      </c>
      <c r="D63" s="62" t="s">
        <v>1289</v>
      </c>
      <c r="E63" s="136"/>
    </row>
    <row r="64" spans="1:5" x14ac:dyDescent="0.2">
      <c r="A64" s="62" t="s">
        <v>1305</v>
      </c>
      <c r="B64" s="62" t="s">
        <v>1306</v>
      </c>
      <c r="C64" s="62" t="s">
        <v>1235</v>
      </c>
      <c r="D64" s="62" t="s">
        <v>1283</v>
      </c>
      <c r="E64" s="136"/>
    </row>
    <row r="65" spans="1:5" x14ac:dyDescent="0.2">
      <c r="A65" s="62" t="s">
        <v>1307</v>
      </c>
      <c r="B65" s="62" t="s">
        <v>1306</v>
      </c>
      <c r="C65" s="62" t="s">
        <v>1235</v>
      </c>
      <c r="D65" s="62" t="s">
        <v>1285</v>
      </c>
      <c r="E65" s="136"/>
    </row>
    <row r="66" spans="1:5" x14ac:dyDescent="0.2">
      <c r="A66" s="62" t="s">
        <v>1308</v>
      </c>
      <c r="B66" s="62" t="s">
        <v>1306</v>
      </c>
      <c r="C66" s="62" t="s">
        <v>1235</v>
      </c>
      <c r="D66" s="62" t="s">
        <v>1287</v>
      </c>
      <c r="E66" s="136"/>
    </row>
    <row r="67" spans="1:5" x14ac:dyDescent="0.2">
      <c r="A67" s="62" t="s">
        <v>1309</v>
      </c>
      <c r="B67" s="62" t="s">
        <v>1306</v>
      </c>
      <c r="C67" s="62" t="s">
        <v>1235</v>
      </c>
      <c r="D67" s="62" t="s">
        <v>1289</v>
      </c>
      <c r="E67" s="136"/>
    </row>
    <row r="68" spans="1:5" x14ac:dyDescent="0.2">
      <c r="A68" s="62" t="s">
        <v>1310</v>
      </c>
      <c r="B68" s="62" t="s">
        <v>1311</v>
      </c>
      <c r="C68" s="62" t="s">
        <v>1235</v>
      </c>
      <c r="D68" s="62" t="s">
        <v>1283</v>
      </c>
      <c r="E68" s="136"/>
    </row>
    <row r="69" spans="1:5" x14ac:dyDescent="0.2">
      <c r="A69" s="62" t="s">
        <v>1312</v>
      </c>
      <c r="B69" s="62" t="s">
        <v>1311</v>
      </c>
      <c r="C69" s="62" t="s">
        <v>1235</v>
      </c>
      <c r="D69" s="62" t="s">
        <v>1285</v>
      </c>
      <c r="E69" s="136"/>
    </row>
    <row r="70" spans="1:5" x14ac:dyDescent="0.2">
      <c r="A70" s="62" t="s">
        <v>1313</v>
      </c>
      <c r="B70" s="62" t="s">
        <v>1311</v>
      </c>
      <c r="C70" s="62" t="s">
        <v>1235</v>
      </c>
      <c r="D70" s="62" t="s">
        <v>1287</v>
      </c>
      <c r="E70" s="136"/>
    </row>
    <row r="71" spans="1:5" x14ac:dyDescent="0.2">
      <c r="A71" s="62" t="s">
        <v>1314</v>
      </c>
      <c r="B71" s="62" t="s">
        <v>1311</v>
      </c>
      <c r="C71" s="62" t="s">
        <v>1235</v>
      </c>
      <c r="D71" s="62" t="s">
        <v>1289</v>
      </c>
      <c r="E71" s="136"/>
    </row>
    <row r="72" spans="1:5" x14ac:dyDescent="0.2">
      <c r="A72" s="62" t="s">
        <v>1315</v>
      </c>
      <c r="B72" s="62" t="s">
        <v>1316</v>
      </c>
      <c r="C72" s="62" t="s">
        <v>1235</v>
      </c>
      <c r="D72" s="62" t="s">
        <v>1283</v>
      </c>
      <c r="E72" s="136"/>
    </row>
    <row r="73" spans="1:5" x14ac:dyDescent="0.2">
      <c r="A73" s="62" t="s">
        <v>1317</v>
      </c>
      <c r="B73" s="62" t="s">
        <v>1316</v>
      </c>
      <c r="C73" s="62" t="s">
        <v>1235</v>
      </c>
      <c r="D73" s="62" t="s">
        <v>1285</v>
      </c>
      <c r="E73" s="136"/>
    </row>
    <row r="74" spans="1:5" x14ac:dyDescent="0.2">
      <c r="A74" s="62" t="s">
        <v>1318</v>
      </c>
      <c r="B74" s="62" t="s">
        <v>1316</v>
      </c>
      <c r="C74" s="62" t="s">
        <v>1235</v>
      </c>
      <c r="D74" s="62" t="s">
        <v>1287</v>
      </c>
      <c r="E74" s="136"/>
    </row>
    <row r="75" spans="1:5" x14ac:dyDescent="0.2">
      <c r="A75" s="62" t="s">
        <v>1319</v>
      </c>
      <c r="B75" s="62" t="s">
        <v>1316</v>
      </c>
      <c r="C75" s="62" t="s">
        <v>1235</v>
      </c>
      <c r="D75" s="62" t="s">
        <v>1289</v>
      </c>
      <c r="E75" s="136"/>
    </row>
    <row r="76" spans="1:5" x14ac:dyDescent="0.2">
      <c r="A76" s="62" t="s">
        <v>1320</v>
      </c>
      <c r="B76" s="62" t="s">
        <v>1321</v>
      </c>
      <c r="C76" s="62" t="s">
        <v>1235</v>
      </c>
      <c r="D76" s="62" t="s">
        <v>1283</v>
      </c>
      <c r="E76" s="136"/>
    </row>
    <row r="77" spans="1:5" x14ac:dyDescent="0.2">
      <c r="A77" s="62" t="s">
        <v>1322</v>
      </c>
      <c r="B77" s="62" t="s">
        <v>1321</v>
      </c>
      <c r="C77" s="62" t="s">
        <v>1235</v>
      </c>
      <c r="D77" s="62" t="s">
        <v>1285</v>
      </c>
      <c r="E77" s="136"/>
    </row>
    <row r="78" spans="1:5" x14ac:dyDescent="0.2">
      <c r="A78" s="62" t="s">
        <v>1323</v>
      </c>
      <c r="B78" s="62" t="s">
        <v>1321</v>
      </c>
      <c r="C78" s="62" t="s">
        <v>1235</v>
      </c>
      <c r="D78" s="62" t="s">
        <v>1287</v>
      </c>
      <c r="E78" s="136"/>
    </row>
    <row r="79" spans="1:5" x14ac:dyDescent="0.2">
      <c r="A79" s="62" t="s">
        <v>1324</v>
      </c>
      <c r="B79" s="62" t="s">
        <v>1321</v>
      </c>
      <c r="C79" s="62" t="s">
        <v>1235</v>
      </c>
      <c r="D79" s="62" t="s">
        <v>1289</v>
      </c>
      <c r="E79" s="136"/>
    </row>
    <row r="80" spans="1:5" x14ac:dyDescent="0.2">
      <c r="A80" s="62" t="s">
        <v>1325</v>
      </c>
      <c r="B80" s="62" t="s">
        <v>1326</v>
      </c>
      <c r="C80" s="62" t="s">
        <v>1235</v>
      </c>
      <c r="D80" s="62" t="s">
        <v>1283</v>
      </c>
      <c r="E80" s="136"/>
    </row>
    <row r="81" spans="1:5" x14ac:dyDescent="0.2">
      <c r="A81" s="62" t="s">
        <v>1327</v>
      </c>
      <c r="B81" s="62" t="s">
        <v>1326</v>
      </c>
      <c r="C81" s="62" t="s">
        <v>1235</v>
      </c>
      <c r="D81" s="62" t="s">
        <v>1285</v>
      </c>
      <c r="E81" s="136"/>
    </row>
    <row r="82" spans="1:5" x14ac:dyDescent="0.2">
      <c r="A82" s="62" t="s">
        <v>1328</v>
      </c>
      <c r="B82" s="62" t="s">
        <v>1326</v>
      </c>
      <c r="C82" s="62" t="s">
        <v>1235</v>
      </c>
      <c r="D82" s="62" t="s">
        <v>1287</v>
      </c>
      <c r="E82" s="136"/>
    </row>
    <row r="83" spans="1:5" x14ac:dyDescent="0.2">
      <c r="A83" s="62" t="s">
        <v>1329</v>
      </c>
      <c r="B83" s="62" t="s">
        <v>1326</v>
      </c>
      <c r="C83" s="62" t="s">
        <v>1235</v>
      </c>
      <c r="D83" s="62" t="s">
        <v>1289</v>
      </c>
      <c r="E83" s="136"/>
    </row>
    <row r="84" spans="1:5" x14ac:dyDescent="0.2">
      <c r="A84" s="62" t="s">
        <v>1330</v>
      </c>
      <c r="B84" s="62" t="s">
        <v>1331</v>
      </c>
      <c r="C84" s="62" t="s">
        <v>1235</v>
      </c>
      <c r="D84" s="62" t="s">
        <v>1283</v>
      </c>
      <c r="E84" s="136"/>
    </row>
    <row r="85" spans="1:5" x14ac:dyDescent="0.2">
      <c r="A85" s="62" t="s">
        <v>1332</v>
      </c>
      <c r="B85" s="62" t="s">
        <v>1331</v>
      </c>
      <c r="C85" s="62" t="s">
        <v>1235</v>
      </c>
      <c r="D85" s="62" t="s">
        <v>1285</v>
      </c>
      <c r="E85" s="136"/>
    </row>
    <row r="86" spans="1:5" x14ac:dyDescent="0.2">
      <c r="A86" s="62" t="s">
        <v>1333</v>
      </c>
      <c r="B86" s="62" t="s">
        <v>1331</v>
      </c>
      <c r="C86" s="62" t="s">
        <v>1235</v>
      </c>
      <c r="D86" s="62" t="s">
        <v>1287</v>
      </c>
      <c r="E86" s="136"/>
    </row>
    <row r="87" spans="1:5" x14ac:dyDescent="0.2">
      <c r="A87" s="62" t="s">
        <v>1334</v>
      </c>
      <c r="B87" s="62" t="s">
        <v>1331</v>
      </c>
      <c r="C87" s="62" t="s">
        <v>1235</v>
      </c>
      <c r="D87" s="62" t="s">
        <v>1289</v>
      </c>
      <c r="E87" s="136"/>
    </row>
    <row r="88" spans="1:5" x14ac:dyDescent="0.2">
      <c r="A88" s="62" t="s">
        <v>1335</v>
      </c>
      <c r="B88" s="62" t="s">
        <v>1336</v>
      </c>
      <c r="C88" s="62" t="s">
        <v>1188</v>
      </c>
      <c r="D88" s="62" t="s">
        <v>1218</v>
      </c>
      <c r="E88" s="136"/>
    </row>
    <row r="89" spans="1:5" x14ac:dyDescent="0.2">
      <c r="A89" s="62" t="s">
        <v>1337</v>
      </c>
      <c r="B89" s="62" t="s">
        <v>1336</v>
      </c>
      <c r="C89" s="62" t="s">
        <v>1188</v>
      </c>
      <c r="D89" s="62" t="s">
        <v>1220</v>
      </c>
      <c r="E89" s="136"/>
    </row>
    <row r="90" spans="1:5" x14ac:dyDescent="0.2">
      <c r="A90" s="62" t="s">
        <v>1338</v>
      </c>
      <c r="B90" s="62" t="s">
        <v>1336</v>
      </c>
      <c r="C90" s="62" t="s">
        <v>1188</v>
      </c>
      <c r="D90" s="62" t="s">
        <v>1222</v>
      </c>
      <c r="E90" s="136"/>
    </row>
    <row r="91" spans="1:5" x14ac:dyDescent="0.2">
      <c r="A91" s="67" t="s">
        <v>1339</v>
      </c>
      <c r="B91" s="67" t="s">
        <v>1336</v>
      </c>
      <c r="C91" s="67" t="s">
        <v>1188</v>
      </c>
      <c r="D91" s="67" t="s">
        <v>1224</v>
      </c>
      <c r="E91" s="140"/>
    </row>
    <row r="92" spans="1:5" x14ac:dyDescent="0.2">
      <c r="A92" s="82" t="s">
        <v>308</v>
      </c>
      <c r="B92" s="83"/>
      <c r="C92" s="83"/>
      <c r="D92" s="83"/>
      <c r="E92" s="143"/>
    </row>
    <row r="94" spans="1:5" x14ac:dyDescent="0.2">
      <c r="A94" s="82" t="s">
        <v>1340</v>
      </c>
      <c r="B94" s="83"/>
      <c r="C94" s="83"/>
      <c r="D94" s="83"/>
      <c r="E94" s="143"/>
    </row>
  </sheetData>
  <sheetProtection algorithmName="SHA-512" hashValue="yFHj7abvMXq+sf+MCGa0dC/S116w0HKnPqsH59Qt3tsNI+OyisEnapb1hqf0tHUR6+YwbA2/GpUXptxw2gJ43g==" saltValue="jW00LyeXXVD5LHh/E7iBiw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&amp;LWaterschap Vallei &amp; Veluwe EA 2027                          &amp;ROpmaakdatum: 30-10-2026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634D-9198-4817-B6BF-816CF8EE1B07}">
  <dimension ref="A1:L1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G.9: ",tabeltype," regiewerk")</f>
        <v>Bijlage G.9: Invultabel regiewerk</v>
      </c>
    </row>
    <row r="3" spans="1:12" ht="38.25" x14ac:dyDescent="0.2">
      <c r="A3" s="46" t="s">
        <v>1174</v>
      </c>
      <c r="B3" s="46" t="s">
        <v>7</v>
      </c>
      <c r="C3" s="46" t="s">
        <v>1175</v>
      </c>
      <c r="D3" s="46" t="s">
        <v>96</v>
      </c>
      <c r="E3" s="46" t="s">
        <v>99</v>
      </c>
      <c r="F3" s="46" t="s">
        <v>1176</v>
      </c>
      <c r="G3" s="46" t="s">
        <v>1177</v>
      </c>
      <c r="H3" s="46" t="s">
        <v>1178</v>
      </c>
      <c r="I3" s="46" t="s">
        <v>1179</v>
      </c>
      <c r="J3" s="46" t="s">
        <v>1180</v>
      </c>
      <c r="K3" s="46" t="s">
        <v>229</v>
      </c>
      <c r="L3" s="46" t="s">
        <v>979</v>
      </c>
    </row>
    <row r="4" spans="1:12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9"/>
    </row>
    <row r="5" spans="1:12" x14ac:dyDescent="0.2">
      <c r="A5" s="50" t="s">
        <v>101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2"/>
    </row>
    <row r="6" spans="1:12" x14ac:dyDescent="0.2">
      <c r="A6" s="57" t="s">
        <v>1341</v>
      </c>
      <c r="B6" s="57" t="s">
        <v>16</v>
      </c>
      <c r="C6" s="58">
        <f>IF(ISBLANK(B6),0,IF(ISERROR(VALUE(B6)),VLOOKUP(B6,dagsoorttabel1,2,FALSE)*dagenperjaar1,VALUE(B6)))</f>
        <v>10</v>
      </c>
      <c r="D6" s="57" t="s">
        <v>1342</v>
      </c>
      <c r="E6" s="57" t="s">
        <v>1343</v>
      </c>
      <c r="F6" s="129">
        <v>20</v>
      </c>
      <c r="G6" s="130">
        <f>Tariefopbouw2</f>
        <v>0</v>
      </c>
      <c r="H6" s="151"/>
      <c r="I6" s="130">
        <f>G6</f>
        <v>0</v>
      </c>
      <c r="J6" s="61">
        <f>IF(ISBLANK(F6),0,F6)*ROUND(I6,2)</f>
        <v>0</v>
      </c>
      <c r="K6" s="61">
        <f>C6*J6</f>
        <v>0</v>
      </c>
      <c r="L6" s="61">
        <f>K6/12</f>
        <v>0</v>
      </c>
    </row>
    <row r="7" spans="1:12" x14ac:dyDescent="0.2">
      <c r="A7" s="62" t="s">
        <v>1344</v>
      </c>
      <c r="B7" s="62" t="s">
        <v>16</v>
      </c>
      <c r="C7" s="63">
        <f>IF(ISBLANK(B7),0,IF(ISERROR(VALUE(B7)),VLOOKUP(B7,dagsoorttabel1,2,FALSE)*dagenperjaar1,VALUE(B7)))</f>
        <v>10</v>
      </c>
      <c r="D7" s="62" t="s">
        <v>1345</v>
      </c>
      <c r="E7" s="62" t="s">
        <v>1343</v>
      </c>
      <c r="F7" s="132">
        <v>4</v>
      </c>
      <c r="G7" s="133">
        <f>Tariefopbouw3</f>
        <v>0</v>
      </c>
      <c r="H7" s="135"/>
      <c r="I7" s="133">
        <f>G7</f>
        <v>0</v>
      </c>
      <c r="J7" s="66">
        <f>IF(ISBLANK(F7),0,F7)*ROUND(I7,2)</f>
        <v>0</v>
      </c>
      <c r="K7" s="66">
        <f>C7*J7</f>
        <v>0</v>
      </c>
      <c r="L7" s="66">
        <f>K7/12</f>
        <v>0</v>
      </c>
    </row>
    <row r="8" spans="1:12" x14ac:dyDescent="0.2">
      <c r="A8" s="62" t="s">
        <v>1346</v>
      </c>
      <c r="B8" s="62" t="s">
        <v>22</v>
      </c>
      <c r="C8" s="63">
        <f>IF(ISBLANK(B8),0,IF(ISERROR(VALUE(B8)),VLOOKUP(B8,dagsoorttabel1,2,FALSE)*dagenperjaar1,VALUE(B8)))</f>
        <v>2</v>
      </c>
      <c r="D8" s="62" t="s">
        <v>1347</v>
      </c>
      <c r="E8" s="62" t="s">
        <v>1343</v>
      </c>
      <c r="F8" s="132">
        <v>10</v>
      </c>
      <c r="G8" s="133">
        <f>Tariefopbouw6</f>
        <v>0</v>
      </c>
      <c r="H8" s="135"/>
      <c r="I8" s="133">
        <f>G8</f>
        <v>0</v>
      </c>
      <c r="J8" s="66">
        <f>IF(ISBLANK(F8),0,F8)*ROUND(I8,2)</f>
        <v>0</v>
      </c>
      <c r="K8" s="66">
        <f>C8*J8</f>
        <v>0</v>
      </c>
      <c r="L8" s="66">
        <f>K8/12</f>
        <v>0</v>
      </c>
    </row>
    <row r="9" spans="1:12" x14ac:dyDescent="0.2">
      <c r="A9" s="67" t="s">
        <v>1348</v>
      </c>
      <c r="B9" s="67" t="s">
        <v>22</v>
      </c>
      <c r="C9" s="68">
        <f>IF(ISBLANK(B9),0,IF(ISERROR(VALUE(B9)),VLOOKUP(B9,dagsoorttabel1,2,FALSE)*dagenperjaar1,VALUE(B9)))</f>
        <v>2</v>
      </c>
      <c r="D9" s="67" t="s">
        <v>1349</v>
      </c>
      <c r="E9" s="67" t="s">
        <v>1343</v>
      </c>
      <c r="F9" s="137">
        <v>8</v>
      </c>
      <c r="G9" s="138">
        <f>Tariefopbouw7</f>
        <v>0</v>
      </c>
      <c r="H9" s="139"/>
      <c r="I9" s="138">
        <f>G9</f>
        <v>0</v>
      </c>
      <c r="J9" s="71">
        <f>IF(ISBLANK(F9),0,F9)*ROUND(I9,2)</f>
        <v>0</v>
      </c>
      <c r="K9" s="71">
        <f>C9*J9</f>
        <v>0</v>
      </c>
      <c r="L9" s="71">
        <f>K9/12</f>
        <v>0</v>
      </c>
    </row>
    <row r="10" spans="1:12" x14ac:dyDescent="0.2">
      <c r="A10" s="82" t="s">
        <v>308</v>
      </c>
      <c r="B10" s="83"/>
      <c r="C10" s="83"/>
      <c r="D10" s="83"/>
      <c r="E10" s="83"/>
      <c r="F10" s="83"/>
      <c r="G10" s="83"/>
      <c r="H10" s="83"/>
      <c r="I10" s="83"/>
      <c r="J10" s="83"/>
      <c r="K10" s="85">
        <f>SUM(K6:K9)</f>
        <v>0</v>
      </c>
      <c r="L10" s="141">
        <f>K10/12</f>
        <v>0</v>
      </c>
    </row>
    <row r="12" spans="1:12" x14ac:dyDescent="0.2">
      <c r="A12" s="82" t="s">
        <v>1350</v>
      </c>
      <c r="B12" s="83"/>
      <c r="C12" s="83"/>
      <c r="D12" s="83"/>
      <c r="E12" s="83"/>
      <c r="F12" s="83"/>
      <c r="G12" s="83"/>
      <c r="H12" s="83"/>
      <c r="I12" s="83"/>
      <c r="J12" s="83"/>
      <c r="K12" s="85">
        <f>prijsjaarregie1</f>
        <v>0</v>
      </c>
      <c r="L12" s="141">
        <f>K12/12</f>
        <v>0</v>
      </c>
    </row>
  </sheetData>
  <sheetProtection algorithmName="SHA-512" hashValue="F4B72IjomHI0Pd45sVW1+hwlc+RGPQPe8OkVwlBNoLX8R2gF+pv08kS+svO1lrpIQEh3tO6OMgjw5VLp1TD9fA==" saltValue="NOr7T5U2uqEtSPG94ub16w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&amp;LWaterschap Vallei &amp; Veluwe EA 2027                          &amp;ROpmaakdatum: 30-10-2026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74523-430C-4644-B81B-8594744D31D1}">
  <dimension ref="A1:L2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G.10: ",tabeltype," glas")</f>
        <v>Bijlage G.10: Invultabel glas</v>
      </c>
    </row>
    <row r="3" spans="1:12" ht="38.25" x14ac:dyDescent="0.2">
      <c r="A3" s="46" t="s">
        <v>1174</v>
      </c>
      <c r="B3" s="46" t="s">
        <v>7</v>
      </c>
      <c r="C3" s="46" t="s">
        <v>1175</v>
      </c>
      <c r="D3" s="46" t="s">
        <v>96</v>
      </c>
      <c r="E3" s="46" t="s">
        <v>99</v>
      </c>
      <c r="F3" s="46" t="s">
        <v>1176</v>
      </c>
      <c r="G3" s="46" t="s">
        <v>1177</v>
      </c>
      <c r="H3" s="46" t="s">
        <v>1178</v>
      </c>
      <c r="I3" s="46" t="s">
        <v>1179</v>
      </c>
      <c r="J3" s="46" t="s">
        <v>1180</v>
      </c>
      <c r="K3" s="46" t="s">
        <v>229</v>
      </c>
      <c r="L3" s="46" t="s">
        <v>979</v>
      </c>
    </row>
    <row r="4" spans="1:12" x14ac:dyDescent="0.2">
      <c r="A4" s="47"/>
      <c r="B4" s="48"/>
      <c r="C4" s="48"/>
      <c r="D4" s="48"/>
      <c r="E4" s="48"/>
      <c r="F4" s="48"/>
      <c r="G4" s="48"/>
      <c r="H4" s="48"/>
      <c r="I4" s="48"/>
      <c r="J4" s="48"/>
      <c r="K4" s="48"/>
      <c r="L4" s="49"/>
    </row>
    <row r="5" spans="1:12" x14ac:dyDescent="0.2">
      <c r="A5" s="50" t="s">
        <v>101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2"/>
    </row>
    <row r="6" spans="1:12" x14ac:dyDescent="0.2">
      <c r="A6" s="57" t="s">
        <v>1351</v>
      </c>
      <c r="B6" s="57" t="s">
        <v>22</v>
      </c>
      <c r="C6" s="58">
        <f>IF(ISBLANK(B6),0,IF(ISERROR(VALUE(B6)),VLOOKUP(B6,dagsoorttabel1,2,FALSE)*dagenperjaar1,VALUE(B6)))</f>
        <v>2</v>
      </c>
      <c r="D6" s="57" t="s">
        <v>1352</v>
      </c>
      <c r="E6" s="57" t="s">
        <v>1235</v>
      </c>
      <c r="F6" s="129">
        <v>596.98</v>
      </c>
      <c r="G6" s="130">
        <f>Tariefopbouw5</f>
        <v>0</v>
      </c>
      <c r="H6" s="151"/>
      <c r="I6" s="150"/>
      <c r="J6" s="61">
        <f>IF(ISBLANK(F6),0,F6)*ROUND(I6,2)</f>
        <v>0</v>
      </c>
      <c r="K6" s="61">
        <f>C6*J6</f>
        <v>0</v>
      </c>
      <c r="L6" s="61">
        <f>K6/12</f>
        <v>0</v>
      </c>
    </row>
    <row r="7" spans="1:12" x14ac:dyDescent="0.2">
      <c r="A7" s="62" t="s">
        <v>1351</v>
      </c>
      <c r="B7" s="62" t="s">
        <v>19</v>
      </c>
      <c r="C7" s="63">
        <f>IF(ISBLANK(B7),0,IF(ISERROR(VALUE(B7)),VLOOKUP(B7,dagsoorttabel1,2,FALSE)*dagenperjaar1,VALUE(B7)))</f>
        <v>6</v>
      </c>
      <c r="D7" s="62" t="s">
        <v>1352</v>
      </c>
      <c r="E7" s="62" t="s">
        <v>1235</v>
      </c>
      <c r="F7" s="132">
        <v>420.42</v>
      </c>
      <c r="G7" s="133">
        <f>Tariefopbouw5</f>
        <v>0</v>
      </c>
      <c r="H7" s="135"/>
      <c r="I7" s="136"/>
      <c r="J7" s="66">
        <f>IF(ISBLANK(F7),0,F7)*ROUND(I7,2)</f>
        <v>0</v>
      </c>
      <c r="K7" s="66">
        <f>C7*J7</f>
        <v>0</v>
      </c>
      <c r="L7" s="66">
        <f>K7/12</f>
        <v>0</v>
      </c>
    </row>
    <row r="8" spans="1:12" x14ac:dyDescent="0.2">
      <c r="A8" s="62" t="s">
        <v>1351</v>
      </c>
      <c r="B8" s="62" t="s">
        <v>17</v>
      </c>
      <c r="C8" s="63">
        <f>IF(ISBLANK(B8),0,IF(ISERROR(VALUE(B8)),VLOOKUP(B8,dagsoorttabel1,2,FALSE)*dagenperjaar1,VALUE(B8)))</f>
        <v>9</v>
      </c>
      <c r="D8" s="62" t="s">
        <v>1352</v>
      </c>
      <c r="E8" s="62" t="s">
        <v>1235</v>
      </c>
      <c r="F8" s="132">
        <v>118.04</v>
      </c>
      <c r="G8" s="133">
        <f>Tariefopbouw5</f>
        <v>0</v>
      </c>
      <c r="H8" s="135"/>
      <c r="I8" s="136"/>
      <c r="J8" s="66">
        <f>IF(ISBLANK(F8),0,F8)*ROUND(I8,2)</f>
        <v>0</v>
      </c>
      <c r="K8" s="66">
        <f>C8*J8</f>
        <v>0</v>
      </c>
      <c r="L8" s="66">
        <f>K8/12</f>
        <v>0</v>
      </c>
    </row>
    <row r="9" spans="1:12" x14ac:dyDescent="0.2">
      <c r="A9" s="62" t="s">
        <v>1353</v>
      </c>
      <c r="B9" s="62" t="s">
        <v>22</v>
      </c>
      <c r="C9" s="63">
        <f>IF(ISBLANK(B9),0,IF(ISERROR(VALUE(B9)),VLOOKUP(B9,dagsoorttabel1,2,FALSE)*dagenperjaar1,VALUE(B9)))</f>
        <v>2</v>
      </c>
      <c r="D9" s="62" t="s">
        <v>1354</v>
      </c>
      <c r="E9" s="62" t="s">
        <v>1235</v>
      </c>
      <c r="F9" s="132">
        <v>566.58000000000004</v>
      </c>
      <c r="G9" s="133">
        <f>Tariefopbouw5</f>
        <v>0</v>
      </c>
      <c r="H9" s="135"/>
      <c r="I9" s="136"/>
      <c r="J9" s="66">
        <f>IF(ISBLANK(F9),0,F9)*ROUND(I9,2)</f>
        <v>0</v>
      </c>
      <c r="K9" s="66">
        <f>C9*J9</f>
        <v>0</v>
      </c>
      <c r="L9" s="66">
        <f>K9/12</f>
        <v>0</v>
      </c>
    </row>
    <row r="10" spans="1:12" x14ac:dyDescent="0.2">
      <c r="A10" s="62" t="s">
        <v>1353</v>
      </c>
      <c r="B10" s="62" t="s">
        <v>19</v>
      </c>
      <c r="C10" s="63">
        <f>IF(ISBLANK(B10),0,IF(ISERROR(VALUE(B10)),VLOOKUP(B10,dagsoorttabel1,2,FALSE)*dagenperjaar1,VALUE(B10)))</f>
        <v>6</v>
      </c>
      <c r="D10" s="62" t="s">
        <v>1354</v>
      </c>
      <c r="E10" s="62" t="s">
        <v>1235</v>
      </c>
      <c r="F10" s="132">
        <v>420.42</v>
      </c>
      <c r="G10" s="133">
        <f>Tariefopbouw5</f>
        <v>0</v>
      </c>
      <c r="H10" s="135"/>
      <c r="I10" s="136"/>
      <c r="J10" s="66">
        <f>IF(ISBLANK(F10),0,F10)*ROUND(I10,2)</f>
        <v>0</v>
      </c>
      <c r="K10" s="66">
        <f>C10*J10</f>
        <v>0</v>
      </c>
      <c r="L10" s="66">
        <f>K10/12</f>
        <v>0</v>
      </c>
    </row>
    <row r="11" spans="1:12" x14ac:dyDescent="0.2">
      <c r="A11" s="62" t="s">
        <v>1353</v>
      </c>
      <c r="B11" s="62" t="s">
        <v>18</v>
      </c>
      <c r="C11" s="63">
        <f>IF(ISBLANK(B11),0,IF(ISERROR(VALUE(B11)),VLOOKUP(B11,dagsoorttabel1,2,FALSE)*dagenperjaar1,VALUE(B11)))</f>
        <v>7</v>
      </c>
      <c r="D11" s="62" t="s">
        <v>1354</v>
      </c>
      <c r="E11" s="62" t="s">
        <v>1235</v>
      </c>
      <c r="F11" s="132">
        <v>114.6</v>
      </c>
      <c r="G11" s="133">
        <f>Tariefopbouw5</f>
        <v>0</v>
      </c>
      <c r="H11" s="135"/>
      <c r="I11" s="136"/>
      <c r="J11" s="66">
        <f>IF(ISBLANK(F11),0,F11)*ROUND(I11,2)</f>
        <v>0</v>
      </c>
      <c r="K11" s="66">
        <f>C11*J11</f>
        <v>0</v>
      </c>
      <c r="L11" s="66">
        <f>K11/12</f>
        <v>0</v>
      </c>
    </row>
    <row r="12" spans="1:12" x14ac:dyDescent="0.2">
      <c r="A12" s="62" t="s">
        <v>1353</v>
      </c>
      <c r="B12" s="62" t="s">
        <v>17</v>
      </c>
      <c r="C12" s="63">
        <f>IF(ISBLANK(B12),0,IF(ISERROR(VALUE(B12)),VLOOKUP(B12,dagsoorttabel1,2,FALSE)*dagenperjaar1,VALUE(B12)))</f>
        <v>9</v>
      </c>
      <c r="D12" s="62" t="s">
        <v>1354</v>
      </c>
      <c r="E12" s="62" t="s">
        <v>1235</v>
      </c>
      <c r="F12" s="132">
        <v>118.04</v>
      </c>
      <c r="G12" s="133">
        <f>Tariefopbouw5</f>
        <v>0</v>
      </c>
      <c r="H12" s="135"/>
      <c r="I12" s="136"/>
      <c r="J12" s="66">
        <f>IF(ISBLANK(F12),0,F12)*ROUND(I12,2)</f>
        <v>0</v>
      </c>
      <c r="K12" s="66">
        <f>C12*J12</f>
        <v>0</v>
      </c>
      <c r="L12" s="66">
        <f>K12/12</f>
        <v>0</v>
      </c>
    </row>
    <row r="13" spans="1:12" x14ac:dyDescent="0.2">
      <c r="A13" s="62" t="s">
        <v>1355</v>
      </c>
      <c r="B13" s="62" t="s">
        <v>22</v>
      </c>
      <c r="C13" s="63">
        <f>IF(ISBLANK(B13),0,IF(ISERROR(VALUE(B13)),VLOOKUP(B13,dagsoorttabel1,2,FALSE)*dagenperjaar1,VALUE(B13)))</f>
        <v>2</v>
      </c>
      <c r="D13" s="62" t="s">
        <v>1356</v>
      </c>
      <c r="E13" s="62" t="s">
        <v>1235</v>
      </c>
      <c r="F13" s="132">
        <v>157.9</v>
      </c>
      <c r="G13" s="133">
        <f>Tariefopbouw5</f>
        <v>0</v>
      </c>
      <c r="H13" s="135"/>
      <c r="I13" s="136"/>
      <c r="J13" s="66">
        <f>IF(ISBLANK(F13),0,F13)*ROUND(I13,2)</f>
        <v>0</v>
      </c>
      <c r="K13" s="66">
        <f>C13*J13</f>
        <v>0</v>
      </c>
      <c r="L13" s="66">
        <f>K13/12</f>
        <v>0</v>
      </c>
    </row>
    <row r="14" spans="1:12" x14ac:dyDescent="0.2">
      <c r="A14" s="62" t="s">
        <v>1355</v>
      </c>
      <c r="B14" s="62" t="s">
        <v>19</v>
      </c>
      <c r="C14" s="63">
        <f>IF(ISBLANK(B14),0,IF(ISERROR(VALUE(B14)),VLOOKUP(B14,dagsoorttabel1,2,FALSE)*dagenperjaar1,VALUE(B14)))</f>
        <v>6</v>
      </c>
      <c r="D14" s="62" t="s">
        <v>1356</v>
      </c>
      <c r="E14" s="62" t="s">
        <v>1235</v>
      </c>
      <c r="F14" s="132">
        <v>55.3</v>
      </c>
      <c r="G14" s="133">
        <f>Tariefopbouw5</f>
        <v>0</v>
      </c>
      <c r="H14" s="135"/>
      <c r="I14" s="136"/>
      <c r="J14" s="66">
        <f>IF(ISBLANK(F14),0,F14)*ROUND(I14,2)</f>
        <v>0</v>
      </c>
      <c r="K14" s="66">
        <f>C14*J14</f>
        <v>0</v>
      </c>
      <c r="L14" s="66">
        <f>K14/12</f>
        <v>0</v>
      </c>
    </row>
    <row r="15" spans="1:12" x14ac:dyDescent="0.2">
      <c r="A15" s="62" t="s">
        <v>1355</v>
      </c>
      <c r="B15" s="62" t="s">
        <v>18</v>
      </c>
      <c r="C15" s="63">
        <f>IF(ISBLANK(B15),0,IF(ISERROR(VALUE(B15)),VLOOKUP(B15,dagsoorttabel1,2,FALSE)*dagenperjaar1,VALUE(B15)))</f>
        <v>7</v>
      </c>
      <c r="D15" s="62" t="s">
        <v>1356</v>
      </c>
      <c r="E15" s="62" t="s">
        <v>1235</v>
      </c>
      <c r="F15" s="132">
        <v>48.4</v>
      </c>
      <c r="G15" s="133">
        <f>Tariefopbouw5</f>
        <v>0</v>
      </c>
      <c r="H15" s="135"/>
      <c r="I15" s="136"/>
      <c r="J15" s="66">
        <f>IF(ISBLANK(F15),0,F15)*ROUND(I15,2)</f>
        <v>0</v>
      </c>
      <c r="K15" s="66">
        <f>C15*J15</f>
        <v>0</v>
      </c>
      <c r="L15" s="66">
        <f>K15/12</f>
        <v>0</v>
      </c>
    </row>
    <row r="16" spans="1:12" x14ac:dyDescent="0.2">
      <c r="A16" s="62" t="s">
        <v>1355</v>
      </c>
      <c r="B16" s="62" t="s">
        <v>17</v>
      </c>
      <c r="C16" s="63">
        <f>IF(ISBLANK(B16),0,IF(ISERROR(VALUE(B16)),VLOOKUP(B16,dagsoorttabel1,2,FALSE)*dagenperjaar1,VALUE(B16)))</f>
        <v>9</v>
      </c>
      <c r="D16" s="62" t="s">
        <v>1356</v>
      </c>
      <c r="E16" s="62" t="s">
        <v>1235</v>
      </c>
      <c r="F16" s="132">
        <v>16.18</v>
      </c>
      <c r="G16" s="133">
        <f>Tariefopbouw5</f>
        <v>0</v>
      </c>
      <c r="H16" s="135"/>
      <c r="I16" s="136"/>
      <c r="J16" s="66">
        <f>IF(ISBLANK(F16),0,F16)*ROUND(I16,2)</f>
        <v>0</v>
      </c>
      <c r="K16" s="66">
        <f>C16*J16</f>
        <v>0</v>
      </c>
      <c r="L16" s="66">
        <f>K16/12</f>
        <v>0</v>
      </c>
    </row>
    <row r="17" spans="1:12" x14ac:dyDescent="0.2">
      <c r="A17" s="62" t="s">
        <v>1357</v>
      </c>
      <c r="B17" s="62" t="s">
        <v>23</v>
      </c>
      <c r="C17" s="63">
        <f>IF(ISBLANK(B17),0,IF(ISERROR(VALUE(B17)),VLOOKUP(B17,dagsoorttabel1,2,FALSE)*dagenperjaar1,VALUE(B17)))</f>
        <v>1</v>
      </c>
      <c r="D17" s="62" t="s">
        <v>1358</v>
      </c>
      <c r="E17" s="62" t="s">
        <v>1235</v>
      </c>
      <c r="F17" s="132">
        <v>2000</v>
      </c>
      <c r="G17" s="133">
        <f>Tariefopbouw5</f>
        <v>0</v>
      </c>
      <c r="H17" s="135"/>
      <c r="I17" s="136"/>
      <c r="J17" s="66">
        <f>IF(ISBLANK(F17),0,F17)*ROUND(I17,2)</f>
        <v>0</v>
      </c>
      <c r="K17" s="66">
        <f>C17*J17</f>
        <v>0</v>
      </c>
      <c r="L17" s="66">
        <f>K17/12</f>
        <v>0</v>
      </c>
    </row>
    <row r="18" spans="1:12" x14ac:dyDescent="0.2">
      <c r="A18" s="62" t="s">
        <v>1359</v>
      </c>
      <c r="B18" s="62" t="s">
        <v>20</v>
      </c>
      <c r="C18" s="63">
        <f>IF(ISBLANK(B18),0,IF(ISERROR(VALUE(B18)),VLOOKUP(B18,dagsoorttabel1,2,FALSE)*dagenperjaar1,VALUE(B18)))</f>
        <v>4</v>
      </c>
      <c r="D18" s="62" t="s">
        <v>1360</v>
      </c>
      <c r="E18" s="62" t="s">
        <v>1361</v>
      </c>
      <c r="F18" s="132">
        <v>1</v>
      </c>
      <c r="G18" s="133">
        <f>Tariefopbouw5</f>
        <v>0</v>
      </c>
      <c r="H18" s="135"/>
      <c r="I18" s="136"/>
      <c r="J18" s="66">
        <f>IF(ISBLANK(F18),0,F18)*ROUND(I18,2)</f>
        <v>0</v>
      </c>
      <c r="K18" s="66">
        <f>C18*J18</f>
        <v>0</v>
      </c>
      <c r="L18" s="66">
        <f>K18/12</f>
        <v>0</v>
      </c>
    </row>
    <row r="19" spans="1:12" x14ac:dyDescent="0.2">
      <c r="A19" s="67" t="s">
        <v>1362</v>
      </c>
      <c r="B19" s="67" t="s">
        <v>20</v>
      </c>
      <c r="C19" s="68">
        <f>IF(ISBLANK(B19),0,IF(ISERROR(VALUE(B19)),VLOOKUP(B19,dagsoorttabel1,2,FALSE)*dagenperjaar1,VALUE(B19)))</f>
        <v>4</v>
      </c>
      <c r="D19" s="67" t="s">
        <v>1363</v>
      </c>
      <c r="E19" s="67" t="s">
        <v>1361</v>
      </c>
      <c r="F19" s="137">
        <v>1</v>
      </c>
      <c r="G19" s="138">
        <f>Tariefopbouw5</f>
        <v>0</v>
      </c>
      <c r="H19" s="139"/>
      <c r="I19" s="140"/>
      <c r="J19" s="71">
        <f>IF(ISBLANK(F19),0,F19)*ROUND(I19,2)</f>
        <v>0</v>
      </c>
      <c r="K19" s="71">
        <f>C19*J19</f>
        <v>0</v>
      </c>
      <c r="L19" s="71">
        <f>K19/12</f>
        <v>0</v>
      </c>
    </row>
    <row r="20" spans="1:12" x14ac:dyDescent="0.2">
      <c r="A20" s="82" t="s">
        <v>308</v>
      </c>
      <c r="B20" s="83"/>
      <c r="C20" s="83"/>
      <c r="D20" s="83"/>
      <c r="E20" s="83"/>
      <c r="F20" s="83"/>
      <c r="G20" s="83"/>
      <c r="H20" s="83"/>
      <c r="I20" s="83"/>
      <c r="J20" s="83"/>
      <c r="K20" s="85">
        <f>SUM(K6:K19)</f>
        <v>0</v>
      </c>
      <c r="L20" s="141">
        <f>K20/12</f>
        <v>0</v>
      </c>
    </row>
    <row r="22" spans="1:12" x14ac:dyDescent="0.2">
      <c r="A22" s="82" t="s">
        <v>1364</v>
      </c>
      <c r="B22" s="83"/>
      <c r="C22" s="83"/>
      <c r="D22" s="83"/>
      <c r="E22" s="83"/>
      <c r="F22" s="83"/>
      <c r="G22" s="83"/>
      <c r="H22" s="83"/>
      <c r="I22" s="83"/>
      <c r="J22" s="83"/>
      <c r="K22" s="85">
        <f>prijsjaarglas1</f>
        <v>0</v>
      </c>
      <c r="L22" s="141">
        <f>K22/12</f>
        <v>0</v>
      </c>
    </row>
  </sheetData>
  <sheetProtection algorithmName="SHA-512" hashValue="UMV3WFu12LGZ9UXpizWt6Kd0aC8W7iyM6ftLYcrFSwvZnZP6HxyHc8ev94NMY4pujcnfaLPs0JGrNj35PkOD1Q==" saltValue="oU/PruczQc6n8bNHX5ynBA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&amp;LWaterschap Vallei &amp; Veluwe EA 2027                          &amp;ROpmaakdatum: 30-10-2026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DE0C6-F9EC-4BEA-9A0B-18386A7D3E8E}">
  <dimension ref="A1:M144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G.11: ",tabeltype," glas per locatie")</f>
        <v>Bijlage G.11: Invultabel glas per locatie</v>
      </c>
    </row>
    <row r="3" spans="1:13" ht="38.25" x14ac:dyDescent="0.2">
      <c r="A3" s="46" t="s">
        <v>1174</v>
      </c>
      <c r="B3" s="46" t="s">
        <v>7</v>
      </c>
      <c r="C3" s="46" t="s">
        <v>1175</v>
      </c>
      <c r="D3" s="46" t="s">
        <v>892</v>
      </c>
      <c r="E3" s="46" t="s">
        <v>96</v>
      </c>
      <c r="F3" s="46" t="s">
        <v>99</v>
      </c>
      <c r="G3" s="46" t="s">
        <v>1176</v>
      </c>
      <c r="H3" s="46" t="s">
        <v>1177</v>
      </c>
      <c r="I3" s="46" t="s">
        <v>1178</v>
      </c>
      <c r="J3" s="46" t="s">
        <v>1179</v>
      </c>
      <c r="K3" s="46" t="s">
        <v>1180</v>
      </c>
      <c r="L3" s="46" t="s">
        <v>229</v>
      </c>
      <c r="M3" s="46" t="s">
        <v>979</v>
      </c>
    </row>
    <row r="5" spans="1:13" x14ac:dyDescent="0.2">
      <c r="A5" s="142" t="s">
        <v>320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143"/>
    </row>
    <row r="6" spans="1:13" x14ac:dyDescent="0.2">
      <c r="A6" s="57" t="s">
        <v>1351</v>
      </c>
      <c r="B6" s="57" t="s">
        <v>19</v>
      </c>
      <c r="C6" s="58">
        <f>IF(ISBLANK(B6),0,IF(ISERROR(VALUE(B6)),VLOOKUP(B6,dagsoorttabel1,2,FALSE)*dagenperjaar1,VALUE(B6)))</f>
        <v>6</v>
      </c>
      <c r="D6" s="57" t="s">
        <v>968</v>
      </c>
      <c r="E6" s="57" t="s">
        <v>1352</v>
      </c>
      <c r="F6" s="57" t="s">
        <v>1235</v>
      </c>
      <c r="G6" s="129">
        <v>215</v>
      </c>
      <c r="H6" s="130">
        <f>Glas!G7</f>
        <v>0</v>
      </c>
      <c r="I6" s="151"/>
      <c r="J6" s="130">
        <f>Glas!I7</f>
        <v>0</v>
      </c>
      <c r="K6" s="61">
        <f>IF(ISBLANK(G6),0,G6)*ROUND(J6,2)</f>
        <v>0</v>
      </c>
      <c r="L6" s="61">
        <f>C6*K6</f>
        <v>0</v>
      </c>
      <c r="M6" s="61">
        <f>L6/12</f>
        <v>0</v>
      </c>
    </row>
    <row r="7" spans="1:13" x14ac:dyDescent="0.2">
      <c r="A7" s="62" t="s">
        <v>1353</v>
      </c>
      <c r="B7" s="62" t="s">
        <v>19</v>
      </c>
      <c r="C7" s="63">
        <f>IF(ISBLANK(B7),0,IF(ISERROR(VALUE(B7)),VLOOKUP(B7,dagsoorttabel1,2,FALSE)*dagenperjaar1,VALUE(B7)))</f>
        <v>6</v>
      </c>
      <c r="D7" s="62" t="s">
        <v>968</v>
      </c>
      <c r="E7" s="62" t="s">
        <v>1354</v>
      </c>
      <c r="F7" s="62" t="s">
        <v>1235</v>
      </c>
      <c r="G7" s="132">
        <v>215</v>
      </c>
      <c r="H7" s="133">
        <f>Glas!G10</f>
        <v>0</v>
      </c>
      <c r="I7" s="135"/>
      <c r="J7" s="133">
        <f>Glas!I10</f>
        <v>0</v>
      </c>
      <c r="K7" s="66">
        <f>IF(ISBLANK(G7),0,G7)*ROUND(J7,2)</f>
        <v>0</v>
      </c>
      <c r="L7" s="66">
        <f>C7*K7</f>
        <v>0</v>
      </c>
      <c r="M7" s="66">
        <f>L7/12</f>
        <v>0</v>
      </c>
    </row>
    <row r="8" spans="1:13" x14ac:dyDescent="0.2">
      <c r="A8" s="62" t="s">
        <v>1359</v>
      </c>
      <c r="B8" s="62" t="s">
        <v>20</v>
      </c>
      <c r="C8" s="63">
        <f>IF(ISBLANK(B8),0,IF(ISERROR(VALUE(B8)),VLOOKUP(B8,dagsoorttabel1,2,FALSE)*dagenperjaar1,VALUE(B8)))</f>
        <v>4</v>
      </c>
      <c r="D8" s="62" t="s">
        <v>968</v>
      </c>
      <c r="E8" s="62" t="s">
        <v>1360</v>
      </c>
      <c r="F8" s="62" t="s">
        <v>1361</v>
      </c>
      <c r="G8" s="132">
        <v>1</v>
      </c>
      <c r="H8" s="133">
        <f>Glas!G18</f>
        <v>0</v>
      </c>
      <c r="I8" s="135"/>
      <c r="J8" s="133">
        <f>Glas!I18</f>
        <v>0</v>
      </c>
      <c r="K8" s="66">
        <f>IF(ISBLANK(G8),0,G8)*ROUND(J8,2)</f>
        <v>0</v>
      </c>
      <c r="L8" s="66">
        <f>C8*K8</f>
        <v>0</v>
      </c>
      <c r="M8" s="66">
        <f>L8/12</f>
        <v>0</v>
      </c>
    </row>
    <row r="9" spans="1:13" x14ac:dyDescent="0.2">
      <c r="A9" s="67" t="s">
        <v>1362</v>
      </c>
      <c r="B9" s="67" t="s">
        <v>20</v>
      </c>
      <c r="C9" s="68">
        <f>IF(ISBLANK(B9),0,IF(ISERROR(VALUE(B9)),VLOOKUP(B9,dagsoorttabel1,2,FALSE)*dagenperjaar1,VALUE(B9)))</f>
        <v>4</v>
      </c>
      <c r="D9" s="67" t="s">
        <v>968</v>
      </c>
      <c r="E9" s="67" t="s">
        <v>1363</v>
      </c>
      <c r="F9" s="67" t="s">
        <v>1361</v>
      </c>
      <c r="G9" s="137">
        <v>1</v>
      </c>
      <c r="H9" s="138">
        <f>Glas!G19</f>
        <v>0</v>
      </c>
      <c r="I9" s="139"/>
      <c r="J9" s="138">
        <f>Glas!I19</f>
        <v>0</v>
      </c>
      <c r="K9" s="71">
        <f>IF(ISBLANK(G9),0,G9)*ROUND(J9,2)</f>
        <v>0</v>
      </c>
      <c r="L9" s="71">
        <f>C9*K9</f>
        <v>0</v>
      </c>
      <c r="M9" s="71">
        <f>L9/12</f>
        <v>0</v>
      </c>
    </row>
    <row r="10" spans="1:13" x14ac:dyDescent="0.2">
      <c r="A10" s="149" t="s">
        <v>1194</v>
      </c>
      <c r="B10" s="83"/>
      <c r="C10" s="83"/>
      <c r="D10" s="83"/>
      <c r="E10" s="83"/>
      <c r="F10" s="83"/>
      <c r="G10" s="83"/>
      <c r="H10" s="83"/>
      <c r="I10" s="83"/>
      <c r="J10" s="83"/>
      <c r="K10" s="85">
        <f>SUM(K6:K9)</f>
        <v>0</v>
      </c>
      <c r="L10" s="85">
        <f>SUM(L6:L9)</f>
        <v>0</v>
      </c>
      <c r="M10" s="141">
        <f>L10/12</f>
        <v>0</v>
      </c>
    </row>
    <row r="12" spans="1:13" x14ac:dyDescent="0.2">
      <c r="A12" s="142" t="s">
        <v>547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143"/>
    </row>
    <row r="13" spans="1:13" x14ac:dyDescent="0.2">
      <c r="A13" s="57" t="s">
        <v>1351</v>
      </c>
      <c r="B13" s="57" t="s">
        <v>22</v>
      </c>
      <c r="C13" s="58">
        <f>IF(ISBLANK(B13),0,IF(ISERROR(VALUE(B13)),VLOOKUP(B13,dagsoorttabel1,2,FALSE)*dagenperjaar1,VALUE(B13)))</f>
        <v>2</v>
      </c>
      <c r="D13" s="57" t="s">
        <v>968</v>
      </c>
      <c r="E13" s="57" t="s">
        <v>1352</v>
      </c>
      <c r="F13" s="57" t="s">
        <v>1235</v>
      </c>
      <c r="G13" s="129">
        <v>221.25</v>
      </c>
      <c r="H13" s="130">
        <f>Glas!G6</f>
        <v>0</v>
      </c>
      <c r="I13" s="151"/>
      <c r="J13" s="130">
        <f>Glas!I6</f>
        <v>0</v>
      </c>
      <c r="K13" s="61">
        <f>IF(ISBLANK(G13),0,G13)*ROUND(J13,2)</f>
        <v>0</v>
      </c>
      <c r="L13" s="61">
        <f>C13*K13</f>
        <v>0</v>
      </c>
      <c r="M13" s="61">
        <f>L13/12</f>
        <v>0</v>
      </c>
    </row>
    <row r="14" spans="1:13" x14ac:dyDescent="0.2">
      <c r="A14" s="62" t="s">
        <v>1353</v>
      </c>
      <c r="B14" s="62" t="s">
        <v>22</v>
      </c>
      <c r="C14" s="63">
        <f>IF(ISBLANK(B14),0,IF(ISERROR(VALUE(B14)),VLOOKUP(B14,dagsoorttabel1,2,FALSE)*dagenperjaar1,VALUE(B14)))</f>
        <v>2</v>
      </c>
      <c r="D14" s="62" t="s">
        <v>968</v>
      </c>
      <c r="E14" s="62" t="s">
        <v>1354</v>
      </c>
      <c r="F14" s="62" t="s">
        <v>1235</v>
      </c>
      <c r="G14" s="132">
        <v>221.25</v>
      </c>
      <c r="H14" s="133">
        <f>Glas!G9</f>
        <v>0</v>
      </c>
      <c r="I14" s="135"/>
      <c r="J14" s="133">
        <f>Glas!I9</f>
        <v>0</v>
      </c>
      <c r="K14" s="66">
        <f>IF(ISBLANK(G14),0,G14)*ROUND(J14,2)</f>
        <v>0</v>
      </c>
      <c r="L14" s="66">
        <f>C14*K14</f>
        <v>0</v>
      </c>
      <c r="M14" s="66">
        <f>L14/12</f>
        <v>0</v>
      </c>
    </row>
    <row r="15" spans="1:13" x14ac:dyDescent="0.2">
      <c r="A15" s="67" t="s">
        <v>1355</v>
      </c>
      <c r="B15" s="67" t="s">
        <v>22</v>
      </c>
      <c r="C15" s="68">
        <f>IF(ISBLANK(B15),0,IF(ISERROR(VALUE(B15)),VLOOKUP(B15,dagsoorttabel1,2,FALSE)*dagenperjaar1,VALUE(B15)))</f>
        <v>2</v>
      </c>
      <c r="D15" s="67" t="s">
        <v>968</v>
      </c>
      <c r="E15" s="67" t="s">
        <v>1356</v>
      </c>
      <c r="F15" s="67" t="s">
        <v>1235</v>
      </c>
      <c r="G15" s="137">
        <v>148.6</v>
      </c>
      <c r="H15" s="138">
        <f>Glas!G13</f>
        <v>0</v>
      </c>
      <c r="I15" s="139"/>
      <c r="J15" s="138">
        <f>Glas!I13</f>
        <v>0</v>
      </c>
      <c r="K15" s="71">
        <f>IF(ISBLANK(G15),0,G15)*ROUND(J15,2)</f>
        <v>0</v>
      </c>
      <c r="L15" s="71">
        <f>C15*K15</f>
        <v>0</v>
      </c>
      <c r="M15" s="71">
        <f>L15/12</f>
        <v>0</v>
      </c>
    </row>
    <row r="16" spans="1:13" x14ac:dyDescent="0.2">
      <c r="A16" s="149" t="s">
        <v>1195</v>
      </c>
      <c r="B16" s="83"/>
      <c r="C16" s="83"/>
      <c r="D16" s="83"/>
      <c r="E16" s="83"/>
      <c r="F16" s="83"/>
      <c r="G16" s="83"/>
      <c r="H16" s="83"/>
      <c r="I16" s="83"/>
      <c r="J16" s="83"/>
      <c r="K16" s="85">
        <f>SUM(K13:K15)</f>
        <v>0</v>
      </c>
      <c r="L16" s="85">
        <f>SUM(L13:L15)</f>
        <v>0</v>
      </c>
      <c r="M16" s="141">
        <f>L16/12</f>
        <v>0</v>
      </c>
    </row>
    <row r="18" spans="1:13" x14ac:dyDescent="0.2">
      <c r="A18" s="142" t="s">
        <v>616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143"/>
    </row>
    <row r="19" spans="1:13" x14ac:dyDescent="0.2">
      <c r="A19" s="57" t="s">
        <v>1351</v>
      </c>
      <c r="B19" s="57" t="s">
        <v>22</v>
      </c>
      <c r="C19" s="58">
        <f>IF(ISBLANK(B19),0,IF(ISERROR(VALUE(B19)),VLOOKUP(B19,dagsoorttabel1,2,FALSE)*dagenperjaar1,VALUE(B19)))</f>
        <v>2</v>
      </c>
      <c r="D19" s="57" t="s">
        <v>968</v>
      </c>
      <c r="E19" s="57" t="s">
        <v>1352</v>
      </c>
      <c r="F19" s="57" t="s">
        <v>1235</v>
      </c>
      <c r="G19" s="129">
        <v>100.07</v>
      </c>
      <c r="H19" s="130">
        <f>Glas!G6</f>
        <v>0</v>
      </c>
      <c r="I19" s="151"/>
      <c r="J19" s="130">
        <f>Glas!I6</f>
        <v>0</v>
      </c>
      <c r="K19" s="61">
        <f>IF(ISBLANK(G19),0,G19)*ROUND(J19,2)</f>
        <v>0</v>
      </c>
      <c r="L19" s="61">
        <f>C19*K19</f>
        <v>0</v>
      </c>
      <c r="M19" s="61">
        <f>L19/12</f>
        <v>0</v>
      </c>
    </row>
    <row r="20" spans="1:13" x14ac:dyDescent="0.2">
      <c r="A20" s="62" t="s">
        <v>1351</v>
      </c>
      <c r="B20" s="62" t="s">
        <v>17</v>
      </c>
      <c r="C20" s="63">
        <f>IF(ISBLANK(B20),0,IF(ISERROR(VALUE(B20)),VLOOKUP(B20,dagsoorttabel1,2,FALSE)*dagenperjaar1,VALUE(B20)))</f>
        <v>9</v>
      </c>
      <c r="D20" s="62" t="s">
        <v>968</v>
      </c>
      <c r="E20" s="62" t="s">
        <v>1352</v>
      </c>
      <c r="F20" s="62" t="s">
        <v>1235</v>
      </c>
      <c r="G20" s="132">
        <v>118.04</v>
      </c>
      <c r="H20" s="133">
        <f>Glas!G8</f>
        <v>0</v>
      </c>
      <c r="I20" s="135"/>
      <c r="J20" s="133">
        <f>Glas!I8</f>
        <v>0</v>
      </c>
      <c r="K20" s="66">
        <f>IF(ISBLANK(G20),0,G20)*ROUND(J20,2)</f>
        <v>0</v>
      </c>
      <c r="L20" s="66">
        <f>C20*K20</f>
        <v>0</v>
      </c>
      <c r="M20" s="66">
        <f>L20/12</f>
        <v>0</v>
      </c>
    </row>
    <row r="21" spans="1:13" x14ac:dyDescent="0.2">
      <c r="A21" s="62" t="s">
        <v>1353</v>
      </c>
      <c r="B21" s="62" t="s">
        <v>22</v>
      </c>
      <c r="C21" s="63">
        <f>IF(ISBLANK(B21),0,IF(ISERROR(VALUE(B21)),VLOOKUP(B21,dagsoorttabel1,2,FALSE)*dagenperjaar1,VALUE(B21)))</f>
        <v>2</v>
      </c>
      <c r="D21" s="62" t="s">
        <v>968</v>
      </c>
      <c r="E21" s="62" t="s">
        <v>1354</v>
      </c>
      <c r="F21" s="62" t="s">
        <v>1235</v>
      </c>
      <c r="G21" s="132">
        <v>100.07</v>
      </c>
      <c r="H21" s="133">
        <f>Glas!G9</f>
        <v>0</v>
      </c>
      <c r="I21" s="135"/>
      <c r="J21" s="133">
        <f>Glas!I9</f>
        <v>0</v>
      </c>
      <c r="K21" s="66">
        <f>IF(ISBLANK(G21),0,G21)*ROUND(J21,2)</f>
        <v>0</v>
      </c>
      <c r="L21" s="66">
        <f>C21*K21</f>
        <v>0</v>
      </c>
      <c r="M21" s="66">
        <f>L21/12</f>
        <v>0</v>
      </c>
    </row>
    <row r="22" spans="1:13" x14ac:dyDescent="0.2">
      <c r="A22" s="62" t="s">
        <v>1353</v>
      </c>
      <c r="B22" s="62" t="s">
        <v>17</v>
      </c>
      <c r="C22" s="63">
        <f>IF(ISBLANK(B22),0,IF(ISERROR(VALUE(B22)),VLOOKUP(B22,dagsoorttabel1,2,FALSE)*dagenperjaar1,VALUE(B22)))</f>
        <v>9</v>
      </c>
      <c r="D22" s="62" t="s">
        <v>968</v>
      </c>
      <c r="E22" s="62" t="s">
        <v>1354</v>
      </c>
      <c r="F22" s="62" t="s">
        <v>1235</v>
      </c>
      <c r="G22" s="132">
        <v>118.04</v>
      </c>
      <c r="H22" s="133">
        <f>Glas!G12</f>
        <v>0</v>
      </c>
      <c r="I22" s="135"/>
      <c r="J22" s="133">
        <f>Glas!I12</f>
        <v>0</v>
      </c>
      <c r="K22" s="66">
        <f>IF(ISBLANK(G22),0,G22)*ROUND(J22,2)</f>
        <v>0</v>
      </c>
      <c r="L22" s="66">
        <f>C22*K22</f>
        <v>0</v>
      </c>
      <c r="M22" s="66">
        <f>L22/12</f>
        <v>0</v>
      </c>
    </row>
    <row r="23" spans="1:13" x14ac:dyDescent="0.2">
      <c r="A23" s="67" t="s">
        <v>1355</v>
      </c>
      <c r="B23" s="67" t="s">
        <v>17</v>
      </c>
      <c r="C23" s="68">
        <f>IF(ISBLANK(B23),0,IF(ISERROR(VALUE(B23)),VLOOKUP(B23,dagsoorttabel1,2,FALSE)*dagenperjaar1,VALUE(B23)))</f>
        <v>9</v>
      </c>
      <c r="D23" s="67" t="s">
        <v>968</v>
      </c>
      <c r="E23" s="67" t="s">
        <v>1356</v>
      </c>
      <c r="F23" s="67" t="s">
        <v>1235</v>
      </c>
      <c r="G23" s="137">
        <v>16.18</v>
      </c>
      <c r="H23" s="138">
        <f>Glas!G16</f>
        <v>0</v>
      </c>
      <c r="I23" s="139"/>
      <c r="J23" s="138">
        <f>Glas!I16</f>
        <v>0</v>
      </c>
      <c r="K23" s="71">
        <f>IF(ISBLANK(G23),0,G23)*ROUND(J23,2)</f>
        <v>0</v>
      </c>
      <c r="L23" s="71">
        <f>C23*K23</f>
        <v>0</v>
      </c>
      <c r="M23" s="71">
        <f>L23/12</f>
        <v>0</v>
      </c>
    </row>
    <row r="24" spans="1:13" x14ac:dyDescent="0.2">
      <c r="A24" s="149" t="s">
        <v>1197</v>
      </c>
      <c r="B24" s="83"/>
      <c r="C24" s="83"/>
      <c r="D24" s="83"/>
      <c r="E24" s="83"/>
      <c r="F24" s="83"/>
      <c r="G24" s="83"/>
      <c r="H24" s="83"/>
      <c r="I24" s="83"/>
      <c r="J24" s="83"/>
      <c r="K24" s="85">
        <f>SUM(K19:K23)</f>
        <v>0</v>
      </c>
      <c r="L24" s="85">
        <f>SUM(L19:L23)</f>
        <v>0</v>
      </c>
      <c r="M24" s="141">
        <f>L24/12</f>
        <v>0</v>
      </c>
    </row>
    <row r="26" spans="1:13" x14ac:dyDescent="0.2">
      <c r="A26" s="142" t="s">
        <v>649</v>
      </c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143"/>
    </row>
    <row r="27" spans="1:13" x14ac:dyDescent="0.2">
      <c r="A27" s="57" t="s">
        <v>1351</v>
      </c>
      <c r="B27" s="57" t="s">
        <v>22</v>
      </c>
      <c r="C27" s="58">
        <f>IF(ISBLANK(B27),0,IF(ISERROR(VALUE(B27)),VLOOKUP(B27,dagsoorttabel1,2,FALSE)*dagenperjaar1,VALUE(B27)))</f>
        <v>2</v>
      </c>
      <c r="D27" s="57" t="s">
        <v>968</v>
      </c>
      <c r="E27" s="57" t="s">
        <v>1352</v>
      </c>
      <c r="F27" s="57" t="s">
        <v>1235</v>
      </c>
      <c r="G27" s="129">
        <v>8.67</v>
      </c>
      <c r="H27" s="130">
        <f>Glas!G6</f>
        <v>0</v>
      </c>
      <c r="I27" s="151"/>
      <c r="J27" s="130">
        <f>Glas!I6</f>
        <v>0</v>
      </c>
      <c r="K27" s="61">
        <f>IF(ISBLANK(G27),0,G27)*ROUND(J27,2)</f>
        <v>0</v>
      </c>
      <c r="L27" s="61">
        <f>C27*K27</f>
        <v>0</v>
      </c>
      <c r="M27" s="61">
        <f>L27/12</f>
        <v>0</v>
      </c>
    </row>
    <row r="28" spans="1:13" x14ac:dyDescent="0.2">
      <c r="A28" s="67" t="s">
        <v>1353</v>
      </c>
      <c r="B28" s="67" t="s">
        <v>22</v>
      </c>
      <c r="C28" s="68">
        <f>IF(ISBLANK(B28),0,IF(ISERROR(VALUE(B28)),VLOOKUP(B28,dagsoorttabel1,2,FALSE)*dagenperjaar1,VALUE(B28)))</f>
        <v>2</v>
      </c>
      <c r="D28" s="67" t="s">
        <v>968</v>
      </c>
      <c r="E28" s="67" t="s">
        <v>1354</v>
      </c>
      <c r="F28" s="67" t="s">
        <v>1235</v>
      </c>
      <c r="G28" s="137">
        <v>8.67</v>
      </c>
      <c r="H28" s="138">
        <f>Glas!G9</f>
        <v>0</v>
      </c>
      <c r="I28" s="139"/>
      <c r="J28" s="138">
        <f>Glas!I9</f>
        <v>0</v>
      </c>
      <c r="K28" s="71">
        <f>IF(ISBLANK(G28),0,G28)*ROUND(J28,2)</f>
        <v>0</v>
      </c>
      <c r="L28" s="71">
        <f>C28*K28</f>
        <v>0</v>
      </c>
      <c r="M28" s="71">
        <f>L28/12</f>
        <v>0</v>
      </c>
    </row>
    <row r="29" spans="1:13" x14ac:dyDescent="0.2">
      <c r="A29" s="149" t="s">
        <v>1365</v>
      </c>
      <c r="B29" s="83"/>
      <c r="C29" s="83"/>
      <c r="D29" s="83"/>
      <c r="E29" s="83"/>
      <c r="F29" s="83"/>
      <c r="G29" s="83"/>
      <c r="H29" s="83"/>
      <c r="I29" s="83"/>
      <c r="J29" s="83"/>
      <c r="K29" s="85">
        <f>SUM(K27:K28)</f>
        <v>0</v>
      </c>
      <c r="L29" s="85">
        <f>SUM(L27:L28)</f>
        <v>0</v>
      </c>
      <c r="M29" s="141">
        <f>L29/12</f>
        <v>0</v>
      </c>
    </row>
    <row r="31" spans="1:13" x14ac:dyDescent="0.2">
      <c r="A31" s="142" t="s">
        <v>669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143"/>
    </row>
    <row r="32" spans="1:13" x14ac:dyDescent="0.2">
      <c r="A32" s="57" t="s">
        <v>1351</v>
      </c>
      <c r="B32" s="57" t="s">
        <v>19</v>
      </c>
      <c r="C32" s="58">
        <f>IF(ISBLANK(B32),0,IF(ISERROR(VALUE(B32)),VLOOKUP(B32,dagsoorttabel1,2,FALSE)*dagenperjaar1,VALUE(B32)))</f>
        <v>6</v>
      </c>
      <c r="D32" s="57" t="s">
        <v>968</v>
      </c>
      <c r="E32" s="57" t="s">
        <v>1352</v>
      </c>
      <c r="F32" s="57" t="s">
        <v>1235</v>
      </c>
      <c r="G32" s="129">
        <v>69.42</v>
      </c>
      <c r="H32" s="130">
        <f>Glas!G7</f>
        <v>0</v>
      </c>
      <c r="I32" s="151"/>
      <c r="J32" s="130">
        <f>Glas!I7</f>
        <v>0</v>
      </c>
      <c r="K32" s="61">
        <f>IF(ISBLANK(G32),0,G32)*ROUND(J32,2)</f>
        <v>0</v>
      </c>
      <c r="L32" s="61">
        <f>C32*K32</f>
        <v>0</v>
      </c>
      <c r="M32" s="61">
        <f>L32/12</f>
        <v>0</v>
      </c>
    </row>
    <row r="33" spans="1:13" x14ac:dyDescent="0.2">
      <c r="A33" s="62" t="s">
        <v>1353</v>
      </c>
      <c r="B33" s="62" t="s">
        <v>19</v>
      </c>
      <c r="C33" s="63">
        <f>IF(ISBLANK(B33),0,IF(ISERROR(VALUE(B33)),VLOOKUP(B33,dagsoorttabel1,2,FALSE)*dagenperjaar1,VALUE(B33)))</f>
        <v>6</v>
      </c>
      <c r="D33" s="62" t="s">
        <v>968</v>
      </c>
      <c r="E33" s="62" t="s">
        <v>1354</v>
      </c>
      <c r="F33" s="62" t="s">
        <v>1235</v>
      </c>
      <c r="G33" s="132">
        <v>69.42</v>
      </c>
      <c r="H33" s="133">
        <f>Glas!G10</f>
        <v>0</v>
      </c>
      <c r="I33" s="135"/>
      <c r="J33" s="133">
        <f>Glas!I10</f>
        <v>0</v>
      </c>
      <c r="K33" s="66">
        <f>IF(ISBLANK(G33),0,G33)*ROUND(J33,2)</f>
        <v>0</v>
      </c>
      <c r="L33" s="66">
        <f>C33*K33</f>
        <v>0</v>
      </c>
      <c r="M33" s="66">
        <f>L33/12</f>
        <v>0</v>
      </c>
    </row>
    <row r="34" spans="1:13" x14ac:dyDescent="0.2">
      <c r="A34" s="67" t="s">
        <v>1355</v>
      </c>
      <c r="B34" s="67" t="s">
        <v>19</v>
      </c>
      <c r="C34" s="68">
        <f>IF(ISBLANK(B34),0,IF(ISERROR(VALUE(B34)),VLOOKUP(B34,dagsoorttabel1,2,FALSE)*dagenperjaar1,VALUE(B34)))</f>
        <v>6</v>
      </c>
      <c r="D34" s="67" t="s">
        <v>968</v>
      </c>
      <c r="E34" s="67" t="s">
        <v>1356</v>
      </c>
      <c r="F34" s="67" t="s">
        <v>1235</v>
      </c>
      <c r="G34" s="137">
        <v>3.6</v>
      </c>
      <c r="H34" s="138">
        <f>Glas!G14</f>
        <v>0</v>
      </c>
      <c r="I34" s="139"/>
      <c r="J34" s="138">
        <f>Glas!I14</f>
        <v>0</v>
      </c>
      <c r="K34" s="71">
        <f>IF(ISBLANK(G34),0,G34)*ROUND(J34,2)</f>
        <v>0</v>
      </c>
      <c r="L34" s="71">
        <f>C34*K34</f>
        <v>0</v>
      </c>
      <c r="M34" s="71">
        <f>L34/12</f>
        <v>0</v>
      </c>
    </row>
    <row r="35" spans="1:13" x14ac:dyDescent="0.2">
      <c r="A35" s="149" t="s">
        <v>1204</v>
      </c>
      <c r="B35" s="83"/>
      <c r="C35" s="83"/>
      <c r="D35" s="83"/>
      <c r="E35" s="83"/>
      <c r="F35" s="83"/>
      <c r="G35" s="83"/>
      <c r="H35" s="83"/>
      <c r="I35" s="83"/>
      <c r="J35" s="83"/>
      <c r="K35" s="85">
        <f>SUM(K32:K34)</f>
        <v>0</v>
      </c>
      <c r="L35" s="85">
        <f>SUM(L32:L34)</f>
        <v>0</v>
      </c>
      <c r="M35" s="141">
        <f>L35/12</f>
        <v>0</v>
      </c>
    </row>
    <row r="37" spans="1:13" x14ac:dyDescent="0.2">
      <c r="A37" s="142" t="s">
        <v>688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143"/>
    </row>
    <row r="38" spans="1:13" x14ac:dyDescent="0.2">
      <c r="A38" s="57" t="s">
        <v>1351</v>
      </c>
      <c r="B38" s="57" t="s">
        <v>19</v>
      </c>
      <c r="C38" s="58">
        <f>IF(ISBLANK(B38),0,IF(ISERROR(VALUE(B38)),VLOOKUP(B38,dagsoorttabel1,2,FALSE)*dagenperjaar1,VALUE(B38)))</f>
        <v>6</v>
      </c>
      <c r="D38" s="57" t="s">
        <v>968</v>
      </c>
      <c r="E38" s="57" t="s">
        <v>1352</v>
      </c>
      <c r="F38" s="57" t="s">
        <v>1235</v>
      </c>
      <c r="G38" s="129">
        <v>40.630000000000003</v>
      </c>
      <c r="H38" s="130">
        <f>Glas!G7</f>
        <v>0</v>
      </c>
      <c r="I38" s="151"/>
      <c r="J38" s="130">
        <f>Glas!I7</f>
        <v>0</v>
      </c>
      <c r="K38" s="61">
        <f>IF(ISBLANK(G38),0,G38)*ROUND(J38,2)</f>
        <v>0</v>
      </c>
      <c r="L38" s="61">
        <f>C38*K38</f>
        <v>0</v>
      </c>
      <c r="M38" s="61">
        <f>L38/12</f>
        <v>0</v>
      </c>
    </row>
    <row r="39" spans="1:13" x14ac:dyDescent="0.2">
      <c r="A39" s="62" t="s">
        <v>1353</v>
      </c>
      <c r="B39" s="62" t="s">
        <v>19</v>
      </c>
      <c r="C39" s="63">
        <f>IF(ISBLANK(B39),0,IF(ISERROR(VALUE(B39)),VLOOKUP(B39,dagsoorttabel1,2,FALSE)*dagenperjaar1,VALUE(B39)))</f>
        <v>6</v>
      </c>
      <c r="D39" s="62" t="s">
        <v>968</v>
      </c>
      <c r="E39" s="62" t="s">
        <v>1354</v>
      </c>
      <c r="F39" s="62" t="s">
        <v>1235</v>
      </c>
      <c r="G39" s="132">
        <v>40.630000000000003</v>
      </c>
      <c r="H39" s="133">
        <f>Glas!G10</f>
        <v>0</v>
      </c>
      <c r="I39" s="135"/>
      <c r="J39" s="133">
        <f>Glas!I10</f>
        <v>0</v>
      </c>
      <c r="K39" s="66">
        <f>IF(ISBLANK(G39),0,G39)*ROUND(J39,2)</f>
        <v>0</v>
      </c>
      <c r="L39" s="66">
        <f>C39*K39</f>
        <v>0</v>
      </c>
      <c r="M39" s="66">
        <f>L39/12</f>
        <v>0</v>
      </c>
    </row>
    <row r="40" spans="1:13" x14ac:dyDescent="0.2">
      <c r="A40" s="67" t="s">
        <v>1355</v>
      </c>
      <c r="B40" s="67" t="s">
        <v>19</v>
      </c>
      <c r="C40" s="68">
        <f>IF(ISBLANK(B40),0,IF(ISERROR(VALUE(B40)),VLOOKUP(B40,dagsoorttabel1,2,FALSE)*dagenperjaar1,VALUE(B40)))</f>
        <v>6</v>
      </c>
      <c r="D40" s="67" t="s">
        <v>968</v>
      </c>
      <c r="E40" s="67" t="s">
        <v>1356</v>
      </c>
      <c r="F40" s="67" t="s">
        <v>1235</v>
      </c>
      <c r="G40" s="137">
        <v>28.8</v>
      </c>
      <c r="H40" s="138">
        <f>Glas!G14</f>
        <v>0</v>
      </c>
      <c r="I40" s="139"/>
      <c r="J40" s="138">
        <f>Glas!I14</f>
        <v>0</v>
      </c>
      <c r="K40" s="71">
        <f>IF(ISBLANK(G40),0,G40)*ROUND(J40,2)</f>
        <v>0</v>
      </c>
      <c r="L40" s="71">
        <f>C40*K40</f>
        <v>0</v>
      </c>
      <c r="M40" s="71">
        <f>L40/12</f>
        <v>0</v>
      </c>
    </row>
    <row r="41" spans="1:13" x14ac:dyDescent="0.2">
      <c r="A41" s="149" t="s">
        <v>1206</v>
      </c>
      <c r="B41" s="83"/>
      <c r="C41" s="83"/>
      <c r="D41" s="83"/>
      <c r="E41" s="83"/>
      <c r="F41" s="83"/>
      <c r="G41" s="83"/>
      <c r="H41" s="83"/>
      <c r="I41" s="83"/>
      <c r="J41" s="83"/>
      <c r="K41" s="85">
        <f>SUM(K38:K40)</f>
        <v>0</v>
      </c>
      <c r="L41" s="85">
        <f>SUM(L38:L40)</f>
        <v>0</v>
      </c>
      <c r="M41" s="141">
        <f>L41/12</f>
        <v>0</v>
      </c>
    </row>
    <row r="43" spans="1:13" x14ac:dyDescent="0.2">
      <c r="A43" s="142" t="s">
        <v>701</v>
      </c>
      <c r="B43" s="83"/>
      <c r="C43" s="83"/>
      <c r="D43" s="83"/>
      <c r="E43" s="83"/>
      <c r="F43" s="83"/>
      <c r="G43" s="83"/>
      <c r="H43" s="83"/>
      <c r="I43" s="83"/>
      <c r="J43" s="83"/>
      <c r="K43" s="83"/>
      <c r="L43" s="83"/>
      <c r="M43" s="143"/>
    </row>
    <row r="44" spans="1:13" x14ac:dyDescent="0.2">
      <c r="A44" s="57" t="s">
        <v>1351</v>
      </c>
      <c r="B44" s="57" t="s">
        <v>19</v>
      </c>
      <c r="C44" s="58">
        <f>IF(ISBLANK(B44),0,IF(ISERROR(VALUE(B44)),VLOOKUP(B44,dagsoorttabel1,2,FALSE)*dagenperjaar1,VALUE(B44)))</f>
        <v>6</v>
      </c>
      <c r="D44" s="57" t="s">
        <v>968</v>
      </c>
      <c r="E44" s="57" t="s">
        <v>1352</v>
      </c>
      <c r="F44" s="57" t="s">
        <v>1235</v>
      </c>
      <c r="G44" s="129">
        <v>69.540000000000006</v>
      </c>
      <c r="H44" s="130">
        <f>Glas!G7</f>
        <v>0</v>
      </c>
      <c r="I44" s="151"/>
      <c r="J44" s="130">
        <f>Glas!I7</f>
        <v>0</v>
      </c>
      <c r="K44" s="61">
        <f>IF(ISBLANK(G44),0,G44)*ROUND(J44,2)</f>
        <v>0</v>
      </c>
      <c r="L44" s="61">
        <f>C44*K44</f>
        <v>0</v>
      </c>
      <c r="M44" s="61">
        <f>L44/12</f>
        <v>0</v>
      </c>
    </row>
    <row r="45" spans="1:13" x14ac:dyDescent="0.2">
      <c r="A45" s="62" t="s">
        <v>1353</v>
      </c>
      <c r="B45" s="62" t="s">
        <v>19</v>
      </c>
      <c r="C45" s="63">
        <f>IF(ISBLANK(B45),0,IF(ISERROR(VALUE(B45)),VLOOKUP(B45,dagsoorttabel1,2,FALSE)*dagenperjaar1,VALUE(B45)))</f>
        <v>6</v>
      </c>
      <c r="D45" s="62" t="s">
        <v>968</v>
      </c>
      <c r="E45" s="62" t="s">
        <v>1354</v>
      </c>
      <c r="F45" s="62" t="s">
        <v>1235</v>
      </c>
      <c r="G45" s="132">
        <v>69.540000000000006</v>
      </c>
      <c r="H45" s="133">
        <f>Glas!G10</f>
        <v>0</v>
      </c>
      <c r="I45" s="135"/>
      <c r="J45" s="133">
        <f>Glas!I10</f>
        <v>0</v>
      </c>
      <c r="K45" s="66">
        <f>IF(ISBLANK(G45),0,G45)*ROUND(J45,2)</f>
        <v>0</v>
      </c>
      <c r="L45" s="66">
        <f>C45*K45</f>
        <v>0</v>
      </c>
      <c r="M45" s="66">
        <f>L45/12</f>
        <v>0</v>
      </c>
    </row>
    <row r="46" spans="1:13" x14ac:dyDescent="0.2">
      <c r="A46" s="67" t="s">
        <v>1355</v>
      </c>
      <c r="B46" s="67" t="s">
        <v>19</v>
      </c>
      <c r="C46" s="68">
        <f>IF(ISBLANK(B46),0,IF(ISERROR(VALUE(B46)),VLOOKUP(B46,dagsoorttabel1,2,FALSE)*dagenperjaar1,VALUE(B46)))</f>
        <v>6</v>
      </c>
      <c r="D46" s="67" t="s">
        <v>968</v>
      </c>
      <c r="E46" s="67" t="s">
        <v>1356</v>
      </c>
      <c r="F46" s="67" t="s">
        <v>1235</v>
      </c>
      <c r="G46" s="137">
        <v>19.100000000000001</v>
      </c>
      <c r="H46" s="138">
        <f>Glas!G14</f>
        <v>0</v>
      </c>
      <c r="I46" s="139"/>
      <c r="J46" s="138">
        <f>Glas!I14</f>
        <v>0</v>
      </c>
      <c r="K46" s="71">
        <f>IF(ISBLANK(G46),0,G46)*ROUND(J46,2)</f>
        <v>0</v>
      </c>
      <c r="L46" s="71">
        <f>C46*K46</f>
        <v>0</v>
      </c>
      <c r="M46" s="71">
        <f>L46/12</f>
        <v>0</v>
      </c>
    </row>
    <row r="47" spans="1:13" x14ac:dyDescent="0.2">
      <c r="A47" s="149" t="s">
        <v>1207</v>
      </c>
      <c r="B47" s="83"/>
      <c r="C47" s="83"/>
      <c r="D47" s="83"/>
      <c r="E47" s="83"/>
      <c r="F47" s="83"/>
      <c r="G47" s="83"/>
      <c r="H47" s="83"/>
      <c r="I47" s="83"/>
      <c r="J47" s="83"/>
      <c r="K47" s="85">
        <f>SUM(K44:K46)</f>
        <v>0</v>
      </c>
      <c r="L47" s="85">
        <f>SUM(L44:L46)</f>
        <v>0</v>
      </c>
      <c r="M47" s="141">
        <f>L47/12</f>
        <v>0</v>
      </c>
    </row>
    <row r="49" spans="1:13" x14ac:dyDescent="0.2">
      <c r="A49" s="142" t="s">
        <v>704</v>
      </c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143"/>
    </row>
    <row r="50" spans="1:13" x14ac:dyDescent="0.2">
      <c r="A50" s="57" t="s">
        <v>1351</v>
      </c>
      <c r="B50" s="57" t="s">
        <v>19</v>
      </c>
      <c r="C50" s="58">
        <f>IF(ISBLANK(B50),0,IF(ISERROR(VALUE(B50)),VLOOKUP(B50,dagsoorttabel1,2,FALSE)*dagenperjaar1,VALUE(B50)))</f>
        <v>6</v>
      </c>
      <c r="D50" s="57" t="s">
        <v>968</v>
      </c>
      <c r="E50" s="57" t="s">
        <v>1352</v>
      </c>
      <c r="F50" s="57" t="s">
        <v>1235</v>
      </c>
      <c r="G50" s="129">
        <v>25.830000000000002</v>
      </c>
      <c r="H50" s="130">
        <f>Glas!G7</f>
        <v>0</v>
      </c>
      <c r="I50" s="151"/>
      <c r="J50" s="130">
        <f>Glas!I7</f>
        <v>0</v>
      </c>
      <c r="K50" s="61">
        <f>IF(ISBLANK(G50),0,G50)*ROUND(J50,2)</f>
        <v>0</v>
      </c>
      <c r="L50" s="61">
        <f>C50*K50</f>
        <v>0</v>
      </c>
      <c r="M50" s="61">
        <f>L50/12</f>
        <v>0</v>
      </c>
    </row>
    <row r="51" spans="1:13" x14ac:dyDescent="0.2">
      <c r="A51" s="62" t="s">
        <v>1353</v>
      </c>
      <c r="B51" s="62" t="s">
        <v>19</v>
      </c>
      <c r="C51" s="63">
        <f>IF(ISBLANK(B51),0,IF(ISERROR(VALUE(B51)),VLOOKUP(B51,dagsoorttabel1,2,FALSE)*dagenperjaar1,VALUE(B51)))</f>
        <v>6</v>
      </c>
      <c r="D51" s="62" t="s">
        <v>968</v>
      </c>
      <c r="E51" s="62" t="s">
        <v>1354</v>
      </c>
      <c r="F51" s="62" t="s">
        <v>1235</v>
      </c>
      <c r="G51" s="132">
        <v>25.830000000000002</v>
      </c>
      <c r="H51" s="133">
        <f>Glas!G10</f>
        <v>0</v>
      </c>
      <c r="I51" s="135"/>
      <c r="J51" s="133">
        <f>Glas!I10</f>
        <v>0</v>
      </c>
      <c r="K51" s="66">
        <f>IF(ISBLANK(G51),0,G51)*ROUND(J51,2)</f>
        <v>0</v>
      </c>
      <c r="L51" s="66">
        <f>C51*K51</f>
        <v>0</v>
      </c>
      <c r="M51" s="66">
        <f>L51/12</f>
        <v>0</v>
      </c>
    </row>
    <row r="52" spans="1:13" x14ac:dyDescent="0.2">
      <c r="A52" s="67" t="s">
        <v>1355</v>
      </c>
      <c r="B52" s="67" t="s">
        <v>19</v>
      </c>
      <c r="C52" s="68">
        <f>IF(ISBLANK(B52),0,IF(ISERROR(VALUE(B52)),VLOOKUP(B52,dagsoorttabel1,2,FALSE)*dagenperjaar1,VALUE(B52)))</f>
        <v>6</v>
      </c>
      <c r="D52" s="67" t="s">
        <v>968</v>
      </c>
      <c r="E52" s="67" t="s">
        <v>1356</v>
      </c>
      <c r="F52" s="67" t="s">
        <v>1235</v>
      </c>
      <c r="G52" s="137">
        <v>3.8</v>
      </c>
      <c r="H52" s="138">
        <f>Glas!G14</f>
        <v>0</v>
      </c>
      <c r="I52" s="139"/>
      <c r="J52" s="138">
        <f>Glas!I14</f>
        <v>0</v>
      </c>
      <c r="K52" s="71">
        <f>IF(ISBLANK(G52),0,G52)*ROUND(J52,2)</f>
        <v>0</v>
      </c>
      <c r="L52" s="71">
        <f>C52*K52</f>
        <v>0</v>
      </c>
      <c r="M52" s="71">
        <f>L52/12</f>
        <v>0</v>
      </c>
    </row>
    <row r="53" spans="1:13" x14ac:dyDescent="0.2">
      <c r="A53" s="149" t="s">
        <v>1208</v>
      </c>
      <c r="B53" s="83"/>
      <c r="C53" s="83"/>
      <c r="D53" s="83"/>
      <c r="E53" s="83"/>
      <c r="F53" s="83"/>
      <c r="G53" s="83"/>
      <c r="H53" s="83"/>
      <c r="I53" s="83"/>
      <c r="J53" s="83"/>
      <c r="K53" s="85">
        <f>SUM(K50:K52)</f>
        <v>0</v>
      </c>
      <c r="L53" s="85">
        <f>SUM(L50:L52)</f>
        <v>0</v>
      </c>
      <c r="M53" s="141">
        <f>L53/12</f>
        <v>0</v>
      </c>
    </row>
    <row r="55" spans="1:13" x14ac:dyDescent="0.2">
      <c r="A55" s="142" t="s">
        <v>752</v>
      </c>
      <c r="B55" s="83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143"/>
    </row>
    <row r="56" spans="1:13" x14ac:dyDescent="0.2">
      <c r="A56" s="57" t="s">
        <v>1351</v>
      </c>
      <c r="B56" s="57" t="s">
        <v>22</v>
      </c>
      <c r="C56" s="58">
        <f>IF(ISBLANK(B56),0,IF(ISERROR(VALUE(B56)),VLOOKUP(B56,dagsoorttabel1,2,FALSE)*dagenperjaar1,VALUE(B56)))</f>
        <v>2</v>
      </c>
      <c r="D56" s="57" t="s">
        <v>968</v>
      </c>
      <c r="E56" s="57" t="s">
        <v>1352</v>
      </c>
      <c r="F56" s="57" t="s">
        <v>1235</v>
      </c>
      <c r="G56" s="129">
        <v>8</v>
      </c>
      <c r="H56" s="130">
        <f>Glas!G6</f>
        <v>0</v>
      </c>
      <c r="I56" s="151"/>
      <c r="J56" s="130">
        <f>Glas!I6</f>
        <v>0</v>
      </c>
      <c r="K56" s="61">
        <f>IF(ISBLANK(G56),0,G56)*ROUND(J56,2)</f>
        <v>0</v>
      </c>
      <c r="L56" s="61">
        <f>C56*K56</f>
        <v>0</v>
      </c>
      <c r="M56" s="61">
        <f>L56/12</f>
        <v>0</v>
      </c>
    </row>
    <row r="57" spans="1:13" x14ac:dyDescent="0.2">
      <c r="A57" s="67" t="s">
        <v>1353</v>
      </c>
      <c r="B57" s="67" t="s">
        <v>22</v>
      </c>
      <c r="C57" s="68">
        <f>IF(ISBLANK(B57),0,IF(ISERROR(VALUE(B57)),VLOOKUP(B57,dagsoorttabel1,2,FALSE)*dagenperjaar1,VALUE(B57)))</f>
        <v>2</v>
      </c>
      <c r="D57" s="67" t="s">
        <v>968</v>
      </c>
      <c r="E57" s="67" t="s">
        <v>1354</v>
      </c>
      <c r="F57" s="67" t="s">
        <v>1235</v>
      </c>
      <c r="G57" s="137">
        <v>8</v>
      </c>
      <c r="H57" s="138">
        <f>Glas!G9</f>
        <v>0</v>
      </c>
      <c r="I57" s="139"/>
      <c r="J57" s="138">
        <f>Glas!I9</f>
        <v>0</v>
      </c>
      <c r="K57" s="71">
        <f>IF(ISBLANK(G57),0,G57)*ROUND(J57,2)</f>
        <v>0</v>
      </c>
      <c r="L57" s="71">
        <f>C57*K57</f>
        <v>0</v>
      </c>
      <c r="M57" s="71">
        <f>L57/12</f>
        <v>0</v>
      </c>
    </row>
    <row r="58" spans="1:13" x14ac:dyDescent="0.2">
      <c r="A58" s="149" t="s">
        <v>1366</v>
      </c>
      <c r="B58" s="83"/>
      <c r="C58" s="83"/>
      <c r="D58" s="83"/>
      <c r="E58" s="83"/>
      <c r="F58" s="83"/>
      <c r="G58" s="83"/>
      <c r="H58" s="83"/>
      <c r="I58" s="83"/>
      <c r="J58" s="83"/>
      <c r="K58" s="85">
        <f>SUM(K56:K57)</f>
        <v>0</v>
      </c>
      <c r="L58" s="85">
        <f>SUM(L56:L57)</f>
        <v>0</v>
      </c>
      <c r="M58" s="141">
        <f>L58/12</f>
        <v>0</v>
      </c>
    </row>
    <row r="60" spans="1:13" x14ac:dyDescent="0.2">
      <c r="A60" s="142" t="s">
        <v>754</v>
      </c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143"/>
    </row>
    <row r="61" spans="1:13" x14ac:dyDescent="0.2">
      <c r="A61" s="57" t="s">
        <v>1351</v>
      </c>
      <c r="B61" s="57" t="s">
        <v>22</v>
      </c>
      <c r="C61" s="58">
        <f>IF(ISBLANK(B61),0,IF(ISERROR(VALUE(B61)),VLOOKUP(B61,dagsoorttabel1,2,FALSE)*dagenperjaar1,VALUE(B61)))</f>
        <v>2</v>
      </c>
      <c r="D61" s="57" t="s">
        <v>968</v>
      </c>
      <c r="E61" s="57" t="s">
        <v>1352</v>
      </c>
      <c r="F61" s="57" t="s">
        <v>1235</v>
      </c>
      <c r="G61" s="129">
        <v>8.5</v>
      </c>
      <c r="H61" s="130">
        <f>Glas!G6</f>
        <v>0</v>
      </c>
      <c r="I61" s="151"/>
      <c r="J61" s="130">
        <f>Glas!I6</f>
        <v>0</v>
      </c>
      <c r="K61" s="61">
        <f>IF(ISBLANK(G61),0,G61)*ROUND(J61,2)</f>
        <v>0</v>
      </c>
      <c r="L61" s="61">
        <f>C61*K61</f>
        <v>0</v>
      </c>
      <c r="M61" s="61">
        <f>L61/12</f>
        <v>0</v>
      </c>
    </row>
    <row r="62" spans="1:13" x14ac:dyDescent="0.2">
      <c r="A62" s="67" t="s">
        <v>1353</v>
      </c>
      <c r="B62" s="67" t="s">
        <v>22</v>
      </c>
      <c r="C62" s="68">
        <f>IF(ISBLANK(B62),0,IF(ISERROR(VALUE(B62)),VLOOKUP(B62,dagsoorttabel1,2,FALSE)*dagenperjaar1,VALUE(B62)))</f>
        <v>2</v>
      </c>
      <c r="D62" s="67" t="s">
        <v>968</v>
      </c>
      <c r="E62" s="67" t="s">
        <v>1354</v>
      </c>
      <c r="F62" s="67" t="s">
        <v>1235</v>
      </c>
      <c r="G62" s="137">
        <v>8.5</v>
      </c>
      <c r="H62" s="138">
        <f>Glas!G9</f>
        <v>0</v>
      </c>
      <c r="I62" s="139"/>
      <c r="J62" s="138">
        <f>Glas!I9</f>
        <v>0</v>
      </c>
      <c r="K62" s="71">
        <f>IF(ISBLANK(G62),0,G62)*ROUND(J62,2)</f>
        <v>0</v>
      </c>
      <c r="L62" s="71">
        <f>C62*K62</f>
        <v>0</v>
      </c>
      <c r="M62" s="71">
        <f>L62/12</f>
        <v>0</v>
      </c>
    </row>
    <row r="63" spans="1:13" x14ac:dyDescent="0.2">
      <c r="A63" s="149" t="s">
        <v>1367</v>
      </c>
      <c r="B63" s="83"/>
      <c r="C63" s="83"/>
      <c r="D63" s="83"/>
      <c r="E63" s="83"/>
      <c r="F63" s="83"/>
      <c r="G63" s="83"/>
      <c r="H63" s="83"/>
      <c r="I63" s="83"/>
      <c r="J63" s="83"/>
      <c r="K63" s="85">
        <f>SUM(K61:K62)</f>
        <v>0</v>
      </c>
      <c r="L63" s="85">
        <f>SUM(L61:L62)</f>
        <v>0</v>
      </c>
      <c r="M63" s="141">
        <f>L63/12</f>
        <v>0</v>
      </c>
    </row>
    <row r="65" spans="1:13" x14ac:dyDescent="0.2">
      <c r="A65" s="142" t="s">
        <v>756</v>
      </c>
      <c r="B65" s="83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143"/>
    </row>
    <row r="66" spans="1:13" x14ac:dyDescent="0.2">
      <c r="A66" s="57" t="s">
        <v>1351</v>
      </c>
      <c r="B66" s="57" t="s">
        <v>22</v>
      </c>
      <c r="C66" s="58">
        <f>IF(ISBLANK(B66),0,IF(ISERROR(VALUE(B66)),VLOOKUP(B66,dagsoorttabel1,2,FALSE)*dagenperjaar1,VALUE(B66)))</f>
        <v>2</v>
      </c>
      <c r="D66" s="57" t="s">
        <v>968</v>
      </c>
      <c r="E66" s="57" t="s">
        <v>1352</v>
      </c>
      <c r="F66" s="57" t="s">
        <v>1235</v>
      </c>
      <c r="G66" s="129">
        <v>4.5999999999999996</v>
      </c>
      <c r="H66" s="130">
        <f>Glas!G6</f>
        <v>0</v>
      </c>
      <c r="I66" s="151"/>
      <c r="J66" s="130">
        <f>Glas!I6</f>
        <v>0</v>
      </c>
      <c r="K66" s="61">
        <f>IF(ISBLANK(G66),0,G66)*ROUND(J66,2)</f>
        <v>0</v>
      </c>
      <c r="L66" s="61">
        <f>C66*K66</f>
        <v>0</v>
      </c>
      <c r="M66" s="61">
        <f>L66/12</f>
        <v>0</v>
      </c>
    </row>
    <row r="67" spans="1:13" x14ac:dyDescent="0.2">
      <c r="A67" s="67" t="s">
        <v>1353</v>
      </c>
      <c r="B67" s="67" t="s">
        <v>22</v>
      </c>
      <c r="C67" s="68">
        <f>IF(ISBLANK(B67),0,IF(ISERROR(VALUE(B67)),VLOOKUP(B67,dagsoorttabel1,2,FALSE)*dagenperjaar1,VALUE(B67)))</f>
        <v>2</v>
      </c>
      <c r="D67" s="67" t="s">
        <v>968</v>
      </c>
      <c r="E67" s="67" t="s">
        <v>1354</v>
      </c>
      <c r="F67" s="67" t="s">
        <v>1235</v>
      </c>
      <c r="G67" s="137">
        <v>4.5999999999999996</v>
      </c>
      <c r="H67" s="138">
        <f>Glas!G9</f>
        <v>0</v>
      </c>
      <c r="I67" s="139"/>
      <c r="J67" s="138">
        <f>Glas!I9</f>
        <v>0</v>
      </c>
      <c r="K67" s="71">
        <f>IF(ISBLANK(G67),0,G67)*ROUND(J67,2)</f>
        <v>0</v>
      </c>
      <c r="L67" s="71">
        <f>C67*K67</f>
        <v>0</v>
      </c>
      <c r="M67" s="71">
        <f>L67/12</f>
        <v>0</v>
      </c>
    </row>
    <row r="68" spans="1:13" x14ac:dyDescent="0.2">
      <c r="A68" s="149" t="s">
        <v>1368</v>
      </c>
      <c r="B68" s="83"/>
      <c r="C68" s="83"/>
      <c r="D68" s="83"/>
      <c r="E68" s="83"/>
      <c r="F68" s="83"/>
      <c r="G68" s="83"/>
      <c r="H68" s="83"/>
      <c r="I68" s="83"/>
      <c r="J68" s="83"/>
      <c r="K68" s="85">
        <f>SUM(K66:K67)</f>
        <v>0</v>
      </c>
      <c r="L68" s="85">
        <f>SUM(L66:L67)</f>
        <v>0</v>
      </c>
      <c r="M68" s="141">
        <f>L68/12</f>
        <v>0</v>
      </c>
    </row>
    <row r="70" spans="1:13" x14ac:dyDescent="0.2">
      <c r="A70" s="142" t="s">
        <v>758</v>
      </c>
      <c r="B70" s="83"/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143"/>
    </row>
    <row r="71" spans="1:13" x14ac:dyDescent="0.2">
      <c r="A71" s="57" t="s">
        <v>1351</v>
      </c>
      <c r="B71" s="57" t="s">
        <v>22</v>
      </c>
      <c r="C71" s="58">
        <f>IF(ISBLANK(B71),0,IF(ISERROR(VALUE(B71)),VLOOKUP(B71,dagsoorttabel1,2,FALSE)*dagenperjaar1,VALUE(B71)))</f>
        <v>2</v>
      </c>
      <c r="D71" s="57" t="s">
        <v>968</v>
      </c>
      <c r="E71" s="57" t="s">
        <v>1352</v>
      </c>
      <c r="F71" s="57" t="s">
        <v>1235</v>
      </c>
      <c r="G71" s="129">
        <v>5.6</v>
      </c>
      <c r="H71" s="130">
        <f>Glas!G6</f>
        <v>0</v>
      </c>
      <c r="I71" s="151"/>
      <c r="J71" s="130">
        <f>Glas!I6</f>
        <v>0</v>
      </c>
      <c r="K71" s="61">
        <f>IF(ISBLANK(G71),0,G71)*ROUND(J71,2)</f>
        <v>0</v>
      </c>
      <c r="L71" s="61">
        <f>C71*K71</f>
        <v>0</v>
      </c>
      <c r="M71" s="61">
        <f>L71/12</f>
        <v>0</v>
      </c>
    </row>
    <row r="72" spans="1:13" x14ac:dyDescent="0.2">
      <c r="A72" s="67" t="s">
        <v>1353</v>
      </c>
      <c r="B72" s="67" t="s">
        <v>22</v>
      </c>
      <c r="C72" s="68">
        <f>IF(ISBLANK(B72),0,IF(ISERROR(VALUE(B72)),VLOOKUP(B72,dagsoorttabel1,2,FALSE)*dagenperjaar1,VALUE(B72)))</f>
        <v>2</v>
      </c>
      <c r="D72" s="67" t="s">
        <v>968</v>
      </c>
      <c r="E72" s="67" t="s">
        <v>1354</v>
      </c>
      <c r="F72" s="67" t="s">
        <v>1235</v>
      </c>
      <c r="G72" s="137">
        <v>5.6</v>
      </c>
      <c r="H72" s="138">
        <f>Glas!G9</f>
        <v>0</v>
      </c>
      <c r="I72" s="139"/>
      <c r="J72" s="138">
        <f>Glas!I9</f>
        <v>0</v>
      </c>
      <c r="K72" s="71">
        <f>IF(ISBLANK(G72),0,G72)*ROUND(J72,2)</f>
        <v>0</v>
      </c>
      <c r="L72" s="71">
        <f>C72*K72</f>
        <v>0</v>
      </c>
      <c r="M72" s="71">
        <f>L72/12</f>
        <v>0</v>
      </c>
    </row>
    <row r="73" spans="1:13" x14ac:dyDescent="0.2">
      <c r="A73" s="149" t="s">
        <v>1369</v>
      </c>
      <c r="B73" s="83"/>
      <c r="C73" s="83"/>
      <c r="D73" s="83"/>
      <c r="E73" s="83"/>
      <c r="F73" s="83"/>
      <c r="G73" s="83"/>
      <c r="H73" s="83"/>
      <c r="I73" s="83"/>
      <c r="J73" s="83"/>
      <c r="K73" s="85">
        <f>SUM(K71:K72)</f>
        <v>0</v>
      </c>
      <c r="L73" s="85">
        <f>SUM(L71:L72)</f>
        <v>0</v>
      </c>
      <c r="M73" s="141">
        <f>L73/12</f>
        <v>0</v>
      </c>
    </row>
    <row r="75" spans="1:13" x14ac:dyDescent="0.2">
      <c r="A75" s="142" t="s">
        <v>760</v>
      </c>
      <c r="B75" s="83"/>
      <c r="C75" s="83"/>
      <c r="D75" s="83"/>
      <c r="E75" s="83"/>
      <c r="F75" s="83"/>
      <c r="G75" s="83"/>
      <c r="H75" s="83"/>
      <c r="I75" s="83"/>
      <c r="J75" s="83"/>
      <c r="K75" s="83"/>
      <c r="L75" s="83"/>
      <c r="M75" s="143"/>
    </row>
    <row r="76" spans="1:13" x14ac:dyDescent="0.2">
      <c r="A76" s="57" t="s">
        <v>1351</v>
      </c>
      <c r="B76" s="57" t="s">
        <v>22</v>
      </c>
      <c r="C76" s="58">
        <f>IF(ISBLANK(B76),0,IF(ISERROR(VALUE(B76)),VLOOKUP(B76,dagsoorttabel1,2,FALSE)*dagenperjaar1,VALUE(B76)))</f>
        <v>2</v>
      </c>
      <c r="D76" s="57" t="s">
        <v>968</v>
      </c>
      <c r="E76" s="57" t="s">
        <v>1352</v>
      </c>
      <c r="F76" s="57" t="s">
        <v>1235</v>
      </c>
      <c r="G76" s="129">
        <v>2.9</v>
      </c>
      <c r="H76" s="130">
        <f>Glas!G6</f>
        <v>0</v>
      </c>
      <c r="I76" s="151"/>
      <c r="J76" s="130">
        <f>Glas!I6</f>
        <v>0</v>
      </c>
      <c r="K76" s="61">
        <f>IF(ISBLANK(G76),0,G76)*ROUND(J76,2)</f>
        <v>0</v>
      </c>
      <c r="L76" s="61">
        <f>C76*K76</f>
        <v>0</v>
      </c>
      <c r="M76" s="61">
        <f>L76/12</f>
        <v>0</v>
      </c>
    </row>
    <row r="77" spans="1:13" x14ac:dyDescent="0.2">
      <c r="A77" s="67" t="s">
        <v>1353</v>
      </c>
      <c r="B77" s="67" t="s">
        <v>22</v>
      </c>
      <c r="C77" s="68">
        <f>IF(ISBLANK(B77),0,IF(ISERROR(VALUE(B77)),VLOOKUP(B77,dagsoorttabel1,2,FALSE)*dagenperjaar1,VALUE(B77)))</f>
        <v>2</v>
      </c>
      <c r="D77" s="67" t="s">
        <v>968</v>
      </c>
      <c r="E77" s="67" t="s">
        <v>1354</v>
      </c>
      <c r="F77" s="67" t="s">
        <v>1235</v>
      </c>
      <c r="G77" s="137">
        <v>2.9</v>
      </c>
      <c r="H77" s="138">
        <f>Glas!G9</f>
        <v>0</v>
      </c>
      <c r="I77" s="139"/>
      <c r="J77" s="138">
        <f>Glas!I9</f>
        <v>0</v>
      </c>
      <c r="K77" s="71">
        <f>IF(ISBLANK(G77),0,G77)*ROUND(J77,2)</f>
        <v>0</v>
      </c>
      <c r="L77" s="71">
        <f>C77*K77</f>
        <v>0</v>
      </c>
      <c r="M77" s="71">
        <f>L77/12</f>
        <v>0</v>
      </c>
    </row>
    <row r="78" spans="1:13" x14ac:dyDescent="0.2">
      <c r="A78" s="149" t="s">
        <v>1370</v>
      </c>
      <c r="B78" s="83"/>
      <c r="C78" s="83"/>
      <c r="D78" s="83"/>
      <c r="E78" s="83"/>
      <c r="F78" s="83"/>
      <c r="G78" s="83"/>
      <c r="H78" s="83"/>
      <c r="I78" s="83"/>
      <c r="J78" s="83"/>
      <c r="K78" s="85">
        <f>SUM(K76:K77)</f>
        <v>0</v>
      </c>
      <c r="L78" s="85">
        <f>SUM(L76:L77)</f>
        <v>0</v>
      </c>
      <c r="M78" s="141">
        <f>L78/12</f>
        <v>0</v>
      </c>
    </row>
    <row r="80" spans="1:13" x14ac:dyDescent="0.2">
      <c r="A80" s="142" t="s">
        <v>762</v>
      </c>
      <c r="B80" s="83"/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143"/>
    </row>
    <row r="81" spans="1:13" x14ac:dyDescent="0.2">
      <c r="A81" s="57" t="s">
        <v>1351</v>
      </c>
      <c r="B81" s="57" t="s">
        <v>22</v>
      </c>
      <c r="C81" s="58">
        <f>IF(ISBLANK(B81),0,IF(ISERROR(VALUE(B81)),VLOOKUP(B81,dagsoorttabel1,2,FALSE)*dagenperjaar1,VALUE(B81)))</f>
        <v>2</v>
      </c>
      <c r="D81" s="57" t="s">
        <v>968</v>
      </c>
      <c r="E81" s="57" t="s">
        <v>1352</v>
      </c>
      <c r="F81" s="57" t="s">
        <v>1235</v>
      </c>
      <c r="G81" s="129">
        <v>23.1</v>
      </c>
      <c r="H81" s="130">
        <f>Glas!G6</f>
        <v>0</v>
      </c>
      <c r="I81" s="151"/>
      <c r="J81" s="130">
        <f>Glas!I6</f>
        <v>0</v>
      </c>
      <c r="K81" s="61">
        <f>IF(ISBLANK(G81),0,G81)*ROUND(J81,2)</f>
        <v>0</v>
      </c>
      <c r="L81" s="61">
        <f>C81*K81</f>
        <v>0</v>
      </c>
      <c r="M81" s="61">
        <f>L81/12</f>
        <v>0</v>
      </c>
    </row>
    <row r="82" spans="1:13" x14ac:dyDescent="0.2">
      <c r="A82" s="62" t="s">
        <v>1353</v>
      </c>
      <c r="B82" s="62" t="s">
        <v>22</v>
      </c>
      <c r="C82" s="63">
        <f>IF(ISBLANK(B82),0,IF(ISERROR(VALUE(B82)),VLOOKUP(B82,dagsoorttabel1,2,FALSE)*dagenperjaar1,VALUE(B82)))</f>
        <v>2</v>
      </c>
      <c r="D82" s="62" t="s">
        <v>968</v>
      </c>
      <c r="E82" s="62" t="s">
        <v>1354</v>
      </c>
      <c r="F82" s="62" t="s">
        <v>1235</v>
      </c>
      <c r="G82" s="132">
        <v>23.1</v>
      </c>
      <c r="H82" s="133">
        <f>Glas!G9</f>
        <v>0</v>
      </c>
      <c r="I82" s="135"/>
      <c r="J82" s="133">
        <f>Glas!I9</f>
        <v>0</v>
      </c>
      <c r="K82" s="66">
        <f>IF(ISBLANK(G82),0,G82)*ROUND(J82,2)</f>
        <v>0</v>
      </c>
      <c r="L82" s="66">
        <f>C82*K82</f>
        <v>0</v>
      </c>
      <c r="M82" s="66">
        <f>L82/12</f>
        <v>0</v>
      </c>
    </row>
    <row r="83" spans="1:13" x14ac:dyDescent="0.2">
      <c r="A83" s="67" t="s">
        <v>1355</v>
      </c>
      <c r="B83" s="67" t="s">
        <v>22</v>
      </c>
      <c r="C83" s="68">
        <f>IF(ISBLANK(B83),0,IF(ISERROR(VALUE(B83)),VLOOKUP(B83,dagsoorttabel1,2,FALSE)*dagenperjaar1,VALUE(B83)))</f>
        <v>2</v>
      </c>
      <c r="D83" s="67" t="s">
        <v>968</v>
      </c>
      <c r="E83" s="67" t="s">
        <v>1356</v>
      </c>
      <c r="F83" s="67" t="s">
        <v>1235</v>
      </c>
      <c r="G83" s="137">
        <v>1.6</v>
      </c>
      <c r="H83" s="138">
        <f>Glas!G13</f>
        <v>0</v>
      </c>
      <c r="I83" s="139"/>
      <c r="J83" s="138">
        <f>Glas!I13</f>
        <v>0</v>
      </c>
      <c r="K83" s="71">
        <f>IF(ISBLANK(G83),0,G83)*ROUND(J83,2)</f>
        <v>0</v>
      </c>
      <c r="L83" s="71">
        <f>C83*K83</f>
        <v>0</v>
      </c>
      <c r="M83" s="71">
        <f>L83/12</f>
        <v>0</v>
      </c>
    </row>
    <row r="84" spans="1:13" x14ac:dyDescent="0.2">
      <c r="A84" s="149" t="s">
        <v>1371</v>
      </c>
      <c r="B84" s="83"/>
      <c r="C84" s="83"/>
      <c r="D84" s="83"/>
      <c r="E84" s="83"/>
      <c r="F84" s="83"/>
      <c r="G84" s="83"/>
      <c r="H84" s="83"/>
      <c r="I84" s="83"/>
      <c r="J84" s="83"/>
      <c r="K84" s="85">
        <f>SUM(K81:K83)</f>
        <v>0</v>
      </c>
      <c r="L84" s="85">
        <f>SUM(L81:L83)</f>
        <v>0</v>
      </c>
      <c r="M84" s="141">
        <f>L84/12</f>
        <v>0</v>
      </c>
    </row>
    <row r="86" spans="1:13" x14ac:dyDescent="0.2">
      <c r="A86" s="142" t="s">
        <v>765</v>
      </c>
      <c r="B86" s="83"/>
      <c r="C86" s="83"/>
      <c r="D86" s="83"/>
      <c r="E86" s="83"/>
      <c r="F86" s="83"/>
      <c r="G86" s="83"/>
      <c r="H86" s="83"/>
      <c r="I86" s="83"/>
      <c r="J86" s="83"/>
      <c r="K86" s="83"/>
      <c r="L86" s="83"/>
      <c r="M86" s="143"/>
    </row>
    <row r="87" spans="1:13" x14ac:dyDescent="0.2">
      <c r="A87" s="57" t="s">
        <v>1351</v>
      </c>
      <c r="B87" s="57" t="s">
        <v>22</v>
      </c>
      <c r="C87" s="58">
        <f>IF(ISBLANK(B87),0,IF(ISERROR(VALUE(B87)),VLOOKUP(B87,dagsoorttabel1,2,FALSE)*dagenperjaar1,VALUE(B87)))</f>
        <v>2</v>
      </c>
      <c r="D87" s="57" t="s">
        <v>968</v>
      </c>
      <c r="E87" s="57" t="s">
        <v>1352</v>
      </c>
      <c r="F87" s="57" t="s">
        <v>1235</v>
      </c>
      <c r="G87" s="129">
        <v>26.8</v>
      </c>
      <c r="H87" s="130">
        <f>Glas!G6</f>
        <v>0</v>
      </c>
      <c r="I87" s="151"/>
      <c r="J87" s="130">
        <f>Glas!I6</f>
        <v>0</v>
      </c>
      <c r="K87" s="61">
        <f>IF(ISBLANK(G87),0,G87)*ROUND(J87,2)</f>
        <v>0</v>
      </c>
      <c r="L87" s="61">
        <f>C87*K87</f>
        <v>0</v>
      </c>
      <c r="M87" s="61">
        <f>L87/12</f>
        <v>0</v>
      </c>
    </row>
    <row r="88" spans="1:13" x14ac:dyDescent="0.2">
      <c r="A88" s="62" t="s">
        <v>1353</v>
      </c>
      <c r="B88" s="62" t="s">
        <v>22</v>
      </c>
      <c r="C88" s="63">
        <f>IF(ISBLANK(B88),0,IF(ISERROR(VALUE(B88)),VLOOKUP(B88,dagsoorttabel1,2,FALSE)*dagenperjaar1,VALUE(B88)))</f>
        <v>2</v>
      </c>
      <c r="D88" s="62" t="s">
        <v>968</v>
      </c>
      <c r="E88" s="62" t="s">
        <v>1354</v>
      </c>
      <c r="F88" s="62" t="s">
        <v>1235</v>
      </c>
      <c r="G88" s="132">
        <v>26.8</v>
      </c>
      <c r="H88" s="133">
        <f>Glas!G9</f>
        <v>0</v>
      </c>
      <c r="I88" s="135"/>
      <c r="J88" s="133">
        <f>Glas!I9</f>
        <v>0</v>
      </c>
      <c r="K88" s="66">
        <f>IF(ISBLANK(G88),0,G88)*ROUND(J88,2)</f>
        <v>0</v>
      </c>
      <c r="L88" s="66">
        <f>C88*K88</f>
        <v>0</v>
      </c>
      <c r="M88" s="66">
        <f>L88/12</f>
        <v>0</v>
      </c>
    </row>
    <row r="89" spans="1:13" x14ac:dyDescent="0.2">
      <c r="A89" s="67" t="s">
        <v>1355</v>
      </c>
      <c r="B89" s="67" t="s">
        <v>22</v>
      </c>
      <c r="C89" s="68">
        <f>IF(ISBLANK(B89),0,IF(ISERROR(VALUE(B89)),VLOOKUP(B89,dagsoorttabel1,2,FALSE)*dagenperjaar1,VALUE(B89)))</f>
        <v>2</v>
      </c>
      <c r="D89" s="67" t="s">
        <v>968</v>
      </c>
      <c r="E89" s="67" t="s">
        <v>1356</v>
      </c>
      <c r="F89" s="67" t="s">
        <v>1235</v>
      </c>
      <c r="G89" s="137">
        <v>3.4</v>
      </c>
      <c r="H89" s="138">
        <f>Glas!G13</f>
        <v>0</v>
      </c>
      <c r="I89" s="139"/>
      <c r="J89" s="138">
        <f>Glas!I13</f>
        <v>0</v>
      </c>
      <c r="K89" s="71">
        <f>IF(ISBLANK(G89),0,G89)*ROUND(J89,2)</f>
        <v>0</v>
      </c>
      <c r="L89" s="71">
        <f>C89*K89</f>
        <v>0</v>
      </c>
      <c r="M89" s="71">
        <f>L89/12</f>
        <v>0</v>
      </c>
    </row>
    <row r="90" spans="1:13" x14ac:dyDescent="0.2">
      <c r="A90" s="149" t="s">
        <v>1372</v>
      </c>
      <c r="B90" s="83"/>
      <c r="C90" s="83"/>
      <c r="D90" s="83"/>
      <c r="E90" s="83"/>
      <c r="F90" s="83"/>
      <c r="G90" s="83"/>
      <c r="H90" s="83"/>
      <c r="I90" s="83"/>
      <c r="J90" s="83"/>
      <c r="K90" s="85">
        <f>SUM(K87:K89)</f>
        <v>0</v>
      </c>
      <c r="L90" s="85">
        <f>SUM(L87:L89)</f>
        <v>0</v>
      </c>
      <c r="M90" s="141">
        <f>L90/12</f>
        <v>0</v>
      </c>
    </row>
    <row r="92" spans="1:13" x14ac:dyDescent="0.2">
      <c r="A92" s="142" t="s">
        <v>767</v>
      </c>
      <c r="B92" s="83"/>
      <c r="C92" s="83"/>
      <c r="D92" s="83"/>
      <c r="E92" s="83"/>
      <c r="F92" s="83"/>
      <c r="G92" s="83"/>
      <c r="H92" s="83"/>
      <c r="I92" s="83"/>
      <c r="J92" s="83"/>
      <c r="K92" s="83"/>
      <c r="L92" s="83"/>
      <c r="M92" s="143"/>
    </row>
    <row r="93" spans="1:13" x14ac:dyDescent="0.2">
      <c r="A93" s="57" t="s">
        <v>1351</v>
      </c>
      <c r="B93" s="57" t="s">
        <v>22</v>
      </c>
      <c r="C93" s="58">
        <f>IF(ISBLANK(B93),0,IF(ISERROR(VALUE(B93)),VLOOKUP(B93,dagsoorttabel1,2,FALSE)*dagenperjaar1,VALUE(B93)))</f>
        <v>2</v>
      </c>
      <c r="D93" s="57" t="s">
        <v>968</v>
      </c>
      <c r="E93" s="57" t="s">
        <v>1352</v>
      </c>
      <c r="F93" s="57" t="s">
        <v>1235</v>
      </c>
      <c r="G93" s="129">
        <v>6.3</v>
      </c>
      <c r="H93" s="130">
        <f>Glas!G6</f>
        <v>0</v>
      </c>
      <c r="I93" s="151"/>
      <c r="J93" s="130">
        <f>Glas!I6</f>
        <v>0</v>
      </c>
      <c r="K93" s="61">
        <f>IF(ISBLANK(G93),0,G93)*ROUND(J93,2)</f>
        <v>0</v>
      </c>
      <c r="L93" s="61">
        <f>C93*K93</f>
        <v>0</v>
      </c>
      <c r="M93" s="61">
        <f>L93/12</f>
        <v>0</v>
      </c>
    </row>
    <row r="94" spans="1:13" x14ac:dyDescent="0.2">
      <c r="A94" s="67" t="s">
        <v>1353</v>
      </c>
      <c r="B94" s="67" t="s">
        <v>22</v>
      </c>
      <c r="C94" s="68">
        <f>IF(ISBLANK(B94),0,IF(ISERROR(VALUE(B94)),VLOOKUP(B94,dagsoorttabel1,2,FALSE)*dagenperjaar1,VALUE(B94)))</f>
        <v>2</v>
      </c>
      <c r="D94" s="67" t="s">
        <v>968</v>
      </c>
      <c r="E94" s="67" t="s">
        <v>1354</v>
      </c>
      <c r="F94" s="67" t="s">
        <v>1235</v>
      </c>
      <c r="G94" s="137">
        <v>6.3</v>
      </c>
      <c r="H94" s="138">
        <f>Glas!G9</f>
        <v>0</v>
      </c>
      <c r="I94" s="139"/>
      <c r="J94" s="138">
        <f>Glas!I9</f>
        <v>0</v>
      </c>
      <c r="K94" s="71">
        <f>IF(ISBLANK(G94),0,G94)*ROUND(J94,2)</f>
        <v>0</v>
      </c>
      <c r="L94" s="71">
        <f>C94*K94</f>
        <v>0</v>
      </c>
      <c r="M94" s="71">
        <f>L94/12</f>
        <v>0</v>
      </c>
    </row>
    <row r="95" spans="1:13" x14ac:dyDescent="0.2">
      <c r="A95" s="149" t="s">
        <v>1373</v>
      </c>
      <c r="B95" s="83"/>
      <c r="C95" s="83"/>
      <c r="D95" s="83"/>
      <c r="E95" s="83"/>
      <c r="F95" s="83"/>
      <c r="G95" s="83"/>
      <c r="H95" s="83"/>
      <c r="I95" s="83"/>
      <c r="J95" s="83"/>
      <c r="K95" s="85">
        <f>SUM(K93:K94)</f>
        <v>0</v>
      </c>
      <c r="L95" s="85">
        <f>SUM(L93:L94)</f>
        <v>0</v>
      </c>
      <c r="M95" s="141">
        <f>L95/12</f>
        <v>0</v>
      </c>
    </row>
    <row r="97" spans="1:13" x14ac:dyDescent="0.2">
      <c r="A97" s="142" t="s">
        <v>775</v>
      </c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143"/>
    </row>
    <row r="98" spans="1:13" x14ac:dyDescent="0.2">
      <c r="A98" s="57" t="s">
        <v>1351</v>
      </c>
      <c r="B98" s="57" t="s">
        <v>22</v>
      </c>
      <c r="C98" s="58">
        <f>IF(ISBLANK(B98),0,IF(ISERROR(VALUE(B98)),VLOOKUP(B98,dagsoorttabel1,2,FALSE)*dagenperjaar1,VALUE(B98)))</f>
        <v>2</v>
      </c>
      <c r="D98" s="57" t="s">
        <v>968</v>
      </c>
      <c r="E98" s="57" t="s">
        <v>1352</v>
      </c>
      <c r="F98" s="57" t="s">
        <v>1235</v>
      </c>
      <c r="G98" s="129">
        <v>54.690000000000005</v>
      </c>
      <c r="H98" s="130">
        <f>Glas!G6</f>
        <v>0</v>
      </c>
      <c r="I98" s="151"/>
      <c r="J98" s="130">
        <f>Glas!I6</f>
        <v>0</v>
      </c>
      <c r="K98" s="61">
        <f>IF(ISBLANK(G98),0,G98)*ROUND(J98,2)</f>
        <v>0</v>
      </c>
      <c r="L98" s="61">
        <f>C98*K98</f>
        <v>0</v>
      </c>
      <c r="M98" s="61">
        <f>L98/12</f>
        <v>0</v>
      </c>
    </row>
    <row r="99" spans="1:13" x14ac:dyDescent="0.2">
      <c r="A99" s="67" t="s">
        <v>1353</v>
      </c>
      <c r="B99" s="67" t="s">
        <v>22</v>
      </c>
      <c r="C99" s="68">
        <f>IF(ISBLANK(B99),0,IF(ISERROR(VALUE(B99)),VLOOKUP(B99,dagsoorttabel1,2,FALSE)*dagenperjaar1,VALUE(B99)))</f>
        <v>2</v>
      </c>
      <c r="D99" s="67" t="s">
        <v>968</v>
      </c>
      <c r="E99" s="67" t="s">
        <v>1354</v>
      </c>
      <c r="F99" s="67" t="s">
        <v>1235</v>
      </c>
      <c r="G99" s="137">
        <v>54.690000000000005</v>
      </c>
      <c r="H99" s="138">
        <f>Glas!G9</f>
        <v>0</v>
      </c>
      <c r="I99" s="139"/>
      <c r="J99" s="138">
        <f>Glas!I9</f>
        <v>0</v>
      </c>
      <c r="K99" s="71">
        <f>IF(ISBLANK(G99),0,G99)*ROUND(J99,2)</f>
        <v>0</v>
      </c>
      <c r="L99" s="71">
        <f>C99*K99</f>
        <v>0</v>
      </c>
      <c r="M99" s="71">
        <f>L99/12</f>
        <v>0</v>
      </c>
    </row>
    <row r="100" spans="1:13" x14ac:dyDescent="0.2">
      <c r="A100" s="149" t="s">
        <v>1374</v>
      </c>
      <c r="B100" s="83"/>
      <c r="C100" s="83"/>
      <c r="D100" s="83"/>
      <c r="E100" s="83"/>
      <c r="F100" s="83"/>
      <c r="G100" s="83"/>
      <c r="H100" s="83"/>
      <c r="I100" s="83"/>
      <c r="J100" s="83"/>
      <c r="K100" s="85">
        <f>SUM(K98:K99)</f>
        <v>0</v>
      </c>
      <c r="L100" s="85">
        <f>SUM(L98:L99)</f>
        <v>0</v>
      </c>
      <c r="M100" s="141">
        <f>L100/12</f>
        <v>0</v>
      </c>
    </row>
    <row r="102" spans="1:13" x14ac:dyDescent="0.2">
      <c r="A102" s="142" t="s">
        <v>782</v>
      </c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143"/>
    </row>
    <row r="103" spans="1:13" x14ac:dyDescent="0.2">
      <c r="A103" s="57" t="s">
        <v>1351</v>
      </c>
      <c r="B103" s="57" t="s">
        <v>22</v>
      </c>
      <c r="C103" s="58">
        <f>IF(ISBLANK(B103),0,IF(ISERROR(VALUE(B103)),VLOOKUP(B103,dagsoorttabel1,2,FALSE)*dagenperjaar1,VALUE(B103)))</f>
        <v>2</v>
      </c>
      <c r="D103" s="57" t="s">
        <v>968</v>
      </c>
      <c r="E103" s="57" t="s">
        <v>1352</v>
      </c>
      <c r="F103" s="57" t="s">
        <v>1235</v>
      </c>
      <c r="G103" s="129">
        <v>6</v>
      </c>
      <c r="H103" s="130">
        <f>Glas!G6</f>
        <v>0</v>
      </c>
      <c r="I103" s="151"/>
      <c r="J103" s="130">
        <f>Glas!I6</f>
        <v>0</v>
      </c>
      <c r="K103" s="61">
        <f>IF(ISBLANK(G103),0,G103)*ROUND(J103,2)</f>
        <v>0</v>
      </c>
      <c r="L103" s="61">
        <f>C103*K103</f>
        <v>0</v>
      </c>
      <c r="M103" s="61">
        <f>L103/12</f>
        <v>0</v>
      </c>
    </row>
    <row r="104" spans="1:13" x14ac:dyDescent="0.2">
      <c r="A104" s="67" t="s">
        <v>1353</v>
      </c>
      <c r="B104" s="67" t="s">
        <v>22</v>
      </c>
      <c r="C104" s="68">
        <f>IF(ISBLANK(B104),0,IF(ISERROR(VALUE(B104)),VLOOKUP(B104,dagsoorttabel1,2,FALSE)*dagenperjaar1,VALUE(B104)))</f>
        <v>2</v>
      </c>
      <c r="D104" s="67" t="s">
        <v>968</v>
      </c>
      <c r="E104" s="67" t="s">
        <v>1354</v>
      </c>
      <c r="F104" s="67" t="s">
        <v>1235</v>
      </c>
      <c r="G104" s="137">
        <v>6</v>
      </c>
      <c r="H104" s="138">
        <f>Glas!G9</f>
        <v>0</v>
      </c>
      <c r="I104" s="139"/>
      <c r="J104" s="138">
        <f>Glas!I9</f>
        <v>0</v>
      </c>
      <c r="K104" s="71">
        <f>IF(ISBLANK(G104),0,G104)*ROUND(J104,2)</f>
        <v>0</v>
      </c>
      <c r="L104" s="71">
        <f>C104*K104</f>
        <v>0</v>
      </c>
      <c r="M104" s="71">
        <f>L104/12</f>
        <v>0</v>
      </c>
    </row>
    <row r="105" spans="1:13" x14ac:dyDescent="0.2">
      <c r="A105" s="149" t="s">
        <v>1375</v>
      </c>
      <c r="B105" s="83"/>
      <c r="C105" s="83"/>
      <c r="D105" s="83"/>
      <c r="E105" s="83"/>
      <c r="F105" s="83"/>
      <c r="G105" s="83"/>
      <c r="H105" s="83"/>
      <c r="I105" s="83"/>
      <c r="J105" s="83"/>
      <c r="K105" s="85">
        <f>SUM(K103:K104)</f>
        <v>0</v>
      </c>
      <c r="L105" s="85">
        <f>SUM(L103:L104)</f>
        <v>0</v>
      </c>
      <c r="M105" s="141">
        <f>L105/12</f>
        <v>0</v>
      </c>
    </row>
    <row r="107" spans="1:13" x14ac:dyDescent="0.2">
      <c r="A107" s="142" t="s">
        <v>789</v>
      </c>
      <c r="B107" s="83"/>
      <c r="C107" s="83"/>
      <c r="D107" s="83"/>
      <c r="E107" s="83"/>
      <c r="F107" s="83"/>
      <c r="G107" s="83"/>
      <c r="H107" s="83"/>
      <c r="I107" s="83"/>
      <c r="J107" s="83"/>
      <c r="K107" s="83"/>
      <c r="L107" s="83"/>
      <c r="M107" s="143"/>
    </row>
    <row r="108" spans="1:13" x14ac:dyDescent="0.2">
      <c r="A108" s="57" t="s">
        <v>1351</v>
      </c>
      <c r="B108" s="57" t="s">
        <v>22</v>
      </c>
      <c r="C108" s="58">
        <f>IF(ISBLANK(B108),0,IF(ISERROR(VALUE(B108)),VLOOKUP(B108,dagsoorttabel1,2,FALSE)*dagenperjaar1,VALUE(B108)))</f>
        <v>2</v>
      </c>
      <c r="D108" s="57" t="s">
        <v>968</v>
      </c>
      <c r="E108" s="57" t="s">
        <v>1352</v>
      </c>
      <c r="F108" s="57" t="s">
        <v>1235</v>
      </c>
      <c r="G108" s="129">
        <v>13.1</v>
      </c>
      <c r="H108" s="130">
        <f>Glas!G6</f>
        <v>0</v>
      </c>
      <c r="I108" s="151"/>
      <c r="J108" s="130">
        <f>Glas!I6</f>
        <v>0</v>
      </c>
      <c r="K108" s="61">
        <f>IF(ISBLANK(G108),0,G108)*ROUND(J108,2)</f>
        <v>0</v>
      </c>
      <c r="L108" s="61">
        <f>C108*K108</f>
        <v>0</v>
      </c>
      <c r="M108" s="61">
        <f>L108/12</f>
        <v>0</v>
      </c>
    </row>
    <row r="109" spans="1:13" x14ac:dyDescent="0.2">
      <c r="A109" s="62" t="s">
        <v>1353</v>
      </c>
      <c r="B109" s="62" t="s">
        <v>22</v>
      </c>
      <c r="C109" s="63">
        <f>IF(ISBLANK(B109),0,IF(ISERROR(VALUE(B109)),VLOOKUP(B109,dagsoorttabel1,2,FALSE)*dagenperjaar1,VALUE(B109)))</f>
        <v>2</v>
      </c>
      <c r="D109" s="62" t="s">
        <v>968</v>
      </c>
      <c r="E109" s="62" t="s">
        <v>1354</v>
      </c>
      <c r="F109" s="62" t="s">
        <v>1235</v>
      </c>
      <c r="G109" s="132">
        <v>13.1</v>
      </c>
      <c r="H109" s="133">
        <f>Glas!G9</f>
        <v>0</v>
      </c>
      <c r="I109" s="135"/>
      <c r="J109" s="133">
        <f>Glas!I9</f>
        <v>0</v>
      </c>
      <c r="K109" s="66">
        <f>IF(ISBLANK(G109),0,G109)*ROUND(J109,2)</f>
        <v>0</v>
      </c>
      <c r="L109" s="66">
        <f>C109*K109</f>
        <v>0</v>
      </c>
      <c r="M109" s="66">
        <f>L109/12</f>
        <v>0</v>
      </c>
    </row>
    <row r="110" spans="1:13" x14ac:dyDescent="0.2">
      <c r="A110" s="67" t="s">
        <v>1355</v>
      </c>
      <c r="B110" s="67" t="s">
        <v>22</v>
      </c>
      <c r="C110" s="68">
        <f>IF(ISBLANK(B110),0,IF(ISERROR(VALUE(B110)),VLOOKUP(B110,dagsoorttabel1,2,FALSE)*dagenperjaar1,VALUE(B110)))</f>
        <v>2</v>
      </c>
      <c r="D110" s="67" t="s">
        <v>968</v>
      </c>
      <c r="E110" s="67" t="s">
        <v>1356</v>
      </c>
      <c r="F110" s="67" t="s">
        <v>1235</v>
      </c>
      <c r="G110" s="137">
        <v>2.9</v>
      </c>
      <c r="H110" s="138">
        <f>Glas!G13</f>
        <v>0</v>
      </c>
      <c r="I110" s="139"/>
      <c r="J110" s="138">
        <f>Glas!I13</f>
        <v>0</v>
      </c>
      <c r="K110" s="71">
        <f>IF(ISBLANK(G110),0,G110)*ROUND(J110,2)</f>
        <v>0</v>
      </c>
      <c r="L110" s="71">
        <f>C110*K110</f>
        <v>0</v>
      </c>
      <c r="M110" s="71">
        <f>L110/12</f>
        <v>0</v>
      </c>
    </row>
    <row r="111" spans="1:13" x14ac:dyDescent="0.2">
      <c r="A111" s="149" t="s">
        <v>1376</v>
      </c>
      <c r="B111" s="83"/>
      <c r="C111" s="83"/>
      <c r="D111" s="83"/>
      <c r="E111" s="83"/>
      <c r="F111" s="83"/>
      <c r="G111" s="83"/>
      <c r="H111" s="83"/>
      <c r="I111" s="83"/>
      <c r="J111" s="83"/>
      <c r="K111" s="85">
        <f>SUM(K108:K110)</f>
        <v>0</v>
      </c>
      <c r="L111" s="85">
        <f>SUM(L108:L110)</f>
        <v>0</v>
      </c>
      <c r="M111" s="141">
        <f>L111/12</f>
        <v>0</v>
      </c>
    </row>
    <row r="113" spans="1:13" x14ac:dyDescent="0.2">
      <c r="A113" s="142" t="s">
        <v>797</v>
      </c>
      <c r="B113" s="83"/>
      <c r="C113" s="83"/>
      <c r="D113" s="83"/>
      <c r="E113" s="83"/>
      <c r="F113" s="83"/>
      <c r="G113" s="83"/>
      <c r="H113" s="83"/>
      <c r="I113" s="83"/>
      <c r="J113" s="83"/>
      <c r="K113" s="83"/>
      <c r="L113" s="83"/>
      <c r="M113" s="143"/>
    </row>
    <row r="114" spans="1:13" x14ac:dyDescent="0.2">
      <c r="A114" s="57" t="s">
        <v>1353</v>
      </c>
      <c r="B114" s="57" t="s">
        <v>18</v>
      </c>
      <c r="C114" s="58">
        <f>IF(ISBLANK(B114),0,IF(ISERROR(VALUE(B114)),VLOOKUP(B114,dagsoorttabel1,2,FALSE)*dagenperjaar1,VALUE(B114)))</f>
        <v>7</v>
      </c>
      <c r="D114" s="57" t="s">
        <v>968</v>
      </c>
      <c r="E114" s="57" t="s">
        <v>1354</v>
      </c>
      <c r="F114" s="57" t="s">
        <v>1235</v>
      </c>
      <c r="G114" s="129">
        <v>114.6</v>
      </c>
      <c r="H114" s="130">
        <f>Glas!G11</f>
        <v>0</v>
      </c>
      <c r="I114" s="151"/>
      <c r="J114" s="130">
        <f>Glas!I11</f>
        <v>0</v>
      </c>
      <c r="K114" s="61">
        <f>IF(ISBLANK(G114),0,G114)*ROUND(J114,2)</f>
        <v>0</v>
      </c>
      <c r="L114" s="61">
        <f>C114*K114</f>
        <v>0</v>
      </c>
      <c r="M114" s="61">
        <f>L114/12</f>
        <v>0</v>
      </c>
    </row>
    <row r="115" spans="1:13" x14ac:dyDescent="0.2">
      <c r="A115" s="67" t="s">
        <v>1355</v>
      </c>
      <c r="B115" s="67" t="s">
        <v>18</v>
      </c>
      <c r="C115" s="68">
        <f>IF(ISBLANK(B115),0,IF(ISERROR(VALUE(B115)),VLOOKUP(B115,dagsoorttabel1,2,FALSE)*dagenperjaar1,VALUE(B115)))</f>
        <v>7</v>
      </c>
      <c r="D115" s="67" t="s">
        <v>968</v>
      </c>
      <c r="E115" s="67" t="s">
        <v>1356</v>
      </c>
      <c r="F115" s="67" t="s">
        <v>1235</v>
      </c>
      <c r="G115" s="137">
        <v>48.4</v>
      </c>
      <c r="H115" s="138">
        <f>Glas!G15</f>
        <v>0</v>
      </c>
      <c r="I115" s="139"/>
      <c r="J115" s="138">
        <f>Glas!I15</f>
        <v>0</v>
      </c>
      <c r="K115" s="71">
        <f>IF(ISBLANK(G115),0,G115)*ROUND(J115,2)</f>
        <v>0</v>
      </c>
      <c r="L115" s="71">
        <f>C115*K115</f>
        <v>0</v>
      </c>
      <c r="M115" s="71">
        <f>L115/12</f>
        <v>0</v>
      </c>
    </row>
    <row r="116" spans="1:13" x14ac:dyDescent="0.2">
      <c r="A116" s="149" t="s">
        <v>1213</v>
      </c>
      <c r="B116" s="83"/>
      <c r="C116" s="83"/>
      <c r="D116" s="83"/>
      <c r="E116" s="83"/>
      <c r="F116" s="83"/>
      <c r="G116" s="83"/>
      <c r="H116" s="83"/>
      <c r="I116" s="83"/>
      <c r="J116" s="83"/>
      <c r="K116" s="85">
        <f>SUM(K114:K115)</f>
        <v>0</v>
      </c>
      <c r="L116" s="85">
        <f>SUM(L114:L115)</f>
        <v>0</v>
      </c>
      <c r="M116" s="141">
        <f>L116/12</f>
        <v>0</v>
      </c>
    </row>
    <row r="118" spans="1:13" x14ac:dyDescent="0.2">
      <c r="A118" s="142" t="s">
        <v>809</v>
      </c>
      <c r="B118" s="83"/>
      <c r="C118" s="83"/>
      <c r="D118" s="83"/>
      <c r="E118" s="83"/>
      <c r="F118" s="83"/>
      <c r="G118" s="83"/>
      <c r="H118" s="83"/>
      <c r="I118" s="83"/>
      <c r="J118" s="83"/>
      <c r="K118" s="83"/>
      <c r="L118" s="83"/>
      <c r="M118" s="143"/>
    </row>
    <row r="119" spans="1:13" x14ac:dyDescent="0.2">
      <c r="A119" s="57" t="s">
        <v>1351</v>
      </c>
      <c r="B119" s="57" t="s">
        <v>22</v>
      </c>
      <c r="C119" s="58">
        <f>IF(ISBLANK(B119),0,IF(ISERROR(VALUE(B119)),VLOOKUP(B119,dagsoorttabel1,2,FALSE)*dagenperjaar1,VALUE(B119)))</f>
        <v>2</v>
      </c>
      <c r="D119" s="57" t="s">
        <v>968</v>
      </c>
      <c r="E119" s="57" t="s">
        <v>1352</v>
      </c>
      <c r="F119" s="57" t="s">
        <v>1235</v>
      </c>
      <c r="G119" s="129">
        <v>21.4</v>
      </c>
      <c r="H119" s="130">
        <f>Glas!G6</f>
        <v>0</v>
      </c>
      <c r="I119" s="151"/>
      <c r="J119" s="130">
        <f>Glas!I6</f>
        <v>0</v>
      </c>
      <c r="K119" s="61">
        <f>IF(ISBLANK(G119),0,G119)*ROUND(J119,2)</f>
        <v>0</v>
      </c>
      <c r="L119" s="61">
        <f>C119*K119</f>
        <v>0</v>
      </c>
      <c r="M119" s="61">
        <f>L119/12</f>
        <v>0</v>
      </c>
    </row>
    <row r="120" spans="1:13" x14ac:dyDescent="0.2">
      <c r="A120" s="67" t="s">
        <v>1353</v>
      </c>
      <c r="B120" s="67" t="s">
        <v>22</v>
      </c>
      <c r="C120" s="68">
        <f>IF(ISBLANK(B120),0,IF(ISERROR(VALUE(B120)),VLOOKUP(B120,dagsoorttabel1,2,FALSE)*dagenperjaar1,VALUE(B120)))</f>
        <v>2</v>
      </c>
      <c r="D120" s="67" t="s">
        <v>968</v>
      </c>
      <c r="E120" s="67" t="s">
        <v>1354</v>
      </c>
      <c r="F120" s="67" t="s">
        <v>1235</v>
      </c>
      <c r="G120" s="137">
        <v>21.4</v>
      </c>
      <c r="H120" s="138">
        <f>Glas!G9</f>
        <v>0</v>
      </c>
      <c r="I120" s="139"/>
      <c r="J120" s="138">
        <f>Glas!I9</f>
        <v>0</v>
      </c>
      <c r="K120" s="71">
        <f>IF(ISBLANK(G120),0,G120)*ROUND(J120,2)</f>
        <v>0</v>
      </c>
      <c r="L120" s="71">
        <f>C120*K120</f>
        <v>0</v>
      </c>
      <c r="M120" s="71">
        <f>L120/12</f>
        <v>0</v>
      </c>
    </row>
    <row r="121" spans="1:13" x14ac:dyDescent="0.2">
      <c r="A121" s="149" t="s">
        <v>1377</v>
      </c>
      <c r="B121" s="83"/>
      <c r="C121" s="83"/>
      <c r="D121" s="83"/>
      <c r="E121" s="83"/>
      <c r="F121" s="83"/>
      <c r="G121" s="83"/>
      <c r="H121" s="83"/>
      <c r="I121" s="83"/>
      <c r="J121" s="83"/>
      <c r="K121" s="85">
        <f>SUM(K119:K120)</f>
        <v>0</v>
      </c>
      <c r="L121" s="85">
        <f>SUM(L119:L120)</f>
        <v>0</v>
      </c>
      <c r="M121" s="141">
        <f>L121/12</f>
        <v>0</v>
      </c>
    </row>
    <row r="123" spans="1:13" x14ac:dyDescent="0.2">
      <c r="A123" s="142" t="s">
        <v>831</v>
      </c>
      <c r="B123" s="83"/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143"/>
    </row>
    <row r="124" spans="1:13" x14ac:dyDescent="0.2">
      <c r="A124" s="57" t="s">
        <v>1351</v>
      </c>
      <c r="B124" s="57" t="s">
        <v>22</v>
      </c>
      <c r="C124" s="58">
        <f>IF(ISBLANK(B124),0,IF(ISERROR(VALUE(B124)),VLOOKUP(B124,dagsoorttabel1,2,FALSE)*dagenperjaar1,VALUE(B124)))</f>
        <v>2</v>
      </c>
      <c r="D124" s="57" t="s">
        <v>968</v>
      </c>
      <c r="E124" s="57" t="s">
        <v>1352</v>
      </c>
      <c r="F124" s="57" t="s">
        <v>1235</v>
      </c>
      <c r="G124" s="129">
        <v>15.1</v>
      </c>
      <c r="H124" s="130">
        <f>Glas!G6</f>
        <v>0</v>
      </c>
      <c r="I124" s="151"/>
      <c r="J124" s="130">
        <f>Glas!I6</f>
        <v>0</v>
      </c>
      <c r="K124" s="61">
        <f>IF(ISBLANK(G124),0,G124)*ROUND(J124,2)</f>
        <v>0</v>
      </c>
      <c r="L124" s="61">
        <f>C124*K124</f>
        <v>0</v>
      </c>
      <c r="M124" s="61">
        <f>L124/12</f>
        <v>0</v>
      </c>
    </row>
    <row r="125" spans="1:13" x14ac:dyDescent="0.2">
      <c r="A125" s="67" t="s">
        <v>1353</v>
      </c>
      <c r="B125" s="67" t="s">
        <v>22</v>
      </c>
      <c r="C125" s="68">
        <f>IF(ISBLANK(B125),0,IF(ISERROR(VALUE(B125)),VLOOKUP(B125,dagsoorttabel1,2,FALSE)*dagenperjaar1,VALUE(B125)))</f>
        <v>2</v>
      </c>
      <c r="D125" s="67" t="s">
        <v>968</v>
      </c>
      <c r="E125" s="67" t="s">
        <v>1354</v>
      </c>
      <c r="F125" s="67" t="s">
        <v>1235</v>
      </c>
      <c r="G125" s="137">
        <v>15.1</v>
      </c>
      <c r="H125" s="138">
        <f>Glas!G9</f>
        <v>0</v>
      </c>
      <c r="I125" s="139"/>
      <c r="J125" s="138">
        <f>Glas!I9</f>
        <v>0</v>
      </c>
      <c r="K125" s="71">
        <f>IF(ISBLANK(G125),0,G125)*ROUND(J125,2)</f>
        <v>0</v>
      </c>
      <c r="L125" s="71">
        <f>C125*K125</f>
        <v>0</v>
      </c>
      <c r="M125" s="71">
        <f>L125/12</f>
        <v>0</v>
      </c>
    </row>
    <row r="126" spans="1:13" x14ac:dyDescent="0.2">
      <c r="A126" s="149" t="s">
        <v>1378</v>
      </c>
      <c r="B126" s="83"/>
      <c r="C126" s="83"/>
      <c r="D126" s="83"/>
      <c r="E126" s="83"/>
      <c r="F126" s="83"/>
      <c r="G126" s="83"/>
      <c r="H126" s="83"/>
      <c r="I126" s="83"/>
      <c r="J126" s="83"/>
      <c r="K126" s="85">
        <f>SUM(K124:K125)</f>
        <v>0</v>
      </c>
      <c r="L126" s="85">
        <f>SUM(L124:L125)</f>
        <v>0</v>
      </c>
      <c r="M126" s="141">
        <f>L126/12</f>
        <v>0</v>
      </c>
    </row>
    <row r="128" spans="1:13" x14ac:dyDescent="0.2">
      <c r="A128" s="142" t="s">
        <v>841</v>
      </c>
      <c r="B128" s="83"/>
      <c r="C128" s="83"/>
      <c r="D128" s="83"/>
      <c r="E128" s="83"/>
      <c r="F128" s="83"/>
      <c r="G128" s="83"/>
      <c r="H128" s="83"/>
      <c r="I128" s="83"/>
      <c r="J128" s="83"/>
      <c r="K128" s="83"/>
      <c r="L128" s="83"/>
      <c r="M128" s="143"/>
    </row>
    <row r="129" spans="1:13" x14ac:dyDescent="0.2">
      <c r="A129" s="116" t="s">
        <v>1355</v>
      </c>
      <c r="B129" s="116" t="s">
        <v>22</v>
      </c>
      <c r="C129" s="144">
        <f>IF(ISBLANK(B129),0,IF(ISERROR(VALUE(B129)),VLOOKUP(B129,dagsoorttabel1,2,FALSE)*dagenperjaar1,VALUE(B129)))</f>
        <v>2</v>
      </c>
      <c r="D129" s="116" t="s">
        <v>968</v>
      </c>
      <c r="E129" s="116" t="s">
        <v>1356</v>
      </c>
      <c r="F129" s="116" t="s">
        <v>1235</v>
      </c>
      <c r="G129" s="145">
        <v>1.4</v>
      </c>
      <c r="H129" s="146">
        <f>Glas!G13</f>
        <v>0</v>
      </c>
      <c r="I129" s="152"/>
      <c r="J129" s="146">
        <f>Glas!I13</f>
        <v>0</v>
      </c>
      <c r="K129" s="117">
        <f>IF(ISBLANK(G129),0,G129)*ROUND(J129,2)</f>
        <v>0</v>
      </c>
      <c r="L129" s="117">
        <f>C129*K129</f>
        <v>0</v>
      </c>
      <c r="M129" s="117">
        <f>L129/12</f>
        <v>0</v>
      </c>
    </row>
    <row r="130" spans="1:13" x14ac:dyDescent="0.2">
      <c r="A130" s="149" t="s">
        <v>1379</v>
      </c>
      <c r="B130" s="83"/>
      <c r="C130" s="83"/>
      <c r="D130" s="83"/>
      <c r="E130" s="83"/>
      <c r="F130" s="83"/>
      <c r="G130" s="83"/>
      <c r="H130" s="83"/>
      <c r="I130" s="83"/>
      <c r="J130" s="83"/>
      <c r="K130" s="85">
        <f>SUM(K129:K129)</f>
        <v>0</v>
      </c>
      <c r="L130" s="85">
        <f>SUM(L129:L129)</f>
        <v>0</v>
      </c>
      <c r="M130" s="141">
        <f>L130/12</f>
        <v>0</v>
      </c>
    </row>
    <row r="132" spans="1:13" x14ac:dyDescent="0.2">
      <c r="A132" s="142" t="s">
        <v>858</v>
      </c>
      <c r="B132" s="83"/>
      <c r="C132" s="83"/>
      <c r="D132" s="83"/>
      <c r="E132" s="83"/>
      <c r="F132" s="83"/>
      <c r="G132" s="83"/>
      <c r="H132" s="83"/>
      <c r="I132" s="83"/>
      <c r="J132" s="83"/>
      <c r="K132" s="83"/>
      <c r="L132" s="83"/>
      <c r="M132" s="143"/>
    </row>
    <row r="133" spans="1:13" x14ac:dyDescent="0.2">
      <c r="A133" s="116" t="s">
        <v>1351</v>
      </c>
      <c r="B133" s="116" t="s">
        <v>22</v>
      </c>
      <c r="C133" s="144">
        <f>IF(ISBLANK(B133),0,IF(ISERROR(VALUE(B133)),VLOOKUP(B133,dagsoorttabel1,2,FALSE)*dagenperjaar1,VALUE(B133)))</f>
        <v>2</v>
      </c>
      <c r="D133" s="116" t="s">
        <v>968</v>
      </c>
      <c r="E133" s="116" t="s">
        <v>1352</v>
      </c>
      <c r="F133" s="116" t="s">
        <v>1235</v>
      </c>
      <c r="G133" s="145">
        <v>30.4</v>
      </c>
      <c r="H133" s="146">
        <f>Glas!G6</f>
        <v>0</v>
      </c>
      <c r="I133" s="152"/>
      <c r="J133" s="146">
        <f>Glas!I6</f>
        <v>0</v>
      </c>
      <c r="K133" s="117">
        <f>IF(ISBLANK(G133),0,G133)*ROUND(J133,2)</f>
        <v>0</v>
      </c>
      <c r="L133" s="117">
        <f>C133*K133</f>
        <v>0</v>
      </c>
      <c r="M133" s="117">
        <f>L133/12</f>
        <v>0</v>
      </c>
    </row>
    <row r="134" spans="1:13" x14ac:dyDescent="0.2">
      <c r="A134" s="149" t="s">
        <v>1380</v>
      </c>
      <c r="B134" s="83"/>
      <c r="C134" s="83"/>
      <c r="D134" s="83"/>
      <c r="E134" s="83"/>
      <c r="F134" s="83"/>
      <c r="G134" s="83"/>
      <c r="H134" s="83"/>
      <c r="I134" s="83"/>
      <c r="J134" s="83"/>
      <c r="K134" s="85">
        <f>SUM(K133:K133)</f>
        <v>0</v>
      </c>
      <c r="L134" s="85">
        <f>SUM(L133:L133)</f>
        <v>0</v>
      </c>
      <c r="M134" s="141">
        <f>L134/12</f>
        <v>0</v>
      </c>
    </row>
    <row r="136" spans="1:13" x14ac:dyDescent="0.2">
      <c r="A136" s="142" t="s">
        <v>868</v>
      </c>
      <c r="B136" s="83"/>
      <c r="C136" s="83"/>
      <c r="D136" s="83"/>
      <c r="E136" s="83"/>
      <c r="F136" s="83"/>
      <c r="G136" s="83"/>
      <c r="H136" s="83"/>
      <c r="I136" s="83"/>
      <c r="J136" s="83"/>
      <c r="K136" s="83"/>
      <c r="L136" s="83"/>
      <c r="M136" s="143"/>
    </row>
    <row r="137" spans="1:13" x14ac:dyDescent="0.2">
      <c r="A137" s="57" t="s">
        <v>1351</v>
      </c>
      <c r="B137" s="57" t="s">
        <v>22</v>
      </c>
      <c r="C137" s="58">
        <f>IF(ISBLANK(B137),0,IF(ISERROR(VALUE(B137)),VLOOKUP(B137,dagsoorttabel1,2,FALSE)*dagenperjaar1,VALUE(B137)))</f>
        <v>2</v>
      </c>
      <c r="D137" s="57" t="s">
        <v>968</v>
      </c>
      <c r="E137" s="57" t="s">
        <v>1352</v>
      </c>
      <c r="F137" s="57" t="s">
        <v>1235</v>
      </c>
      <c r="G137" s="129">
        <v>3.9</v>
      </c>
      <c r="H137" s="130">
        <f>Glas!G6</f>
        <v>0</v>
      </c>
      <c r="I137" s="151"/>
      <c r="J137" s="130">
        <f>Glas!I6</f>
        <v>0</v>
      </c>
      <c r="K137" s="61">
        <f>IF(ISBLANK(G137),0,G137)*ROUND(J137,2)</f>
        <v>0</v>
      </c>
      <c r="L137" s="61">
        <f>C137*K137</f>
        <v>0</v>
      </c>
      <c r="M137" s="61">
        <f>L137/12</f>
        <v>0</v>
      </c>
    </row>
    <row r="138" spans="1:13" x14ac:dyDescent="0.2">
      <c r="A138" s="67" t="s">
        <v>1353</v>
      </c>
      <c r="B138" s="67" t="s">
        <v>22</v>
      </c>
      <c r="C138" s="68">
        <f>IF(ISBLANK(B138),0,IF(ISERROR(VALUE(B138)),VLOOKUP(B138,dagsoorttabel1,2,FALSE)*dagenperjaar1,VALUE(B138)))</f>
        <v>2</v>
      </c>
      <c r="D138" s="67" t="s">
        <v>968</v>
      </c>
      <c r="E138" s="67" t="s">
        <v>1354</v>
      </c>
      <c r="F138" s="67" t="s">
        <v>1235</v>
      </c>
      <c r="G138" s="137">
        <v>3.9</v>
      </c>
      <c r="H138" s="138">
        <f>Glas!G9</f>
        <v>0</v>
      </c>
      <c r="I138" s="139"/>
      <c r="J138" s="138">
        <f>Glas!I9</f>
        <v>0</v>
      </c>
      <c r="K138" s="71">
        <f>IF(ISBLANK(G138),0,G138)*ROUND(J138,2)</f>
        <v>0</v>
      </c>
      <c r="L138" s="71">
        <f>C138*K138</f>
        <v>0</v>
      </c>
      <c r="M138" s="71">
        <f>L138/12</f>
        <v>0</v>
      </c>
    </row>
    <row r="139" spans="1:13" x14ac:dyDescent="0.2">
      <c r="A139" s="149" t="s">
        <v>1381</v>
      </c>
      <c r="B139" s="83"/>
      <c r="C139" s="83"/>
      <c r="D139" s="83"/>
      <c r="E139" s="83"/>
      <c r="F139" s="83"/>
      <c r="G139" s="83"/>
      <c r="H139" s="83"/>
      <c r="I139" s="83"/>
      <c r="J139" s="83"/>
      <c r="K139" s="85">
        <f>SUM(K137:K138)</f>
        <v>0</v>
      </c>
      <c r="L139" s="85">
        <f>SUM(L137:L138)</f>
        <v>0</v>
      </c>
      <c r="M139" s="141">
        <f>L139/12</f>
        <v>0</v>
      </c>
    </row>
    <row r="141" spans="1:13" x14ac:dyDescent="0.2">
      <c r="A141" s="142" t="s">
        <v>880</v>
      </c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143"/>
    </row>
    <row r="142" spans="1:13" x14ac:dyDescent="0.2">
      <c r="A142" s="57" t="s">
        <v>1351</v>
      </c>
      <c r="B142" s="57" t="s">
        <v>22</v>
      </c>
      <c r="C142" s="58">
        <f>IF(ISBLANK(B142),0,IF(ISERROR(VALUE(B142)),VLOOKUP(B142,dagsoorttabel1,2,FALSE)*dagenperjaar1,VALUE(B142)))</f>
        <v>2</v>
      </c>
      <c r="D142" s="57" t="s">
        <v>968</v>
      </c>
      <c r="E142" s="57" t="s">
        <v>1352</v>
      </c>
      <c r="F142" s="57" t="s">
        <v>1235</v>
      </c>
      <c r="G142" s="129">
        <v>36.6</v>
      </c>
      <c r="H142" s="130">
        <f>Glas!G6</f>
        <v>0</v>
      </c>
      <c r="I142" s="151"/>
      <c r="J142" s="130">
        <f>Glas!I6</f>
        <v>0</v>
      </c>
      <c r="K142" s="61">
        <f>IF(ISBLANK(G142),0,G142)*ROUND(J142,2)</f>
        <v>0</v>
      </c>
      <c r="L142" s="61">
        <f>C142*K142</f>
        <v>0</v>
      </c>
      <c r="M142" s="61">
        <f>L142/12</f>
        <v>0</v>
      </c>
    </row>
    <row r="143" spans="1:13" x14ac:dyDescent="0.2">
      <c r="A143" s="67" t="s">
        <v>1353</v>
      </c>
      <c r="B143" s="67" t="s">
        <v>22</v>
      </c>
      <c r="C143" s="68">
        <f>IF(ISBLANK(B143),0,IF(ISERROR(VALUE(B143)),VLOOKUP(B143,dagsoorttabel1,2,FALSE)*dagenperjaar1,VALUE(B143)))</f>
        <v>2</v>
      </c>
      <c r="D143" s="67" t="s">
        <v>968</v>
      </c>
      <c r="E143" s="67" t="s">
        <v>1354</v>
      </c>
      <c r="F143" s="67" t="s">
        <v>1235</v>
      </c>
      <c r="G143" s="137">
        <v>36.6</v>
      </c>
      <c r="H143" s="138">
        <f>Glas!G9</f>
        <v>0</v>
      </c>
      <c r="I143" s="139"/>
      <c r="J143" s="138">
        <f>Glas!I9</f>
        <v>0</v>
      </c>
      <c r="K143" s="71">
        <f>IF(ISBLANK(G143),0,G143)*ROUND(J143,2)</f>
        <v>0</v>
      </c>
      <c r="L143" s="71">
        <f>C143*K143</f>
        <v>0</v>
      </c>
      <c r="M143" s="71">
        <f>L143/12</f>
        <v>0</v>
      </c>
    </row>
    <row r="144" spans="1:13" x14ac:dyDescent="0.2">
      <c r="A144" s="149" t="s">
        <v>1382</v>
      </c>
      <c r="B144" s="83"/>
      <c r="C144" s="83"/>
      <c r="D144" s="83"/>
      <c r="E144" s="83"/>
      <c r="F144" s="83"/>
      <c r="G144" s="83"/>
      <c r="H144" s="83"/>
      <c r="I144" s="83"/>
      <c r="J144" s="83"/>
      <c r="K144" s="85">
        <f>SUM(K142:K143)</f>
        <v>0</v>
      </c>
      <c r="L144" s="85">
        <f>SUM(L142:L143)</f>
        <v>0</v>
      </c>
      <c r="M144" s="141">
        <f>L144/12</f>
        <v>0</v>
      </c>
    </row>
  </sheetData>
  <sheetProtection algorithmName="SHA-512" hashValue="kZMRrSta5mHQ9bGlIb9V6D/XOWET6Tod2QvJ9E7xW/DLlqY0ZdAEcW8Sq3kEvsKkMGKfcD5kM0WC7ZLdYDmpEg==" saltValue="WJrEqVUCKrWLoj7djvkMSg==" spinCount="100000" sheet="1" objects="1" scenarios="1" autoFilter="0"/>
  <pageMargins left="0.7" right="0.7" top="0.75" bottom="0.75" header="0.3" footer="0.3"/>
  <pageSetup paperSize="9" scale="65" orientation="landscape" r:id="rId1"/>
  <headerFooter>
    <oddFooter>&amp;LWaterschap Vallei &amp; Veluwe EA 2027                          &amp;ROpmaakdatum: 30-10-2026
Intexso - Plantageweg 23E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2BC42-B316-41AB-91A8-40FEC65756A2}">
  <dimension ref="A1:E16"/>
  <sheetViews>
    <sheetView tabSelected="1" workbookViewId="0">
      <selection activeCell="B25" sqref="B25"/>
    </sheetView>
  </sheetViews>
  <sheetFormatPr defaultRowHeight="12.75" x14ac:dyDescent="0.2"/>
  <cols>
    <col min="1" max="1" width="30.625" customWidth="1"/>
    <col min="2" max="4" width="20.625" customWidth="1"/>
  </cols>
  <sheetData>
    <row r="1" spans="1:5" x14ac:dyDescent="0.2">
      <c r="A1" s="1" t="str">
        <f>CONCATENATE("Bijlage G.12: ",tabeltype," totaalblad schoonmaakwerk")</f>
        <v>Bijlage G.12: Invultabel totaalblad schoonmaakwerk</v>
      </c>
    </row>
    <row r="3" spans="1:5" ht="25.5" x14ac:dyDescent="0.2">
      <c r="A3" s="46" t="s">
        <v>1383</v>
      </c>
      <c r="B3" s="46" t="s">
        <v>1384</v>
      </c>
      <c r="C3" s="46" t="s">
        <v>1385</v>
      </c>
      <c r="D3" s="46" t="s">
        <v>1386</v>
      </c>
    </row>
    <row r="4" spans="1:5" x14ac:dyDescent="0.2">
      <c r="A4" s="153" t="s">
        <v>1387</v>
      </c>
      <c r="B4" s="74">
        <f>urenjaartotaaloverzicht</f>
        <v>0</v>
      </c>
      <c r="C4" s="61">
        <f>prijsjaartotaaloverzicht</f>
        <v>0</v>
      </c>
      <c r="D4" s="61">
        <f>C4*1.21</f>
        <v>0</v>
      </c>
    </row>
    <row r="5" spans="1:5" x14ac:dyDescent="0.2">
      <c r="A5" s="154" t="s">
        <v>1388</v>
      </c>
      <c r="B5" s="155"/>
      <c r="C5" s="66">
        <f>prijsjaaradditioneel</f>
        <v>0</v>
      </c>
      <c r="D5" s="66">
        <f>C5*1.21</f>
        <v>0</v>
      </c>
    </row>
    <row r="6" spans="1:5" x14ac:dyDescent="0.2">
      <c r="A6" s="154" t="s">
        <v>1389</v>
      </c>
      <c r="B6" s="155"/>
      <c r="C6" s="66">
        <f>prijsjaarregie</f>
        <v>0</v>
      </c>
      <c r="D6" s="66">
        <f>C6*1.21</f>
        <v>0</v>
      </c>
    </row>
    <row r="7" spans="1:5" x14ac:dyDescent="0.2">
      <c r="A7" s="156" t="s">
        <v>1390</v>
      </c>
      <c r="B7" s="157"/>
      <c r="C7" s="71">
        <f>prijsjaarglas</f>
        <v>0</v>
      </c>
      <c r="D7" s="71">
        <f>C7*1.21</f>
        <v>0</v>
      </c>
    </row>
    <row r="9" spans="1:5" x14ac:dyDescent="0.2">
      <c r="A9" s="46" t="s">
        <v>1391</v>
      </c>
      <c r="B9" s="84">
        <f>SUM(B4:B7)</f>
        <v>0</v>
      </c>
      <c r="C9" s="85">
        <f>SUM(C4:C7)</f>
        <v>0</v>
      </c>
      <c r="D9" s="85">
        <f>C9*1.21</f>
        <v>0</v>
      </c>
    </row>
    <row r="12" spans="1:5" x14ac:dyDescent="0.2">
      <c r="A12" s="158" t="s">
        <v>1392</v>
      </c>
      <c r="B12" s="122"/>
      <c r="C12" s="159">
        <f>ROUND(SUM(wib_regulier),2)</f>
        <v>0</v>
      </c>
      <c r="D12" s="122"/>
      <c r="E12" s="160" t="str">
        <f>IF(C12&gt;_xlfn.SINGLE(wib_prijs_budget),"ONGELDIG","")</f>
        <v/>
      </c>
    </row>
    <row r="13" spans="1:5" x14ac:dyDescent="0.2">
      <c r="A13" s="161" t="s">
        <v>1393</v>
      </c>
      <c r="B13" s="122"/>
      <c r="C13" s="117">
        <v>469500</v>
      </c>
      <c r="D13" s="122"/>
    </row>
    <row r="16" spans="1:5" x14ac:dyDescent="0.2">
      <c r="A16" s="158" t="s">
        <v>1394</v>
      </c>
      <c r="B16" s="122"/>
      <c r="C16" s="159">
        <f>ROUND(SUM(vp_additioneel,vp_regie,vp_glas),2)</f>
        <v>0</v>
      </c>
      <c r="D16" s="122"/>
    </row>
  </sheetData>
  <sheetProtection algorithmName="SHA-512" hashValue="UVOTaqIgndWBwb5+5rF469QO/3jJnN/oxsipZx6uo8uBtL8bYggHNzlQvSUTMLGgXWwL6dR/Jf93T4dSJdbQFg==" saltValue="eHexCkSPgLfIbLASIouu+w==" spinCount="100000" sheet="1" objects="1" scenarios="1" autoFilter="0"/>
  <pageMargins left="0.7" right="0.7" top="0.75" bottom="0.75" header="0.3" footer="0.3"/>
  <pageSetup paperSize="9" scale="70" orientation="landscape" r:id="rId1"/>
  <headerFooter>
    <oddFooter>&amp;LWaterschap Vallei &amp; Veluwe EA 2027                          &amp;ROpmaakdatum: 30-10-2026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15</vt:i4>
      </vt:variant>
      <vt:variant>
        <vt:lpstr>Benoemde bereiken</vt:lpstr>
      </vt:variant>
      <vt:variant>
        <vt:i4>1226</vt:i4>
      </vt:variant>
    </vt:vector>
  </HeadingPairs>
  <TitlesOfParts>
    <vt:vector size="1241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Additioneel werk per locatie</vt:lpstr>
      <vt:lpstr>Afroep incidenteel</vt:lpstr>
      <vt:lpstr>Regiewerk</vt:lpstr>
      <vt:lpstr>Glas</vt:lpstr>
      <vt:lpstr>Glas per locatie</vt:lpstr>
      <vt:lpstr>Totaal</vt:lpstr>
      <vt:lpstr>'Additioneel werk'!Afdruktitels</vt:lpstr>
      <vt:lpstr>'Additioneel werk per locatie'!Afdruktitels</vt:lpstr>
      <vt:lpstr>'Afroep incidenteel'!Afdruktitels</vt:lpstr>
      <vt:lpstr>Categorienormen!Afdruktitels</vt:lpstr>
      <vt:lpstr>Glas!Afdruktitels</vt:lpstr>
      <vt:lpstr>'Glas per locatie'!Afdruktitels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catdw_1_BBHV_12</vt:lpstr>
      <vt:lpstr>catdw_1_BCHB_1</vt:lpstr>
      <vt:lpstr>catdw_1_BCHV_51</vt:lpstr>
      <vt:lpstr>catdw_1_BKHB_1</vt:lpstr>
      <vt:lpstr>catdw_1_BKHV_51</vt:lpstr>
      <vt:lpstr>catdw_1_BKZB_1</vt:lpstr>
      <vt:lpstr>catdw_1_BKZV_51</vt:lpstr>
      <vt:lpstr>catdw_1_BRHB_1</vt:lpstr>
      <vt:lpstr>catdw_1_BRHV_51</vt:lpstr>
      <vt:lpstr>catdw_1_BVHB_1</vt:lpstr>
      <vt:lpstr>catdw_1_BVHV_51</vt:lpstr>
      <vt:lpstr>catdw_1_BVZB_1</vt:lpstr>
      <vt:lpstr>catdw_1_BVZV_51</vt:lpstr>
      <vt:lpstr>catdw_1_EAHB_1</vt:lpstr>
      <vt:lpstr>catdw_1_EAHV_51</vt:lpstr>
      <vt:lpstr>catdw_1_ERHV_1</vt:lpstr>
      <vt:lpstr>catdw_1_LAHB_1</vt:lpstr>
      <vt:lpstr>catdw_1_LAHV_51</vt:lpstr>
      <vt:lpstr>catdw_1_MAHB_1</vt:lpstr>
      <vt:lpstr>catdw_1_MAHV_51</vt:lpstr>
      <vt:lpstr>catdw_1_MAZV_1</vt:lpstr>
      <vt:lpstr>catdw_1_MAZV_12</vt:lpstr>
      <vt:lpstr>catdw_1_MAZV_51</vt:lpstr>
      <vt:lpstr>catdw_1_RKHB_1</vt:lpstr>
      <vt:lpstr>catdw_1_RKHV_51</vt:lpstr>
      <vt:lpstr>catdw_1_RPHB_1</vt:lpstr>
      <vt:lpstr>catdw_1_RPHV_2</vt:lpstr>
      <vt:lpstr>catdw_1_RPHV_4</vt:lpstr>
      <vt:lpstr>catdw_1_RPHV_51</vt:lpstr>
      <vt:lpstr>catdw_1_RRHB_1</vt:lpstr>
      <vt:lpstr>catdw_1_RRHV_4</vt:lpstr>
      <vt:lpstr>catdw_1_RRHV_51</vt:lpstr>
      <vt:lpstr>catdw_1_RRZB_1</vt:lpstr>
      <vt:lpstr>catdw_1_RRZV_51</vt:lpstr>
      <vt:lpstr>catdw_1_SDHB_1</vt:lpstr>
      <vt:lpstr>catdw_1_SDHV_51</vt:lpstr>
      <vt:lpstr>catdw_1_SKHB_1</vt:lpstr>
      <vt:lpstr>catdw_1_SKHV_51</vt:lpstr>
      <vt:lpstr>catdw_1_STHB_1</vt:lpstr>
      <vt:lpstr>catdw_1_STHV_12</vt:lpstr>
      <vt:lpstr>catdw_1_STHV_2</vt:lpstr>
      <vt:lpstr>catdw_1_STHV_26</vt:lpstr>
      <vt:lpstr>catdw_1_STHV_4</vt:lpstr>
      <vt:lpstr>catdw_1_STHV_51</vt:lpstr>
      <vt:lpstr>catdw_1_SWHB_1</vt:lpstr>
      <vt:lpstr>catdw_1_SWHV_51</vt:lpstr>
      <vt:lpstr>catdw_1_VAHB_1</vt:lpstr>
      <vt:lpstr>catdw_1_VAHV_2</vt:lpstr>
      <vt:lpstr>catdw_1_VAHV_51</vt:lpstr>
      <vt:lpstr>catdw_1_VAZB_1</vt:lpstr>
      <vt:lpstr>catdw_1_VAZV_51</vt:lpstr>
      <vt:lpstr>catdw_1_VBHV_10</vt:lpstr>
      <vt:lpstr>catdw_1_VEHB_1</vt:lpstr>
      <vt:lpstr>catdw_1_VEHV_51</vt:lpstr>
      <vt:lpstr>catdw_1_VEZB_1</vt:lpstr>
      <vt:lpstr>catdw_1_VEZV_51</vt:lpstr>
      <vt:lpstr>catdw_1_VLHB_1</vt:lpstr>
      <vt:lpstr>catdw_1_VLHV_51</vt:lpstr>
      <vt:lpstr>catdw_1_VOHB_1</vt:lpstr>
      <vt:lpstr>catdw_1_VOHV_12</vt:lpstr>
      <vt:lpstr>catdw_1_VOHV_51</vt:lpstr>
      <vt:lpstr>catdw_1_VOZB_1</vt:lpstr>
      <vt:lpstr>catdw_1_VOZV_51</vt:lpstr>
      <vt:lpstr>catdw_1_VRHV_4</vt:lpstr>
      <vt:lpstr>catdw_1_VTHB_1</vt:lpstr>
      <vt:lpstr>catdw_1_VTHV_12</vt:lpstr>
      <vt:lpstr>catdw_1_VTHV_2</vt:lpstr>
      <vt:lpstr>catdw_1_VTHV_4</vt:lpstr>
      <vt:lpstr>catdw_1_VTHV_51</vt:lpstr>
      <vt:lpstr>catdw_1_VTZB_1</vt:lpstr>
      <vt:lpstr>catdw_1_VTZV_51</vt:lpstr>
      <vt:lpstr>catfd_1_BBHV_12</vt:lpstr>
      <vt:lpstr>catfd_1_BCHB_1</vt:lpstr>
      <vt:lpstr>catfd_1_BCHV_51</vt:lpstr>
      <vt:lpstr>catfd_1_BKHB_1</vt:lpstr>
      <vt:lpstr>catfd_1_BKHV_51</vt:lpstr>
      <vt:lpstr>catfd_1_BKZB_1</vt:lpstr>
      <vt:lpstr>catfd_1_BKZV_51</vt:lpstr>
      <vt:lpstr>catfd_1_BRHB_1</vt:lpstr>
      <vt:lpstr>catfd_1_BRHV_51</vt:lpstr>
      <vt:lpstr>catfd_1_BVHB_1</vt:lpstr>
      <vt:lpstr>catfd_1_BVHV_51</vt:lpstr>
      <vt:lpstr>catfd_1_BVZB_1</vt:lpstr>
      <vt:lpstr>catfd_1_BVZV_51</vt:lpstr>
      <vt:lpstr>catfd_1_EAHB_1</vt:lpstr>
      <vt:lpstr>catfd_1_EAHV_51</vt:lpstr>
      <vt:lpstr>catfd_1_ERHV_1</vt:lpstr>
      <vt:lpstr>catfd_1_LAHB_1</vt:lpstr>
      <vt:lpstr>catfd_1_LAHV_51</vt:lpstr>
      <vt:lpstr>catfd_1_MAHB_1</vt:lpstr>
      <vt:lpstr>catfd_1_MAHV_51</vt:lpstr>
      <vt:lpstr>catfd_1_MAZV_1</vt:lpstr>
      <vt:lpstr>catfd_1_MAZV_12</vt:lpstr>
      <vt:lpstr>catfd_1_MAZV_51</vt:lpstr>
      <vt:lpstr>catfd_1_RKHB_1</vt:lpstr>
      <vt:lpstr>catfd_1_RKHV_51</vt:lpstr>
      <vt:lpstr>catfd_1_RPHB_1</vt:lpstr>
      <vt:lpstr>catfd_1_RPHV_2</vt:lpstr>
      <vt:lpstr>catfd_1_RPHV_4</vt:lpstr>
      <vt:lpstr>catfd_1_RPHV_51</vt:lpstr>
      <vt:lpstr>catfd_1_RRHB_1</vt:lpstr>
      <vt:lpstr>catfd_1_RRHV_4</vt:lpstr>
      <vt:lpstr>catfd_1_RRHV_51</vt:lpstr>
      <vt:lpstr>catfd_1_RRZB_1</vt:lpstr>
      <vt:lpstr>catfd_1_RRZV_51</vt:lpstr>
      <vt:lpstr>catfd_1_SDHB_1</vt:lpstr>
      <vt:lpstr>catfd_1_SDHV_51</vt:lpstr>
      <vt:lpstr>catfd_1_SKHB_1</vt:lpstr>
      <vt:lpstr>catfd_1_SKHV_51</vt:lpstr>
      <vt:lpstr>catfd_1_STHB_1</vt:lpstr>
      <vt:lpstr>catfd_1_STHV_12</vt:lpstr>
      <vt:lpstr>catfd_1_STHV_2</vt:lpstr>
      <vt:lpstr>catfd_1_STHV_26</vt:lpstr>
      <vt:lpstr>catfd_1_STHV_4</vt:lpstr>
      <vt:lpstr>catfd_1_STHV_51</vt:lpstr>
      <vt:lpstr>catfd_1_SWHB_1</vt:lpstr>
      <vt:lpstr>catfd_1_SWHV_51</vt:lpstr>
      <vt:lpstr>catfd_1_VAHB_1</vt:lpstr>
      <vt:lpstr>catfd_1_VAHV_2</vt:lpstr>
      <vt:lpstr>catfd_1_VAHV_51</vt:lpstr>
      <vt:lpstr>catfd_1_VAZB_1</vt:lpstr>
      <vt:lpstr>catfd_1_VAZV_51</vt:lpstr>
      <vt:lpstr>catfd_1_VBHV_10</vt:lpstr>
      <vt:lpstr>catfd_1_VEHB_1</vt:lpstr>
      <vt:lpstr>catfd_1_VEHV_51</vt:lpstr>
      <vt:lpstr>catfd_1_VEZB_1</vt:lpstr>
      <vt:lpstr>catfd_1_VEZV_51</vt:lpstr>
      <vt:lpstr>catfd_1_VLHB_1</vt:lpstr>
      <vt:lpstr>catfd_1_VLHV_51</vt:lpstr>
      <vt:lpstr>catfd_1_VOHB_1</vt:lpstr>
      <vt:lpstr>catfd_1_VOHV_12</vt:lpstr>
      <vt:lpstr>catfd_1_VOHV_51</vt:lpstr>
      <vt:lpstr>catfd_1_VOZB_1</vt:lpstr>
      <vt:lpstr>catfd_1_VOZV_51</vt:lpstr>
      <vt:lpstr>catfd_1_VRHV_4</vt:lpstr>
      <vt:lpstr>catfd_1_VTHB_1</vt:lpstr>
      <vt:lpstr>catfd_1_VTHV_12</vt:lpstr>
      <vt:lpstr>catfd_1_VTHV_2</vt:lpstr>
      <vt:lpstr>catfd_1_VTHV_4</vt:lpstr>
      <vt:lpstr>catfd_1_VTHV_51</vt:lpstr>
      <vt:lpstr>catfd_1_VTZB_1</vt:lpstr>
      <vt:lpstr>catfd_1_VTZV_51</vt:lpstr>
      <vt:lpstr>catpn_1_BBHV_12</vt:lpstr>
      <vt:lpstr>catpn_1_BCHB_1</vt:lpstr>
      <vt:lpstr>catpn_1_BCHV_51</vt:lpstr>
      <vt:lpstr>catpn_1_BKHB_1</vt:lpstr>
      <vt:lpstr>catpn_1_BKHV_51</vt:lpstr>
      <vt:lpstr>catpn_1_BKZB_1</vt:lpstr>
      <vt:lpstr>catpn_1_BKZV_51</vt:lpstr>
      <vt:lpstr>catpn_1_BRHB_1</vt:lpstr>
      <vt:lpstr>catpn_1_BRHV_51</vt:lpstr>
      <vt:lpstr>catpn_1_BVHB_1</vt:lpstr>
      <vt:lpstr>catpn_1_BVHV_51</vt:lpstr>
      <vt:lpstr>catpn_1_BVZB_1</vt:lpstr>
      <vt:lpstr>catpn_1_BVZV_51</vt:lpstr>
      <vt:lpstr>catpn_1_EAHB_1</vt:lpstr>
      <vt:lpstr>catpn_1_EAHV_51</vt:lpstr>
      <vt:lpstr>catpn_1_ERHV_1</vt:lpstr>
      <vt:lpstr>catpn_1_LAHB_1</vt:lpstr>
      <vt:lpstr>catpn_1_LAHV_51</vt:lpstr>
      <vt:lpstr>catpn_1_MAHB_1</vt:lpstr>
      <vt:lpstr>catpn_1_MAHV_51</vt:lpstr>
      <vt:lpstr>catpn_1_MAZV_1</vt:lpstr>
      <vt:lpstr>catpn_1_MAZV_12</vt:lpstr>
      <vt:lpstr>catpn_1_MAZV_51</vt:lpstr>
      <vt:lpstr>catpn_1_RKHB_1</vt:lpstr>
      <vt:lpstr>catpn_1_RKHV_51</vt:lpstr>
      <vt:lpstr>catpn_1_RPHB_1</vt:lpstr>
      <vt:lpstr>catpn_1_RPHV_2</vt:lpstr>
      <vt:lpstr>catpn_1_RPHV_4</vt:lpstr>
      <vt:lpstr>catpn_1_RPHV_51</vt:lpstr>
      <vt:lpstr>catpn_1_RRHB_1</vt:lpstr>
      <vt:lpstr>catpn_1_RRHV_4</vt:lpstr>
      <vt:lpstr>catpn_1_RRHV_51</vt:lpstr>
      <vt:lpstr>catpn_1_RRZB_1</vt:lpstr>
      <vt:lpstr>catpn_1_RRZV_51</vt:lpstr>
      <vt:lpstr>catpn_1_SDHB_1</vt:lpstr>
      <vt:lpstr>catpn_1_SDHV_51</vt:lpstr>
      <vt:lpstr>catpn_1_SKHB_1</vt:lpstr>
      <vt:lpstr>catpn_1_SKHV_51</vt:lpstr>
      <vt:lpstr>catpn_1_STHB_1</vt:lpstr>
      <vt:lpstr>catpn_1_STHV_12</vt:lpstr>
      <vt:lpstr>catpn_1_STHV_2</vt:lpstr>
      <vt:lpstr>catpn_1_STHV_26</vt:lpstr>
      <vt:lpstr>catpn_1_STHV_4</vt:lpstr>
      <vt:lpstr>catpn_1_STHV_51</vt:lpstr>
      <vt:lpstr>catpn_1_SWHB_1</vt:lpstr>
      <vt:lpstr>catpn_1_SWHV_51</vt:lpstr>
      <vt:lpstr>catpn_1_VAHB_1</vt:lpstr>
      <vt:lpstr>catpn_1_VAHV_2</vt:lpstr>
      <vt:lpstr>catpn_1_VAHV_51</vt:lpstr>
      <vt:lpstr>catpn_1_VAZB_1</vt:lpstr>
      <vt:lpstr>catpn_1_VAZV_51</vt:lpstr>
      <vt:lpstr>catpn_1_VBHV_10</vt:lpstr>
      <vt:lpstr>catpn_1_VEHB_1</vt:lpstr>
      <vt:lpstr>catpn_1_VEHV_51</vt:lpstr>
      <vt:lpstr>catpn_1_VEZB_1</vt:lpstr>
      <vt:lpstr>catpn_1_VEZV_51</vt:lpstr>
      <vt:lpstr>catpn_1_VLHB_1</vt:lpstr>
      <vt:lpstr>catpn_1_VLHV_51</vt:lpstr>
      <vt:lpstr>catpn_1_VOHB_1</vt:lpstr>
      <vt:lpstr>catpn_1_VOHV_12</vt:lpstr>
      <vt:lpstr>catpn_1_VOHV_51</vt:lpstr>
      <vt:lpstr>catpn_1_VOZB_1</vt:lpstr>
      <vt:lpstr>catpn_1_VOZV_51</vt:lpstr>
      <vt:lpstr>catpn_1_VRHV_4</vt:lpstr>
      <vt:lpstr>catpn_1_VTHB_1</vt:lpstr>
      <vt:lpstr>catpn_1_VTHV_12</vt:lpstr>
      <vt:lpstr>catpn_1_VTHV_2</vt:lpstr>
      <vt:lpstr>catpn_1_VTHV_4</vt:lpstr>
      <vt:lpstr>catpn_1_VTHV_51</vt:lpstr>
      <vt:lpstr>catpn_1_VTZB_1</vt:lpstr>
      <vt:lpstr>catpn_1_VTZV_51</vt:lpstr>
      <vt:lpstr>cattf_1_BBHV_12</vt:lpstr>
      <vt:lpstr>cattf_1_BCHB_1</vt:lpstr>
      <vt:lpstr>cattf_1_BCHV_51</vt:lpstr>
      <vt:lpstr>cattf_1_BKHB_1</vt:lpstr>
      <vt:lpstr>cattf_1_BKHV_51</vt:lpstr>
      <vt:lpstr>cattf_1_BKZB_1</vt:lpstr>
      <vt:lpstr>cattf_1_BKZV_51</vt:lpstr>
      <vt:lpstr>cattf_1_BRHB_1</vt:lpstr>
      <vt:lpstr>cattf_1_BRHV_51</vt:lpstr>
      <vt:lpstr>cattf_1_BVHB_1</vt:lpstr>
      <vt:lpstr>cattf_1_BVHV_51</vt:lpstr>
      <vt:lpstr>cattf_1_BVZB_1</vt:lpstr>
      <vt:lpstr>cattf_1_BVZV_51</vt:lpstr>
      <vt:lpstr>cattf_1_EAHB_1</vt:lpstr>
      <vt:lpstr>cattf_1_EAHV_51</vt:lpstr>
      <vt:lpstr>cattf_1_ERHV_1</vt:lpstr>
      <vt:lpstr>cattf_1_LAHB_1</vt:lpstr>
      <vt:lpstr>cattf_1_LAHV_51</vt:lpstr>
      <vt:lpstr>cattf_1_MAHB_1</vt:lpstr>
      <vt:lpstr>cattf_1_MAHV_51</vt:lpstr>
      <vt:lpstr>cattf_1_MAZV_1</vt:lpstr>
      <vt:lpstr>cattf_1_MAZV_12</vt:lpstr>
      <vt:lpstr>cattf_1_MAZV_51</vt:lpstr>
      <vt:lpstr>cattf_1_RKHB_1</vt:lpstr>
      <vt:lpstr>cattf_1_RKHV_51</vt:lpstr>
      <vt:lpstr>cattf_1_RPHB_1</vt:lpstr>
      <vt:lpstr>cattf_1_RPHV_2</vt:lpstr>
      <vt:lpstr>cattf_1_RPHV_4</vt:lpstr>
      <vt:lpstr>cattf_1_RPHV_51</vt:lpstr>
      <vt:lpstr>cattf_1_RRHB_1</vt:lpstr>
      <vt:lpstr>cattf_1_RRHV_4</vt:lpstr>
      <vt:lpstr>cattf_1_RRHV_51</vt:lpstr>
      <vt:lpstr>cattf_1_RRZB_1</vt:lpstr>
      <vt:lpstr>cattf_1_RRZV_51</vt:lpstr>
      <vt:lpstr>cattf_1_SDHB_1</vt:lpstr>
      <vt:lpstr>cattf_1_SDHV_51</vt:lpstr>
      <vt:lpstr>cattf_1_SKHB_1</vt:lpstr>
      <vt:lpstr>cattf_1_SKHV_51</vt:lpstr>
      <vt:lpstr>cattf_1_STHB_1</vt:lpstr>
      <vt:lpstr>cattf_1_STHV_12</vt:lpstr>
      <vt:lpstr>cattf_1_STHV_2</vt:lpstr>
      <vt:lpstr>cattf_1_STHV_26</vt:lpstr>
      <vt:lpstr>cattf_1_STHV_4</vt:lpstr>
      <vt:lpstr>cattf_1_STHV_51</vt:lpstr>
      <vt:lpstr>cattf_1_SWHB_1</vt:lpstr>
      <vt:lpstr>cattf_1_SWHV_51</vt:lpstr>
      <vt:lpstr>cattf_1_VAHB_1</vt:lpstr>
      <vt:lpstr>cattf_1_VAHV_2</vt:lpstr>
      <vt:lpstr>cattf_1_VAHV_51</vt:lpstr>
      <vt:lpstr>cattf_1_VAZB_1</vt:lpstr>
      <vt:lpstr>cattf_1_VAZV_51</vt:lpstr>
      <vt:lpstr>cattf_1_VBHV_10</vt:lpstr>
      <vt:lpstr>cattf_1_VEHB_1</vt:lpstr>
      <vt:lpstr>cattf_1_VEHV_51</vt:lpstr>
      <vt:lpstr>cattf_1_VEZB_1</vt:lpstr>
      <vt:lpstr>cattf_1_VEZV_51</vt:lpstr>
      <vt:lpstr>cattf_1_VLHB_1</vt:lpstr>
      <vt:lpstr>cattf_1_VLHV_51</vt:lpstr>
      <vt:lpstr>cattf_1_VOHB_1</vt:lpstr>
      <vt:lpstr>cattf_1_VOHV_12</vt:lpstr>
      <vt:lpstr>cattf_1_VOHV_51</vt:lpstr>
      <vt:lpstr>cattf_1_VOZB_1</vt:lpstr>
      <vt:lpstr>cattf_1_VOZV_51</vt:lpstr>
      <vt:lpstr>cattf_1_VRHV_4</vt:lpstr>
      <vt:lpstr>cattf_1_VTHB_1</vt:lpstr>
      <vt:lpstr>cattf_1_VTHV_12</vt:lpstr>
      <vt:lpstr>cattf_1_VTHV_2</vt:lpstr>
      <vt:lpstr>cattf_1_VTHV_4</vt:lpstr>
      <vt:lpstr>cattf_1_VTHV_51</vt:lpstr>
      <vt:lpstr>cattf_1_VTZB_1</vt:lpstr>
      <vt:lpstr>cattf_1_VTZV_51</vt:lpstr>
      <vt:lpstr>dagenperjaar1</vt:lpstr>
      <vt:lpstr>dagenperweek1</vt:lpstr>
      <vt:lpstr>dagsoorttabel1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object1_urenjaar1</vt:lpstr>
      <vt:lpstr>object10_gemuurtarief1</vt:lpstr>
      <vt:lpstr>object10_opptabel1</vt:lpstr>
      <vt:lpstr>object10_prijsdag1</vt:lpstr>
      <vt:lpstr>object10_prijsjaar1</vt:lpstr>
      <vt:lpstr>object10_urendag1</vt:lpstr>
      <vt:lpstr>object10_urenjaar1</vt:lpstr>
      <vt:lpstr>object11_gemuurtarief1</vt:lpstr>
      <vt:lpstr>object11_opptabel1</vt:lpstr>
      <vt:lpstr>object11_prijsdag1</vt:lpstr>
      <vt:lpstr>object11_prijsjaar1</vt:lpstr>
      <vt:lpstr>object11_urendag1</vt:lpstr>
      <vt:lpstr>object11_urenjaar1</vt:lpstr>
      <vt:lpstr>object12_gemuurtarief1</vt:lpstr>
      <vt:lpstr>object12_opptabel1</vt:lpstr>
      <vt:lpstr>object12_prijsdag1</vt:lpstr>
      <vt:lpstr>object12_prijsjaar1</vt:lpstr>
      <vt:lpstr>object12_urendag1</vt:lpstr>
      <vt:lpstr>object12_urenjaar1</vt:lpstr>
      <vt:lpstr>object13_gemuurtarief1</vt:lpstr>
      <vt:lpstr>object13_opptabel1</vt:lpstr>
      <vt:lpstr>object13_prijsdag1</vt:lpstr>
      <vt:lpstr>object13_prijsjaar1</vt:lpstr>
      <vt:lpstr>object13_urendag1</vt:lpstr>
      <vt:lpstr>object13_urenjaar1</vt:lpstr>
      <vt:lpstr>object14_gemuurtarief1</vt:lpstr>
      <vt:lpstr>object14_opptabel1</vt:lpstr>
      <vt:lpstr>object14_prijsdag1</vt:lpstr>
      <vt:lpstr>object14_prijsjaar1</vt:lpstr>
      <vt:lpstr>object14_urendag1</vt:lpstr>
      <vt:lpstr>object14_urenjaar1</vt:lpstr>
      <vt:lpstr>object15_gemuurtarief1</vt:lpstr>
      <vt:lpstr>object15_opptabel1</vt:lpstr>
      <vt:lpstr>object15_prijsdag1</vt:lpstr>
      <vt:lpstr>object15_prijsjaar1</vt:lpstr>
      <vt:lpstr>object15_urendag1</vt:lpstr>
      <vt:lpstr>object15_urenjaar1</vt:lpstr>
      <vt:lpstr>object16_gemuurtarief1</vt:lpstr>
      <vt:lpstr>object16_opptabel1</vt:lpstr>
      <vt:lpstr>object16_prijsdag1</vt:lpstr>
      <vt:lpstr>object16_prijsjaar1</vt:lpstr>
      <vt:lpstr>object16_urendag1</vt:lpstr>
      <vt:lpstr>object16_urenjaar1</vt:lpstr>
      <vt:lpstr>object17_gemuurtarief1</vt:lpstr>
      <vt:lpstr>object17_opptabel1</vt:lpstr>
      <vt:lpstr>object17_prijsdag1</vt:lpstr>
      <vt:lpstr>object17_prijsjaar1</vt:lpstr>
      <vt:lpstr>object17_urendag1</vt:lpstr>
      <vt:lpstr>object17_urenjaar1</vt:lpstr>
      <vt:lpstr>object18_gemuurtarief1</vt:lpstr>
      <vt:lpstr>object18_opptabel1</vt:lpstr>
      <vt:lpstr>object18_prijsdag1</vt:lpstr>
      <vt:lpstr>object18_prijsjaar1</vt:lpstr>
      <vt:lpstr>object18_urendag1</vt:lpstr>
      <vt:lpstr>object18_urenjaar1</vt:lpstr>
      <vt:lpstr>object19_gemuurtarief1</vt:lpstr>
      <vt:lpstr>object19_opptabel1</vt:lpstr>
      <vt:lpstr>object19_prijsdag1</vt:lpstr>
      <vt:lpstr>object19_prijsjaar1</vt:lpstr>
      <vt:lpstr>object19_urendag1</vt:lpstr>
      <vt:lpstr>object19_urenjaar1</vt:lpstr>
      <vt:lpstr>object2_gemuurtarief1</vt:lpstr>
      <vt:lpstr>object2_opptabel1</vt:lpstr>
      <vt:lpstr>object2_prijsdag1</vt:lpstr>
      <vt:lpstr>object2_prijsjaar1</vt:lpstr>
      <vt:lpstr>object2_urendag1</vt:lpstr>
      <vt:lpstr>object2_urenjaar1</vt:lpstr>
      <vt:lpstr>object20_gemuurtarief1</vt:lpstr>
      <vt:lpstr>object20_opptabel1</vt:lpstr>
      <vt:lpstr>object20_prijsdag1</vt:lpstr>
      <vt:lpstr>object20_prijsjaar1</vt:lpstr>
      <vt:lpstr>object20_urendag1</vt:lpstr>
      <vt:lpstr>object20_urenjaar1</vt:lpstr>
      <vt:lpstr>object21_gemuurtarief1</vt:lpstr>
      <vt:lpstr>object21_opptabel1</vt:lpstr>
      <vt:lpstr>object21_prijsdag1</vt:lpstr>
      <vt:lpstr>object21_prijsjaar1</vt:lpstr>
      <vt:lpstr>object21_urendag1</vt:lpstr>
      <vt:lpstr>object21_urenjaar1</vt:lpstr>
      <vt:lpstr>object22_gemuurtarief1</vt:lpstr>
      <vt:lpstr>object22_opptabel1</vt:lpstr>
      <vt:lpstr>object22_prijsdag1</vt:lpstr>
      <vt:lpstr>object22_prijsjaar1</vt:lpstr>
      <vt:lpstr>object22_urendag1</vt:lpstr>
      <vt:lpstr>object22_urenjaar1</vt:lpstr>
      <vt:lpstr>object23_gemuurtarief1</vt:lpstr>
      <vt:lpstr>object23_opptabel1</vt:lpstr>
      <vt:lpstr>object23_prijsdag1</vt:lpstr>
      <vt:lpstr>object23_prijsjaar1</vt:lpstr>
      <vt:lpstr>object23_urendag1</vt:lpstr>
      <vt:lpstr>object23_urenjaar1</vt:lpstr>
      <vt:lpstr>object24_opptabel1</vt:lpstr>
      <vt:lpstr>object25_opptabel1</vt:lpstr>
      <vt:lpstr>object26_opptabel1</vt:lpstr>
      <vt:lpstr>object27_opptabel1</vt:lpstr>
      <vt:lpstr>object28_gemuurtarief1</vt:lpstr>
      <vt:lpstr>object28_opptabel1</vt:lpstr>
      <vt:lpstr>object28_prijsdag1</vt:lpstr>
      <vt:lpstr>object28_prijsjaar1</vt:lpstr>
      <vt:lpstr>object28_urendag1</vt:lpstr>
      <vt:lpstr>object28_urenjaar1</vt:lpstr>
      <vt:lpstr>object29_gemuurtarief1</vt:lpstr>
      <vt:lpstr>object29_opptabel1</vt:lpstr>
      <vt:lpstr>object29_prijsdag1</vt:lpstr>
      <vt:lpstr>object29_prijsjaar1</vt:lpstr>
      <vt:lpstr>object29_urendag1</vt:lpstr>
      <vt:lpstr>object29_urenjaar1</vt:lpstr>
      <vt:lpstr>object3_gemuurtarief1</vt:lpstr>
      <vt:lpstr>object3_opptabel1</vt:lpstr>
      <vt:lpstr>object3_prijsdag1</vt:lpstr>
      <vt:lpstr>object3_prijsjaar1</vt:lpstr>
      <vt:lpstr>object3_urendag1</vt:lpstr>
      <vt:lpstr>object3_urenjaar1</vt:lpstr>
      <vt:lpstr>object30_gemuurtarief1</vt:lpstr>
      <vt:lpstr>object30_opptabel1</vt:lpstr>
      <vt:lpstr>object30_prijsdag1</vt:lpstr>
      <vt:lpstr>object30_prijsjaar1</vt:lpstr>
      <vt:lpstr>object30_urendag1</vt:lpstr>
      <vt:lpstr>object30_urenjaar1</vt:lpstr>
      <vt:lpstr>object31_gemuurtarief1</vt:lpstr>
      <vt:lpstr>object31_opptabel1</vt:lpstr>
      <vt:lpstr>object31_prijsdag1</vt:lpstr>
      <vt:lpstr>object31_prijsjaar1</vt:lpstr>
      <vt:lpstr>object31_urendag1</vt:lpstr>
      <vt:lpstr>object31_urenjaar1</vt:lpstr>
      <vt:lpstr>object32_opptabel1</vt:lpstr>
      <vt:lpstr>object33_gemuurtarief1</vt:lpstr>
      <vt:lpstr>object33_opptabel1</vt:lpstr>
      <vt:lpstr>object33_prijsdag1</vt:lpstr>
      <vt:lpstr>object33_prijsjaar1</vt:lpstr>
      <vt:lpstr>object33_urendag1</vt:lpstr>
      <vt:lpstr>object33_urenjaar1</vt:lpstr>
      <vt:lpstr>object34_gemuurtarief1</vt:lpstr>
      <vt:lpstr>object34_opptabel1</vt:lpstr>
      <vt:lpstr>object34_prijsdag1</vt:lpstr>
      <vt:lpstr>object34_prijsjaar1</vt:lpstr>
      <vt:lpstr>object34_urendag1</vt:lpstr>
      <vt:lpstr>object34_urenjaar1</vt:lpstr>
      <vt:lpstr>object35_gemuurtarief1</vt:lpstr>
      <vt:lpstr>object35_opptabel1</vt:lpstr>
      <vt:lpstr>object35_prijsdag1</vt:lpstr>
      <vt:lpstr>object35_prijsjaar1</vt:lpstr>
      <vt:lpstr>object35_urendag1</vt:lpstr>
      <vt:lpstr>object35_urenjaar1</vt:lpstr>
      <vt:lpstr>object36_gemuurtarief1</vt:lpstr>
      <vt:lpstr>object36_opptabel1</vt:lpstr>
      <vt:lpstr>object36_prijsdag1</vt:lpstr>
      <vt:lpstr>object36_prijsjaar1</vt:lpstr>
      <vt:lpstr>object36_urendag1</vt:lpstr>
      <vt:lpstr>object36_urenjaar1</vt:lpstr>
      <vt:lpstr>object37_gemuurtarief1</vt:lpstr>
      <vt:lpstr>object37_opptabel1</vt:lpstr>
      <vt:lpstr>object37_prijsdag1</vt:lpstr>
      <vt:lpstr>object37_prijsjaar1</vt:lpstr>
      <vt:lpstr>object37_urendag1</vt:lpstr>
      <vt:lpstr>object37_urenjaar1</vt:lpstr>
      <vt:lpstr>object38_gemuurtarief1</vt:lpstr>
      <vt:lpstr>object38_opptabel1</vt:lpstr>
      <vt:lpstr>object38_prijsdag1</vt:lpstr>
      <vt:lpstr>object38_prijsjaar1</vt:lpstr>
      <vt:lpstr>object38_urendag1</vt:lpstr>
      <vt:lpstr>object38_urenjaar1</vt:lpstr>
      <vt:lpstr>object39_gemuurtarief1</vt:lpstr>
      <vt:lpstr>object39_opptabel1</vt:lpstr>
      <vt:lpstr>object39_prijsdag1</vt:lpstr>
      <vt:lpstr>object39_prijsjaar1</vt:lpstr>
      <vt:lpstr>object39_urendag1</vt:lpstr>
      <vt:lpstr>object39_urenjaar1</vt:lpstr>
      <vt:lpstr>object4_gemuurtarief1</vt:lpstr>
      <vt:lpstr>object4_opptabel1</vt:lpstr>
      <vt:lpstr>object4_prijsdag1</vt:lpstr>
      <vt:lpstr>object4_prijsjaar1</vt:lpstr>
      <vt:lpstr>object4_urendag1</vt:lpstr>
      <vt:lpstr>object4_urenjaar1</vt:lpstr>
      <vt:lpstr>object40_opptabel1</vt:lpstr>
      <vt:lpstr>object41_gemuurtarief1</vt:lpstr>
      <vt:lpstr>object41_opptabel1</vt:lpstr>
      <vt:lpstr>object41_prijsdag1</vt:lpstr>
      <vt:lpstr>object41_prijsjaar1</vt:lpstr>
      <vt:lpstr>object41_urendag1</vt:lpstr>
      <vt:lpstr>object41_urenjaar1</vt:lpstr>
      <vt:lpstr>object42_gemuurtarief1</vt:lpstr>
      <vt:lpstr>object42_opptabel1</vt:lpstr>
      <vt:lpstr>object42_prijsdag1</vt:lpstr>
      <vt:lpstr>object42_prijsjaar1</vt:lpstr>
      <vt:lpstr>object42_urendag1</vt:lpstr>
      <vt:lpstr>object42_urenjaar1</vt:lpstr>
      <vt:lpstr>object43_gemuurtarief1</vt:lpstr>
      <vt:lpstr>object43_opptabel1</vt:lpstr>
      <vt:lpstr>object43_prijsdag1</vt:lpstr>
      <vt:lpstr>object43_prijsjaar1</vt:lpstr>
      <vt:lpstr>object43_urendag1</vt:lpstr>
      <vt:lpstr>object43_urenjaar1</vt:lpstr>
      <vt:lpstr>object44_opptabel1</vt:lpstr>
      <vt:lpstr>object45_opptabel1</vt:lpstr>
      <vt:lpstr>object46_gemuurtarief1</vt:lpstr>
      <vt:lpstr>object46_opptabel1</vt:lpstr>
      <vt:lpstr>object46_prijsdag1</vt:lpstr>
      <vt:lpstr>object46_prijsjaar1</vt:lpstr>
      <vt:lpstr>object46_urendag1</vt:lpstr>
      <vt:lpstr>object46_urenjaar1</vt:lpstr>
      <vt:lpstr>object47_opptabel1</vt:lpstr>
      <vt:lpstr>object48_gemuurtarief1</vt:lpstr>
      <vt:lpstr>object48_opptabel1</vt:lpstr>
      <vt:lpstr>object48_prijsdag1</vt:lpstr>
      <vt:lpstr>object48_prijsjaar1</vt:lpstr>
      <vt:lpstr>object48_urendag1</vt:lpstr>
      <vt:lpstr>object48_urenjaar1</vt:lpstr>
      <vt:lpstr>object49_opptabel1</vt:lpstr>
      <vt:lpstr>object5_gemuurtarief1</vt:lpstr>
      <vt:lpstr>object5_opptabel1</vt:lpstr>
      <vt:lpstr>object5_prijsdag1</vt:lpstr>
      <vt:lpstr>object5_prijsjaar1</vt:lpstr>
      <vt:lpstr>object5_urendag1</vt:lpstr>
      <vt:lpstr>object5_urenjaar1</vt:lpstr>
      <vt:lpstr>object50_opptabel1</vt:lpstr>
      <vt:lpstr>object51_gemuurtarief1</vt:lpstr>
      <vt:lpstr>object51_opptabel1</vt:lpstr>
      <vt:lpstr>object51_prijsdag1</vt:lpstr>
      <vt:lpstr>object51_prijsjaar1</vt:lpstr>
      <vt:lpstr>object51_urendag1</vt:lpstr>
      <vt:lpstr>object51_urenjaar1</vt:lpstr>
      <vt:lpstr>object52_gemuurtarief1</vt:lpstr>
      <vt:lpstr>object52_opptabel1</vt:lpstr>
      <vt:lpstr>object52_prijsdag1</vt:lpstr>
      <vt:lpstr>object52_prijsjaar1</vt:lpstr>
      <vt:lpstr>object52_urendag1</vt:lpstr>
      <vt:lpstr>object52_urenjaar1</vt:lpstr>
      <vt:lpstr>object53_opptabel1</vt:lpstr>
      <vt:lpstr>object54_gemuurtarief1</vt:lpstr>
      <vt:lpstr>object54_opptabel1</vt:lpstr>
      <vt:lpstr>object54_prijsdag1</vt:lpstr>
      <vt:lpstr>object54_prijsjaar1</vt:lpstr>
      <vt:lpstr>object54_urendag1</vt:lpstr>
      <vt:lpstr>object54_urenjaar1</vt:lpstr>
      <vt:lpstr>object55_gemuurtarief1</vt:lpstr>
      <vt:lpstr>object55_opptabel1</vt:lpstr>
      <vt:lpstr>object55_prijsdag1</vt:lpstr>
      <vt:lpstr>object55_prijsjaar1</vt:lpstr>
      <vt:lpstr>object55_urendag1</vt:lpstr>
      <vt:lpstr>object55_urenjaar1</vt:lpstr>
      <vt:lpstr>object56_gemuurtarief1</vt:lpstr>
      <vt:lpstr>object56_opptabel1</vt:lpstr>
      <vt:lpstr>object56_prijsdag1</vt:lpstr>
      <vt:lpstr>object56_prijsjaar1</vt:lpstr>
      <vt:lpstr>object56_urendag1</vt:lpstr>
      <vt:lpstr>object56_urenjaar1</vt:lpstr>
      <vt:lpstr>object57_opptabel1</vt:lpstr>
      <vt:lpstr>object58_opptabel1</vt:lpstr>
      <vt:lpstr>object59_gemuurtarief1</vt:lpstr>
      <vt:lpstr>object59_opptabel1</vt:lpstr>
      <vt:lpstr>object59_prijsdag1</vt:lpstr>
      <vt:lpstr>object59_prijsjaar1</vt:lpstr>
      <vt:lpstr>object59_urendag1</vt:lpstr>
      <vt:lpstr>object59_urenjaar1</vt:lpstr>
      <vt:lpstr>object6_gemuurtarief1</vt:lpstr>
      <vt:lpstr>object6_opptabel1</vt:lpstr>
      <vt:lpstr>object6_prijsdag1</vt:lpstr>
      <vt:lpstr>object6_prijsjaar1</vt:lpstr>
      <vt:lpstr>object6_urendag1</vt:lpstr>
      <vt:lpstr>object6_urenjaar1</vt:lpstr>
      <vt:lpstr>object60_gemuurtarief1</vt:lpstr>
      <vt:lpstr>object60_opptabel1</vt:lpstr>
      <vt:lpstr>object60_prijsdag1</vt:lpstr>
      <vt:lpstr>object60_prijsjaar1</vt:lpstr>
      <vt:lpstr>object60_urendag1</vt:lpstr>
      <vt:lpstr>object60_urenjaar1</vt:lpstr>
      <vt:lpstr>object61_gemuurtarief1</vt:lpstr>
      <vt:lpstr>object61_opptabel1</vt:lpstr>
      <vt:lpstr>object61_prijsdag1</vt:lpstr>
      <vt:lpstr>object61_prijsjaar1</vt:lpstr>
      <vt:lpstr>object61_urendag1</vt:lpstr>
      <vt:lpstr>object61_urenjaar1</vt:lpstr>
      <vt:lpstr>object62_opptabel1</vt:lpstr>
      <vt:lpstr>object63_gemuurtarief1</vt:lpstr>
      <vt:lpstr>object63_opptabel1</vt:lpstr>
      <vt:lpstr>object63_prijsdag1</vt:lpstr>
      <vt:lpstr>object63_prijsjaar1</vt:lpstr>
      <vt:lpstr>object63_urendag1</vt:lpstr>
      <vt:lpstr>object63_urenjaar1</vt:lpstr>
      <vt:lpstr>object64_gemuurtarief1</vt:lpstr>
      <vt:lpstr>object64_opptabel1</vt:lpstr>
      <vt:lpstr>object64_prijsdag1</vt:lpstr>
      <vt:lpstr>object64_prijsjaar1</vt:lpstr>
      <vt:lpstr>object64_urendag1</vt:lpstr>
      <vt:lpstr>object64_urenjaar1</vt:lpstr>
      <vt:lpstr>object65_gemuurtarief1</vt:lpstr>
      <vt:lpstr>object65_opptabel1</vt:lpstr>
      <vt:lpstr>object65_prijsdag1</vt:lpstr>
      <vt:lpstr>object65_prijsjaar1</vt:lpstr>
      <vt:lpstr>object65_urendag1</vt:lpstr>
      <vt:lpstr>object65_urenjaar1</vt:lpstr>
      <vt:lpstr>object66_gemuurtarief1</vt:lpstr>
      <vt:lpstr>object66_opptabel1</vt:lpstr>
      <vt:lpstr>object66_prijsdag1</vt:lpstr>
      <vt:lpstr>object66_prijsjaar1</vt:lpstr>
      <vt:lpstr>object66_urendag1</vt:lpstr>
      <vt:lpstr>object66_urenjaar1</vt:lpstr>
      <vt:lpstr>object67_opptabel1</vt:lpstr>
      <vt:lpstr>object68_opptabel1</vt:lpstr>
      <vt:lpstr>object69_opptabel1</vt:lpstr>
      <vt:lpstr>object7_gemuurtarief1</vt:lpstr>
      <vt:lpstr>object7_opptabel1</vt:lpstr>
      <vt:lpstr>object7_prijsdag1</vt:lpstr>
      <vt:lpstr>object7_prijsjaar1</vt:lpstr>
      <vt:lpstr>object7_urendag1</vt:lpstr>
      <vt:lpstr>object7_urenjaar1</vt:lpstr>
      <vt:lpstr>object70_gemuurtarief1</vt:lpstr>
      <vt:lpstr>object70_opptabel1</vt:lpstr>
      <vt:lpstr>object70_prijsdag1</vt:lpstr>
      <vt:lpstr>object70_prijsjaar1</vt:lpstr>
      <vt:lpstr>object70_urendag1</vt:lpstr>
      <vt:lpstr>object70_urenjaar1</vt:lpstr>
      <vt:lpstr>object8_gemuurtarief1</vt:lpstr>
      <vt:lpstr>object8_opptabel1</vt:lpstr>
      <vt:lpstr>object8_prijsdag1</vt:lpstr>
      <vt:lpstr>object8_prijsjaar1</vt:lpstr>
      <vt:lpstr>object8_urendag1</vt:lpstr>
      <vt:lpstr>object8_urenjaar1</vt:lpstr>
      <vt:lpstr>object9_gemuurtarief1</vt:lpstr>
      <vt:lpstr>object9_opptabel1</vt:lpstr>
      <vt:lpstr>object9_prijsdag1</vt:lpstr>
      <vt:lpstr>object9_prijsjaar1</vt:lpstr>
      <vt:lpstr>object9_urendag1</vt:lpstr>
      <vt:lpstr>object9_urenjaar1</vt:lpstr>
      <vt:lpstr>objectprijs1_1</vt:lpstr>
      <vt:lpstr>objectprijs10_1</vt:lpstr>
      <vt:lpstr>objectprijs11_1</vt:lpstr>
      <vt:lpstr>objectprijs12_1</vt:lpstr>
      <vt:lpstr>objectprijs13_1</vt:lpstr>
      <vt:lpstr>objectprijs14_1</vt:lpstr>
      <vt:lpstr>objectprijs15_1</vt:lpstr>
      <vt:lpstr>objectprijs16_1</vt:lpstr>
      <vt:lpstr>objectprijs17_1</vt:lpstr>
      <vt:lpstr>objectprijs18_1</vt:lpstr>
      <vt:lpstr>objectprijs19_1</vt:lpstr>
      <vt:lpstr>objectprijs2_1</vt:lpstr>
      <vt:lpstr>objectprijs20_1</vt:lpstr>
      <vt:lpstr>objectprijs21_1</vt:lpstr>
      <vt:lpstr>objectprijs22_1</vt:lpstr>
      <vt:lpstr>objectprijs23_1</vt:lpstr>
      <vt:lpstr>objectprijs24_1</vt:lpstr>
      <vt:lpstr>objectprijs25_1</vt:lpstr>
      <vt:lpstr>objectprijs26_1</vt:lpstr>
      <vt:lpstr>objectprijs27_1</vt:lpstr>
      <vt:lpstr>objectprijs28_1</vt:lpstr>
      <vt:lpstr>objectprijs29_1</vt:lpstr>
      <vt:lpstr>objectprijs3_1</vt:lpstr>
      <vt:lpstr>objectprijs30_1</vt:lpstr>
      <vt:lpstr>objectprijs31_1</vt:lpstr>
      <vt:lpstr>objectprijs32_1</vt:lpstr>
      <vt:lpstr>objectprijs33_1</vt:lpstr>
      <vt:lpstr>objectprijs34_1</vt:lpstr>
      <vt:lpstr>objectprijs35_1</vt:lpstr>
      <vt:lpstr>objectprijs36_1</vt:lpstr>
      <vt:lpstr>objectprijs37_1</vt:lpstr>
      <vt:lpstr>objectprijs38_1</vt:lpstr>
      <vt:lpstr>objectprijs39_1</vt:lpstr>
      <vt:lpstr>objectprijs4_1</vt:lpstr>
      <vt:lpstr>objectprijs40_1</vt:lpstr>
      <vt:lpstr>objectprijs41_1</vt:lpstr>
      <vt:lpstr>objectprijs42_1</vt:lpstr>
      <vt:lpstr>objectprijs43_1</vt:lpstr>
      <vt:lpstr>objectprijs44_1</vt:lpstr>
      <vt:lpstr>objectprijs45_1</vt:lpstr>
      <vt:lpstr>objectprijs46_1</vt:lpstr>
      <vt:lpstr>objectprijs47_1</vt:lpstr>
      <vt:lpstr>objectprijs48_1</vt:lpstr>
      <vt:lpstr>objectprijs49_1</vt:lpstr>
      <vt:lpstr>objectprijs5_1</vt:lpstr>
      <vt:lpstr>objectprijs50_1</vt:lpstr>
      <vt:lpstr>objectprijs51_1</vt:lpstr>
      <vt:lpstr>objectprijs52_1</vt:lpstr>
      <vt:lpstr>objectprijs53_1</vt:lpstr>
      <vt:lpstr>objectprijs54_1</vt:lpstr>
      <vt:lpstr>objectprijs55_1</vt:lpstr>
      <vt:lpstr>objectprijs56_1</vt:lpstr>
      <vt:lpstr>objectprijs57_1</vt:lpstr>
      <vt:lpstr>objectprijs58_1</vt:lpstr>
      <vt:lpstr>objectprijs59_1</vt:lpstr>
      <vt:lpstr>objectprijs6_1</vt:lpstr>
      <vt:lpstr>objectprijs60_1</vt:lpstr>
      <vt:lpstr>objectprijs61_1</vt:lpstr>
      <vt:lpstr>objectprijs62_1</vt:lpstr>
      <vt:lpstr>objectprijs63_1</vt:lpstr>
      <vt:lpstr>objectprijs64_1</vt:lpstr>
      <vt:lpstr>objectprijs65_1</vt:lpstr>
      <vt:lpstr>objectprijs66_1</vt:lpstr>
      <vt:lpstr>objectprijs67_1</vt:lpstr>
      <vt:lpstr>objectprijs68_1</vt:lpstr>
      <vt:lpstr>objectprijs69_1</vt:lpstr>
      <vt:lpstr>objectprijs7_1</vt:lpstr>
      <vt:lpstr>objectprijs70_1</vt:lpstr>
      <vt:lpstr>objectprijs8_1</vt:lpstr>
      <vt:lpstr>objectprijs9_1</vt:lpstr>
      <vt:lpstr>objecturen1_1</vt:lpstr>
      <vt:lpstr>objecturen10_1</vt:lpstr>
      <vt:lpstr>objecturen11_1</vt:lpstr>
      <vt:lpstr>objecturen12_1</vt:lpstr>
      <vt:lpstr>objecturen13_1</vt:lpstr>
      <vt:lpstr>objecturen14_1</vt:lpstr>
      <vt:lpstr>objecturen15_1</vt:lpstr>
      <vt:lpstr>objecturen16_1</vt:lpstr>
      <vt:lpstr>objecturen17_1</vt:lpstr>
      <vt:lpstr>objecturen18_1</vt:lpstr>
      <vt:lpstr>objecturen19_1</vt:lpstr>
      <vt:lpstr>objecturen2_1</vt:lpstr>
      <vt:lpstr>objecturen20_1</vt:lpstr>
      <vt:lpstr>objecturen21_1</vt:lpstr>
      <vt:lpstr>objecturen22_1</vt:lpstr>
      <vt:lpstr>objecturen23_1</vt:lpstr>
      <vt:lpstr>objecturen24_1</vt:lpstr>
      <vt:lpstr>objecturen25_1</vt:lpstr>
      <vt:lpstr>objecturen26_1</vt:lpstr>
      <vt:lpstr>objecturen27_1</vt:lpstr>
      <vt:lpstr>objecturen28_1</vt:lpstr>
      <vt:lpstr>objecturen29_1</vt:lpstr>
      <vt:lpstr>objecturen3_1</vt:lpstr>
      <vt:lpstr>objecturen30_1</vt:lpstr>
      <vt:lpstr>objecturen31_1</vt:lpstr>
      <vt:lpstr>objecturen32_1</vt:lpstr>
      <vt:lpstr>objecturen33_1</vt:lpstr>
      <vt:lpstr>objecturen34_1</vt:lpstr>
      <vt:lpstr>objecturen35_1</vt:lpstr>
      <vt:lpstr>objecturen36_1</vt:lpstr>
      <vt:lpstr>objecturen37_1</vt:lpstr>
      <vt:lpstr>objecturen38_1</vt:lpstr>
      <vt:lpstr>objecturen39_1</vt:lpstr>
      <vt:lpstr>objecturen4_1</vt:lpstr>
      <vt:lpstr>objecturen40_1</vt:lpstr>
      <vt:lpstr>objecturen41_1</vt:lpstr>
      <vt:lpstr>objecturen42_1</vt:lpstr>
      <vt:lpstr>objecturen43_1</vt:lpstr>
      <vt:lpstr>objecturen44_1</vt:lpstr>
      <vt:lpstr>objecturen45_1</vt:lpstr>
      <vt:lpstr>objecturen46_1</vt:lpstr>
      <vt:lpstr>objecturen47_1</vt:lpstr>
      <vt:lpstr>objecturen48_1</vt:lpstr>
      <vt:lpstr>objecturen49_1</vt:lpstr>
      <vt:lpstr>objecturen5_1</vt:lpstr>
      <vt:lpstr>objecturen50_1</vt:lpstr>
      <vt:lpstr>objecturen51_1</vt:lpstr>
      <vt:lpstr>objecturen52_1</vt:lpstr>
      <vt:lpstr>objecturen53_1</vt:lpstr>
      <vt:lpstr>objecturen54_1</vt:lpstr>
      <vt:lpstr>objecturen55_1</vt:lpstr>
      <vt:lpstr>objecturen56_1</vt:lpstr>
      <vt:lpstr>objecturen57_1</vt:lpstr>
      <vt:lpstr>objecturen58_1</vt:lpstr>
      <vt:lpstr>objecturen59_1</vt:lpstr>
      <vt:lpstr>objecturen6_1</vt:lpstr>
      <vt:lpstr>objecturen60_1</vt:lpstr>
      <vt:lpstr>objecturen61_1</vt:lpstr>
      <vt:lpstr>objecturen62_1</vt:lpstr>
      <vt:lpstr>objecturen63_1</vt:lpstr>
      <vt:lpstr>objecturen64_1</vt:lpstr>
      <vt:lpstr>objecturen65_1</vt:lpstr>
      <vt:lpstr>objecturen66_1</vt:lpstr>
      <vt:lpstr>objecturen67_1</vt:lpstr>
      <vt:lpstr>objecturen68_1</vt:lpstr>
      <vt:lpstr>objecturen69_1</vt:lpstr>
      <vt:lpstr>objecturen7_1</vt:lpstr>
      <vt:lpstr>objecturen70_1</vt:lpstr>
      <vt:lpstr>objecturen8_1</vt:lpstr>
      <vt:lpstr>objecturen9_1</vt:lpstr>
      <vt:lpstr>prijsdag1</vt:lpstr>
      <vt:lpstr>prijsjaar</vt:lpstr>
      <vt:lpstr>prijsjaar1</vt:lpstr>
      <vt:lpstr>prijsjaaradditioneel</vt:lpstr>
      <vt:lpstr>prijsjaaradditioneel1</vt:lpstr>
      <vt:lpstr>prijsjaarglas</vt:lpstr>
      <vt:lpstr>prijsjaarglas1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prodnorm0</vt:lpstr>
      <vt:lpstr>prodnorm1</vt:lpstr>
      <vt:lpstr>prodnorm10</vt:lpstr>
      <vt:lpstr>prodnorm100</vt:lpstr>
      <vt:lpstr>prodnorm101</vt:lpstr>
      <vt:lpstr>prodnorm102</vt:lpstr>
      <vt:lpstr>prodnorm103</vt:lpstr>
      <vt:lpstr>prodnorm104</vt:lpstr>
      <vt:lpstr>prodnorm105</vt:lpstr>
      <vt:lpstr>prodnorm106</vt:lpstr>
      <vt:lpstr>prodnorm107</vt:lpstr>
      <vt:lpstr>prodnorm108</vt:lpstr>
      <vt:lpstr>prodnorm109</vt:lpstr>
      <vt:lpstr>prodnorm110</vt:lpstr>
      <vt:lpstr>prodnorm111</vt:lpstr>
      <vt:lpstr>prodnorm112</vt:lpstr>
      <vt:lpstr>prodnorm113</vt:lpstr>
      <vt:lpstr>prodnorm114</vt:lpstr>
      <vt:lpstr>prodnorm115</vt:lpstr>
      <vt:lpstr>prodnorm116</vt:lpstr>
      <vt:lpstr>prodnorm117</vt:lpstr>
      <vt:lpstr>prodnorm118</vt:lpstr>
      <vt:lpstr>prodnorm119</vt:lpstr>
      <vt:lpstr>prodnorm12</vt:lpstr>
      <vt:lpstr>prodnorm120</vt:lpstr>
      <vt:lpstr>prodnorm121</vt:lpstr>
      <vt:lpstr>prodnorm122</vt:lpstr>
      <vt:lpstr>prodnorm123</vt:lpstr>
      <vt:lpstr>prodnorm124</vt:lpstr>
      <vt:lpstr>prodnorm125</vt:lpstr>
      <vt:lpstr>prodnorm126</vt:lpstr>
      <vt:lpstr>prodnorm127</vt:lpstr>
      <vt:lpstr>prodnorm128</vt:lpstr>
      <vt:lpstr>prodnorm129</vt:lpstr>
      <vt:lpstr>prodnorm13</vt:lpstr>
      <vt:lpstr>prodnorm130</vt:lpstr>
      <vt:lpstr>prodnorm131</vt:lpstr>
      <vt:lpstr>prodnorm132</vt:lpstr>
      <vt:lpstr>prodnorm133</vt:lpstr>
      <vt:lpstr>prodnorm134</vt:lpstr>
      <vt:lpstr>prodnorm135</vt:lpstr>
      <vt:lpstr>prodnorm136</vt:lpstr>
      <vt:lpstr>prodnorm137</vt:lpstr>
      <vt:lpstr>prodnorm138</vt:lpstr>
      <vt:lpstr>prodnorm139</vt:lpstr>
      <vt:lpstr>prodnorm14</vt:lpstr>
      <vt:lpstr>prodnorm140</vt:lpstr>
      <vt:lpstr>prodnorm141</vt:lpstr>
      <vt:lpstr>prodnorm142</vt:lpstr>
      <vt:lpstr>prodnorm143</vt:lpstr>
      <vt:lpstr>prodnorm144</vt:lpstr>
      <vt:lpstr>prodnorm145</vt:lpstr>
      <vt:lpstr>prodnorm146</vt:lpstr>
      <vt:lpstr>prodnorm147</vt:lpstr>
      <vt:lpstr>prodnorm148</vt:lpstr>
      <vt:lpstr>prodnorm149</vt:lpstr>
      <vt:lpstr>prodnorm150</vt:lpstr>
      <vt:lpstr>prodnorm151</vt:lpstr>
      <vt:lpstr>prodnorm152</vt:lpstr>
      <vt:lpstr>prodnorm17</vt:lpstr>
      <vt:lpstr>prodnorm18</vt:lpstr>
      <vt:lpstr>prodnorm20</vt:lpstr>
      <vt:lpstr>prodnorm21</vt:lpstr>
      <vt:lpstr>prodnorm22</vt:lpstr>
      <vt:lpstr>prodnorm24</vt:lpstr>
      <vt:lpstr>prodnorm25</vt:lpstr>
      <vt:lpstr>prodnorm26</vt:lpstr>
      <vt:lpstr>prodnorm27</vt:lpstr>
      <vt:lpstr>prodnorm28</vt:lpstr>
      <vt:lpstr>prodnorm29</vt:lpstr>
      <vt:lpstr>prodnorm3</vt:lpstr>
      <vt:lpstr>prodnorm30</vt:lpstr>
      <vt:lpstr>prodnorm31</vt:lpstr>
      <vt:lpstr>prodnorm32</vt:lpstr>
      <vt:lpstr>prodnorm33</vt:lpstr>
      <vt:lpstr>prodnorm34</vt:lpstr>
      <vt:lpstr>prodnorm35</vt:lpstr>
      <vt:lpstr>prodnorm36</vt:lpstr>
      <vt:lpstr>prodnorm37</vt:lpstr>
      <vt:lpstr>prodnorm38</vt:lpstr>
      <vt:lpstr>prodnorm39</vt:lpstr>
      <vt:lpstr>prodnorm4</vt:lpstr>
      <vt:lpstr>prodnorm40</vt:lpstr>
      <vt:lpstr>prodnorm41</vt:lpstr>
      <vt:lpstr>prodnorm42</vt:lpstr>
      <vt:lpstr>prodnorm43</vt:lpstr>
      <vt:lpstr>prodnorm44</vt:lpstr>
      <vt:lpstr>prodnorm45</vt:lpstr>
      <vt:lpstr>prodnorm46</vt:lpstr>
      <vt:lpstr>prodnorm47</vt:lpstr>
      <vt:lpstr>prodnorm48</vt:lpstr>
      <vt:lpstr>prodnorm49</vt:lpstr>
      <vt:lpstr>prodnorm5</vt:lpstr>
      <vt:lpstr>prodnorm50</vt:lpstr>
      <vt:lpstr>prodnorm51</vt:lpstr>
      <vt:lpstr>prodnorm52</vt:lpstr>
      <vt:lpstr>prodnorm53</vt:lpstr>
      <vt:lpstr>prodnorm54</vt:lpstr>
      <vt:lpstr>prodnorm55</vt:lpstr>
      <vt:lpstr>prodnorm56</vt:lpstr>
      <vt:lpstr>prodnorm57</vt:lpstr>
      <vt:lpstr>prodnorm58</vt:lpstr>
      <vt:lpstr>prodnorm59</vt:lpstr>
      <vt:lpstr>prodnorm60</vt:lpstr>
      <vt:lpstr>prodnorm61</vt:lpstr>
      <vt:lpstr>prodnorm62</vt:lpstr>
      <vt:lpstr>prodnorm63</vt:lpstr>
      <vt:lpstr>prodnorm64</vt:lpstr>
      <vt:lpstr>prodnorm65</vt:lpstr>
      <vt:lpstr>prodnorm66</vt:lpstr>
      <vt:lpstr>prodnorm67</vt:lpstr>
      <vt:lpstr>prodnorm68</vt:lpstr>
      <vt:lpstr>prodnorm69</vt:lpstr>
      <vt:lpstr>prodnorm7</vt:lpstr>
      <vt:lpstr>prodnorm70</vt:lpstr>
      <vt:lpstr>prodnorm71</vt:lpstr>
      <vt:lpstr>prodnorm72</vt:lpstr>
      <vt:lpstr>prodnorm73</vt:lpstr>
      <vt:lpstr>prodnorm74</vt:lpstr>
      <vt:lpstr>prodnorm75</vt:lpstr>
      <vt:lpstr>prodnorm76</vt:lpstr>
      <vt:lpstr>prodnorm77</vt:lpstr>
      <vt:lpstr>prodnorm78</vt:lpstr>
      <vt:lpstr>prodnorm79</vt:lpstr>
      <vt:lpstr>prodnorm8</vt:lpstr>
      <vt:lpstr>prodnorm80</vt:lpstr>
      <vt:lpstr>prodnorm81</vt:lpstr>
      <vt:lpstr>prodnorm82</vt:lpstr>
      <vt:lpstr>prodnorm83</vt:lpstr>
      <vt:lpstr>prodnorm84</vt:lpstr>
      <vt:lpstr>prodnorm85</vt:lpstr>
      <vt:lpstr>prodnorm86</vt:lpstr>
      <vt:lpstr>prodnorm87</vt:lpstr>
      <vt:lpstr>prodnorm88</vt:lpstr>
      <vt:lpstr>prodnorm89</vt:lpstr>
      <vt:lpstr>prodnorm9</vt:lpstr>
      <vt:lpstr>prodnorm90</vt:lpstr>
      <vt:lpstr>prodnorm91</vt:lpstr>
      <vt:lpstr>prodnorm92</vt:lpstr>
      <vt:lpstr>prodnorm93</vt:lpstr>
      <vt:lpstr>prodnorm94</vt:lpstr>
      <vt:lpstr>prodnorm95</vt:lpstr>
      <vt:lpstr>prodnorm96</vt:lpstr>
      <vt:lpstr>prodnorm97</vt:lpstr>
      <vt:lpstr>prodnorm98</vt:lpstr>
      <vt:lpstr>prodnorm99</vt:lpstr>
      <vt:lpstr>taakfreqtabel1</vt:lpstr>
      <vt:lpstr>tabeltype</vt:lpstr>
      <vt:lpstr>Tariefopbouw1</vt:lpstr>
      <vt:lpstr>Tariefopbouw2</vt:lpstr>
      <vt:lpstr>Tariefopbouw3</vt:lpstr>
      <vt:lpstr>Tariefopbouw4</vt:lpstr>
      <vt:lpstr>Tariefopbouw5</vt:lpstr>
      <vt:lpstr>Tariefopbouw6</vt:lpstr>
      <vt:lpstr>Tariefopbouw7</vt:lpstr>
      <vt:lpstr>Tariefopbouw8</vt:lpstr>
      <vt:lpstr>Tariefopbouw9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TariefOpbouwBasisloon8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TariefOpbouwDirecteKosten8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TariefOpbouwErvaring8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TariefOpbouwIndirecteKosten8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TariefOpbouwNaam8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TariefOpbouwRisicoWinst8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TariefOpbouwRisicoWinstPercentage8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TariefOpbouwTarief8</vt:lpstr>
      <vt:lpstr>TariefOpbouwTarief8DN</vt:lpstr>
      <vt:lpstr>TariefOpbouwTarief8W</vt:lpstr>
      <vt:lpstr>TariefOpbouwTarief8X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TariefOpbouwTotaalLoonkosten8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TariefOpbouwUurloon8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TariefOpbouwUurloonkosten8</vt:lpstr>
      <vt:lpstr>tarieftabel1</vt:lpstr>
      <vt:lpstr>TariefUitvoering1</vt:lpstr>
      <vt:lpstr>TariefUitvoering2</vt:lpstr>
      <vt:lpstr>TariefUitvoering3</vt:lpstr>
      <vt:lpstr>TariefUitvoering4</vt:lpstr>
      <vt:lpstr>TariefUitvoering5</vt:lpstr>
      <vt:lpstr>TariefUitvoering6</vt:lpstr>
      <vt:lpstr>TariefUitvoering7</vt:lpstr>
      <vt:lpstr>TariefUitvoering8</vt:lpstr>
      <vt:lpstr>TariefUitvoering9</vt:lpstr>
      <vt:lpstr>urendag1</vt:lpstr>
      <vt:lpstr>urenjaar</vt:lpstr>
      <vt:lpstr>urenjaar1</vt:lpstr>
      <vt:lpstr>urenjaartotaal</vt:lpstr>
      <vt:lpstr>urenjaartotaal1</vt:lpstr>
      <vt:lpstr>urenjaartotaaloverzicht</vt:lpstr>
      <vt:lpstr>uurfactortabel1</vt:lpstr>
      <vt:lpstr>uurtarief0</vt:lpstr>
      <vt:lpstr>uurtarief1</vt:lpstr>
      <vt:lpstr>uurtarief10</vt:lpstr>
      <vt:lpstr>uurtarief100</vt:lpstr>
      <vt:lpstr>uurtarief101</vt:lpstr>
      <vt:lpstr>uurtarief102</vt:lpstr>
      <vt:lpstr>uurtarief103</vt:lpstr>
      <vt:lpstr>uurtarief104</vt:lpstr>
      <vt:lpstr>uurtarief105</vt:lpstr>
      <vt:lpstr>uurtarief106</vt:lpstr>
      <vt:lpstr>uurtarief107</vt:lpstr>
      <vt:lpstr>uurtarief108</vt:lpstr>
      <vt:lpstr>uurtarief109</vt:lpstr>
      <vt:lpstr>uurtarief110</vt:lpstr>
      <vt:lpstr>uurtarief111</vt:lpstr>
      <vt:lpstr>uurtarief112</vt:lpstr>
      <vt:lpstr>uurtarief113</vt:lpstr>
      <vt:lpstr>uurtarief114</vt:lpstr>
      <vt:lpstr>uurtarief115</vt:lpstr>
      <vt:lpstr>uurtarief116</vt:lpstr>
      <vt:lpstr>uurtarief117</vt:lpstr>
      <vt:lpstr>uurtarief118</vt:lpstr>
      <vt:lpstr>uurtarief119</vt:lpstr>
      <vt:lpstr>uurtarief12</vt:lpstr>
      <vt:lpstr>uurtarief120</vt:lpstr>
      <vt:lpstr>uurtarief121</vt:lpstr>
      <vt:lpstr>uurtarief122</vt:lpstr>
      <vt:lpstr>uurtarief123</vt:lpstr>
      <vt:lpstr>uurtarief124</vt:lpstr>
      <vt:lpstr>uurtarief125</vt:lpstr>
      <vt:lpstr>uurtarief126</vt:lpstr>
      <vt:lpstr>uurtarief127</vt:lpstr>
      <vt:lpstr>uurtarief128</vt:lpstr>
      <vt:lpstr>uurtarief129</vt:lpstr>
      <vt:lpstr>uurtarief13</vt:lpstr>
      <vt:lpstr>uurtarief130</vt:lpstr>
      <vt:lpstr>uurtarief131</vt:lpstr>
      <vt:lpstr>uurtarief132</vt:lpstr>
      <vt:lpstr>uurtarief133</vt:lpstr>
      <vt:lpstr>uurtarief134</vt:lpstr>
      <vt:lpstr>uurtarief135</vt:lpstr>
      <vt:lpstr>uurtarief136</vt:lpstr>
      <vt:lpstr>uurtarief137</vt:lpstr>
      <vt:lpstr>uurtarief138</vt:lpstr>
      <vt:lpstr>uurtarief139</vt:lpstr>
      <vt:lpstr>uurtarief14</vt:lpstr>
      <vt:lpstr>uurtarief140</vt:lpstr>
      <vt:lpstr>uurtarief141</vt:lpstr>
      <vt:lpstr>uurtarief142</vt:lpstr>
      <vt:lpstr>uurtarief143</vt:lpstr>
      <vt:lpstr>uurtarief144</vt:lpstr>
      <vt:lpstr>uurtarief145</vt:lpstr>
      <vt:lpstr>uurtarief146</vt:lpstr>
      <vt:lpstr>uurtarief147</vt:lpstr>
      <vt:lpstr>uurtarief148</vt:lpstr>
      <vt:lpstr>uurtarief149</vt:lpstr>
      <vt:lpstr>uurtarief150</vt:lpstr>
      <vt:lpstr>uurtarief151</vt:lpstr>
      <vt:lpstr>uurtarief152</vt:lpstr>
      <vt:lpstr>uurtarief17</vt:lpstr>
      <vt:lpstr>uurtarief18</vt:lpstr>
      <vt:lpstr>uurtarief20</vt:lpstr>
      <vt:lpstr>uurtarief21</vt:lpstr>
      <vt:lpstr>uurtarief22</vt:lpstr>
      <vt:lpstr>uurtarief24</vt:lpstr>
      <vt:lpstr>uurtarief25</vt:lpstr>
      <vt:lpstr>uurtarief26</vt:lpstr>
      <vt:lpstr>uurtarief27</vt:lpstr>
      <vt:lpstr>uurtarief28</vt:lpstr>
      <vt:lpstr>uurtarief29</vt:lpstr>
      <vt:lpstr>uurtarief3</vt:lpstr>
      <vt:lpstr>uurtarief30</vt:lpstr>
      <vt:lpstr>uurtarief31</vt:lpstr>
      <vt:lpstr>uurtarief32</vt:lpstr>
      <vt:lpstr>uurtarief33</vt:lpstr>
      <vt:lpstr>uurtarief34</vt:lpstr>
      <vt:lpstr>uurtarief35</vt:lpstr>
      <vt:lpstr>uurtarief36</vt:lpstr>
      <vt:lpstr>uurtarief37</vt:lpstr>
      <vt:lpstr>uurtarief38</vt:lpstr>
      <vt:lpstr>uurtarief39</vt:lpstr>
      <vt:lpstr>uurtarief4</vt:lpstr>
      <vt:lpstr>uurtarief40</vt:lpstr>
      <vt:lpstr>uurtarief41</vt:lpstr>
      <vt:lpstr>uurtarief42</vt:lpstr>
      <vt:lpstr>uurtarief43</vt:lpstr>
      <vt:lpstr>uurtarief44</vt:lpstr>
      <vt:lpstr>uurtarief45</vt:lpstr>
      <vt:lpstr>uurtarief46</vt:lpstr>
      <vt:lpstr>uurtarief47</vt:lpstr>
      <vt:lpstr>uurtarief48</vt:lpstr>
      <vt:lpstr>uurtarief49</vt:lpstr>
      <vt:lpstr>uurtarief5</vt:lpstr>
      <vt:lpstr>uurtarief50</vt:lpstr>
      <vt:lpstr>uurtarief51</vt:lpstr>
      <vt:lpstr>uurtarief52</vt:lpstr>
      <vt:lpstr>uurtarief53</vt:lpstr>
      <vt:lpstr>uurtarief54</vt:lpstr>
      <vt:lpstr>uurtarief55</vt:lpstr>
      <vt:lpstr>uurtarief56</vt:lpstr>
      <vt:lpstr>uurtarief57</vt:lpstr>
      <vt:lpstr>uurtarief58</vt:lpstr>
      <vt:lpstr>uurtarief59</vt:lpstr>
      <vt:lpstr>uurtarief60</vt:lpstr>
      <vt:lpstr>uurtarief61</vt:lpstr>
      <vt:lpstr>uurtarief62</vt:lpstr>
      <vt:lpstr>uurtarief63</vt:lpstr>
      <vt:lpstr>uurtarief64</vt:lpstr>
      <vt:lpstr>uurtarief65</vt:lpstr>
      <vt:lpstr>uurtarief66</vt:lpstr>
      <vt:lpstr>uurtarief67</vt:lpstr>
      <vt:lpstr>uurtarief68</vt:lpstr>
      <vt:lpstr>uurtarief69</vt:lpstr>
      <vt:lpstr>uurtarief7</vt:lpstr>
      <vt:lpstr>uurtarief70</vt:lpstr>
      <vt:lpstr>uurtarief71</vt:lpstr>
      <vt:lpstr>uurtarief72</vt:lpstr>
      <vt:lpstr>uurtarief73</vt:lpstr>
      <vt:lpstr>uurtarief74</vt:lpstr>
      <vt:lpstr>uurtarief75</vt:lpstr>
      <vt:lpstr>uurtarief76</vt:lpstr>
      <vt:lpstr>uurtarief77</vt:lpstr>
      <vt:lpstr>uurtarief78</vt:lpstr>
      <vt:lpstr>uurtarief79</vt:lpstr>
      <vt:lpstr>uurtarief8</vt:lpstr>
      <vt:lpstr>uurtarief80</vt:lpstr>
      <vt:lpstr>uurtarief81</vt:lpstr>
      <vt:lpstr>uurtarief82</vt:lpstr>
      <vt:lpstr>uurtarief83</vt:lpstr>
      <vt:lpstr>uurtarief84</vt:lpstr>
      <vt:lpstr>uurtarief85</vt:lpstr>
      <vt:lpstr>uurtarief86</vt:lpstr>
      <vt:lpstr>uurtarief87</vt:lpstr>
      <vt:lpstr>uurtarief88</vt:lpstr>
      <vt:lpstr>uurtarief89</vt:lpstr>
      <vt:lpstr>uurtarief9</vt:lpstr>
      <vt:lpstr>uurtarief90</vt:lpstr>
      <vt:lpstr>uurtarief91</vt:lpstr>
      <vt:lpstr>uurtarief92</vt:lpstr>
      <vt:lpstr>uurtarief93</vt:lpstr>
      <vt:lpstr>uurtarief94</vt:lpstr>
      <vt:lpstr>uurtarief95</vt:lpstr>
      <vt:lpstr>uurtarief96</vt:lpstr>
      <vt:lpstr>uurtarief97</vt:lpstr>
      <vt:lpstr>uurtarief98</vt:lpstr>
      <vt:lpstr>uurtarief99</vt:lpstr>
      <vt:lpstr>vp_additioneel</vt:lpstr>
      <vt:lpstr>vp_glas</vt:lpstr>
      <vt:lpstr>vp_regie</vt:lpstr>
      <vt:lpstr>vp_variant</vt:lpstr>
      <vt:lpstr>vu_variant</vt:lpstr>
      <vt:lpstr>wib_prijs_budget</vt:lpstr>
      <vt:lpstr>wib_regulier</vt:lpstr>
      <vt:lpstr>wib_variant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2026-10-30T07:01:52Z</dcterms:created>
  <dcterms:modified xsi:type="dcterms:W3CDTF">2026-10-30T07:04:50Z</dcterms:modified>
</cp:coreProperties>
</file>