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2853b48280f585/2. Gemeente Beesel/ICT dienstverlening/Aanpassing prijzenblad en beoordelingsmatrix 250926/"/>
    </mc:Choice>
  </mc:AlternateContent>
  <xr:revisionPtr revIDLastSave="9" documentId="8_{28A665CD-336B-44DB-B0D9-5F2A65648CCB}" xr6:coauthVersionLast="47" xr6:coauthVersionMax="47" xr10:uidLastSave="{B034CFC1-1D40-46DC-B6F0-4DA78F68E715}"/>
  <bookViews>
    <workbookView xWindow="-11655" yWindow="-16320" windowWidth="29040" windowHeight="15720" firstSheet="1" activeTab="3" xr2:uid="{2F422189-86B6-4C4A-A8F1-69E9F30242E1}"/>
  </bookViews>
  <sheets>
    <sheet name="Inschrijver" sheetId="2" r:id="rId1"/>
    <sheet name="Prijs" sheetId="1" r:id="rId2"/>
    <sheet name="Kwaliteit" sheetId="4" r:id="rId3"/>
    <sheet name="Totaal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  <c r="E7" i="1"/>
  <c r="E6" i="1"/>
  <c r="E5" i="1"/>
  <c r="E4" i="1"/>
  <c r="B22" i="1"/>
  <c r="B23" i="1" s="1"/>
  <c r="C15" i="3"/>
  <c r="C14" i="3"/>
  <c r="C13" i="3"/>
  <c r="C12" i="3"/>
  <c r="C11" i="3"/>
  <c r="C10" i="3"/>
  <c r="C9" i="3"/>
  <c r="C8" i="3"/>
  <c r="C7" i="3"/>
  <c r="C6" i="3"/>
  <c r="B15" i="3"/>
  <c r="B14" i="3"/>
  <c r="B13" i="3"/>
  <c r="B12" i="3"/>
  <c r="B11" i="3"/>
  <c r="B10" i="3"/>
  <c r="B9" i="3"/>
  <c r="B8" i="3"/>
  <c r="B7" i="3"/>
  <c r="B6" i="3"/>
  <c r="A15" i="3"/>
  <c r="A14" i="3"/>
  <c r="A13" i="3"/>
  <c r="A12" i="3"/>
  <c r="A11" i="3"/>
  <c r="A10" i="3"/>
  <c r="A9" i="3"/>
  <c r="A8" i="3"/>
  <c r="A7" i="3"/>
  <c r="A6" i="3"/>
  <c r="D13" i="1"/>
  <c r="D12" i="1"/>
  <c r="D11" i="1"/>
  <c r="D10" i="1"/>
  <c r="D9" i="1"/>
  <c r="D8" i="1"/>
  <c r="D7" i="1"/>
  <c r="D6" i="1"/>
  <c r="D5" i="1"/>
  <c r="D4" i="1"/>
  <c r="D6" i="3" s="1"/>
  <c r="A4" i="1"/>
  <c r="A5" i="1"/>
  <c r="A6" i="1"/>
  <c r="A7" i="1"/>
  <c r="A8" i="1"/>
  <c r="A9" i="1"/>
  <c r="A10" i="1"/>
  <c r="A11" i="1"/>
  <c r="A12" i="1"/>
  <c r="A13" i="1"/>
  <c r="B14" i="4"/>
  <c r="U4" i="4"/>
  <c r="S4" i="4"/>
  <c r="Q4" i="4"/>
  <c r="O4" i="4"/>
  <c r="M4" i="4"/>
  <c r="K4" i="4"/>
  <c r="I4" i="4"/>
  <c r="G4" i="4"/>
  <c r="E4" i="4"/>
  <c r="C4" i="4"/>
  <c r="B12" i="4"/>
  <c r="D15" i="3" l="1"/>
  <c r="F13" i="1"/>
  <c r="E15" i="3" s="1"/>
  <c r="F15" i="3" s="1"/>
  <c r="D14" i="3"/>
  <c r="F12" i="1"/>
  <c r="E14" i="3" s="1"/>
  <c r="F14" i="3" s="1"/>
  <c r="D13" i="3"/>
  <c r="F11" i="1"/>
  <c r="E13" i="3" s="1"/>
  <c r="F13" i="3" s="1"/>
  <c r="D12" i="3"/>
  <c r="F10" i="1"/>
  <c r="E12" i="3" s="1"/>
  <c r="F12" i="3" s="1"/>
  <c r="D11" i="3"/>
  <c r="F9" i="1"/>
  <c r="E11" i="3" s="1"/>
  <c r="F11" i="3" s="1"/>
  <c r="D10" i="3"/>
  <c r="F8" i="1"/>
  <c r="E10" i="3" s="1"/>
  <c r="F10" i="3" s="1"/>
  <c r="D9" i="3"/>
  <c r="F7" i="1"/>
  <c r="E9" i="3" s="1"/>
  <c r="F9" i="3" s="1"/>
  <c r="D8" i="3"/>
  <c r="F6" i="1"/>
  <c r="E8" i="3" s="1"/>
  <c r="F8" i="3" s="1"/>
  <c r="D7" i="3"/>
  <c r="F5" i="1"/>
  <c r="E7" i="3" s="1"/>
  <c r="F7" i="3" s="1"/>
  <c r="F4" i="1"/>
  <c r="E6" i="3"/>
  <c r="F6" i="3" s="1"/>
  <c r="O12" i="4" a="1"/>
  <c r="O12" i="4" s="1"/>
  <c r="G12" i="3" s="1" a="1"/>
  <c r="G12" i="3" s="1"/>
  <c r="H12" i="3" s="1"/>
  <c r="S12" i="4" a="1"/>
  <c r="S12" i="4" s="1"/>
  <c r="G14" i="3" s="1" a="1"/>
  <c r="G14" i="3" s="1"/>
  <c r="H14" i="3" s="1"/>
  <c r="Q12" i="4" a="1"/>
  <c r="Q12" i="4" s="1"/>
  <c r="G13" i="3" s="1" a="1"/>
  <c r="G13" i="3" s="1"/>
  <c r="H13" i="3" s="1"/>
  <c r="K12" i="4" a="1"/>
  <c r="K12" i="4" s="1"/>
  <c r="G10" i="3" s="1" a="1"/>
  <c r="G10" i="3" s="1"/>
  <c r="H10" i="3" s="1"/>
  <c r="I12" i="4" a="1"/>
  <c r="I12" i="4" s="1"/>
  <c r="G9" i="3" s="1" a="1"/>
  <c r="G9" i="3" s="1"/>
  <c r="H9" i="3" s="1"/>
  <c r="G12" i="4" a="1"/>
  <c r="G12" i="4" s="1"/>
  <c r="G8" i="3" s="1" a="1"/>
  <c r="G8" i="3" s="1"/>
  <c r="H8" i="3" s="1"/>
  <c r="C12" i="4" a="1"/>
  <c r="C12" i="4" s="1"/>
  <c r="G6" i="3" s="1" a="1"/>
  <c r="G6" i="3" s="1"/>
  <c r="H6" i="3" s="1"/>
  <c r="E12" i="4" a="1"/>
  <c r="E12" i="4" s="1"/>
  <c r="G7" i="3" s="1" a="1"/>
  <c r="G7" i="3" s="1"/>
  <c r="H7" i="3" s="1"/>
  <c r="I14" i="3" l="1"/>
  <c r="I13" i="3"/>
  <c r="I12" i="3"/>
  <c r="I10" i="3"/>
  <c r="I9" i="3"/>
  <c r="I8" i="3"/>
  <c r="I7" i="3"/>
  <c r="I6" i="3"/>
  <c r="U12" i="4" a="1"/>
  <c r="U12" i="4" s="1"/>
  <c r="G15" i="3" s="1" a="1"/>
  <c r="G15" i="3" s="1"/>
  <c r="H15" i="3" s="1"/>
  <c r="I15" i="3" s="1"/>
  <c r="M12" i="4" a="1"/>
  <c r="M12" i="4" s="1"/>
  <c r="G11" i="3" s="1" a="1"/>
  <c r="G11" i="3" s="1"/>
  <c r="H11" i="3" s="1"/>
  <c r="I11" i="3" s="1"/>
  <c r="J11" i="3" s="1"/>
  <c r="J15" i="3" l="1"/>
  <c r="J14" i="3"/>
  <c r="J13" i="3"/>
  <c r="J12" i="3"/>
  <c r="J10" i="3"/>
  <c r="J6" i="3"/>
  <c r="J9" i="3"/>
  <c r="J8" i="3"/>
  <c r="J7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<sst xmlns="http://schemas.openxmlformats.org/spreadsheetml/2006/main" count="99" uniqueCount="68">
  <si>
    <t>Inschrijvers</t>
  </si>
  <si>
    <t>Nr.</t>
  </si>
  <si>
    <t>Naam inschrijver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</si>
  <si>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</si>
  <si>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</si>
  <si>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</si>
  <si>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</si>
  <si>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</si>
  <si>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</si>
  <si>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</si>
  <si>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</si>
  <si>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</si>
  <si>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</si>
  <si>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Vul maximaal tien namen in; een lege naam stelt die positie automatisch buiten werking in Prijs, Kwaliteit en Totaal.</t>
  </si>
  <si>
    <t>Prijsbeoordeling</t>
  </si>
  <si>
    <t>Vul per inschrijver de structurele kosten en de afzonderlijke transitie- en implementatiekosten exclusief btw in. Alleen de structurele kosten worden aan het budgetplafond getoetst.</t>
  </si>
  <si>
    <t>Inschrijver</t>
  </si>
  <si>
    <t>Structurele kosten: J25</t>
  </si>
  <si>
    <t>Transitie &amp; implementatie: J24</t>
  </si>
  <si>
    <t>Totale beoordelingsprijs: J23</t>
  </si>
  <si>
    <t>Beoordelen</t>
  </si>
  <si>
    <t>Prijsscore</t>
  </si>
  <si>
    <t>Toelichting</t>
  </si>
  <si>
    <t>Geldig structureel; totale prijs wordt afgezet tegen € 730.000</t>
  </si>
  <si>
    <t>Overname uit gepubliceerd prijzenblad vdef2.1: vul in kolom B ‘Prijzenblad!J25’ (structurele kosten), in kolom C ‘Prijzenblad!J24’ (transitie) en controleer dat de automatisch berekende kolom D gelijk is aan ‘Prijzenblad!J23’ (totale beoordelingsprijs). Dezelfde bedragen staan ter controle in ‘Controle prijs’!B7, B6 en B5.</t>
  </si>
  <si>
    <t>Beoordelingsparameters</t>
  </si>
  <si>
    <t>Budgetplafond structurele kosten</t>
  </si>
  <si>
    <t>Alleen van toepassing op de structurele reguliere dienstverlening over de initiële contractduur van 3 jaar</t>
  </si>
  <si>
    <t>Vaste onderste rekenwaarde structurele prijs</t>
  </si>
  <si>
    <t>Uitsluitend ondergrens van de lineaire scorecurve; geen minimumprijs en geen uitsluitingsgrond</t>
  </si>
  <si>
    <t>Vaste referentiewaarde totale beoordelingsprijs</t>
  </si>
  <si>
    <t>€ 730.000 = € 690.000 structurele referentiewaarde + € 40.000 rekenkundig transitiedeel; geen minimum, maximum of kostenraming</t>
  </si>
  <si>
    <t>Maximaal aantal prijspunten</t>
  </si>
  <si>
    <t>Minimaal aantal prijspunten</t>
  </si>
  <si>
    <t>Referentiedeel transitie en implementatie</t>
  </si>
  <si>
    <t>Rekenkundig verschil van € 40.000 tussen de totale referentiewaarde en het structurele budgetplafond; uitsluitend voor de absolute prijsscore</t>
  </si>
  <si>
    <t>Samengestelde minimale rekenwaarde</t>
  </si>
  <si>
    <t>Vaste onderste rekenwaarde € 350.000 plus € 40.000 transitiedeel; prijzen daaronder blijven geldig en ontvangen maximaal 30 punten</t>
  </si>
  <si>
    <t>Definitieve aansluiting op gepubliceerd prijzenblad vdef2.1: structurele kosten = Prijzenblad J25 en zijn alleen ongeldig boven € 690.000; transitie = J24 en kent geen prijsgrens; totale beoordelingsprijs = J23 en wordt absoluut afgezet tegen € 730.000. Het transitiedeel van € 40.000 is uitsluitend een vaste rekengrondslag. De rekenwaarde € 350.000 is geen minimumprijs. Opties tellen niet mee.</t>
  </si>
  <si>
    <t>Controle gepubliceerd prijzenblad vdef2.1</t>
  </si>
  <si>
    <t>Congruent: ‘Controle prijs’!E10 en E11 vergelijken uitsluitend de structurele kosten (‘Controle prijs’!B7 = ‘Prijzenblad’!J25) met € 690.000. Er is in de publicatieversie geen uitsluiting voor een prijs onder € 350.000; die waarde dient in de matrix alleen als onderste rekenwaarde.</t>
  </si>
  <si>
    <t>Congruent: ‘Prijzenblad’!J23 is de totale beoordelingsprijs inclusief transitie, ‘Prijzenblad’!J24 is transitie en ‘Prijzenblad’!J25 is structureel. De vaste totale referentiewaarde van € 730.000 staat uitsluitend in deze beoordelingsmatrix, zoals ‘Uitgangspunten’!B9 voorschrijft.</t>
  </si>
  <si>
    <t>Kwaliteitsbeoordeling</t>
  </si>
  <si>
    <t>Configureer 3 tot 6 criteria. Een lege criteriumnaam schakelt de regel uit; de actieve maximale scores moeten samen exact gelijk zijn aan het ingestelde maximum voor kwaliteit.</t>
  </si>
  <si>
    <t>Criterium</t>
  </si>
  <si>
    <t>Max. punten</t>
  </si>
  <si>
    <t>Configuratie</t>
  </si>
  <si>
    <t>Score</t>
  </si>
  <si>
    <t>Dienstverlening, regie en gebruikersgerichte service</t>
  </si>
  <si>
    <t>Continuïteit, calamiteitenrespons, back-up/herstel en operationele security</t>
  </si>
  <si>
    <t xml:space="preserve">Transitie, implementatie en exit/overdraagbaarheid </t>
  </si>
  <si>
    <t>Totaal maximum</t>
  </si>
  <si>
    <t>Ingesteld maximum kwaliteit</t>
  </si>
  <si>
    <t>Status configuratie</t>
  </si>
  <si>
    <t>Gebruik: vul het maximum voor kwaliteit in B13 in, verdeel dit over de actieve criteria en voer per inschrijver per criterium een score van 0 tot en met het criteriummaximum in.</t>
  </si>
  <si>
    <t>Eindbeoordeling en rangschikking</t>
  </si>
  <si>
    <t>Alleen inschrijvers met structurele kosten binnen de bandbreedte én een complete prijsinvoer ontvangen een totaalscore en rangnummer.</t>
  </si>
  <si>
    <t>Automatische weging</t>
  </si>
  <si>
    <t>Prijs</t>
  </si>
  <si>
    <t>Kwaliteit</t>
  </si>
  <si>
    <t>Structurele kosten</t>
  </si>
  <si>
    <t>Transitie &amp; implementatie</t>
  </si>
  <si>
    <t>Totale inschrijfsom</t>
  </si>
  <si>
    <t>Gewogen prijs</t>
  </si>
  <si>
    <t>Kwaliteitsscore</t>
  </si>
  <si>
    <t>Gewogen kwaliteit</t>
  </si>
  <si>
    <t>Totaalscore</t>
  </si>
  <si>
    <t>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</si>
</sst>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Aptos"/>
    </font>
    <font>
      <b/>
      <sz val="16"/>
      <color rgb="FFFFFFFF"/>
      <name val="Aptos"/>
    </font>
    <font>
      <i/>
      <sz val="11"/>
      <color rgb="FF666666"/>
      <name val="Calibri"/>
      <family val="2"/>
      <scheme val="minor"/>
    </font>
    <font>
      <sz val="10"/>
      <color theme="1"/>
      <name val="Aptos"/>
      <family val="2"/>
    </font>
    <font>
      <b/>
      <sz val="10"/>
      <color rgb="FFFFFFFF"/>
      <name val="Aptos"/>
      <family val="2"/>
    </font>
    <font>
      <b/>
      <sz val="16"/>
      <color rgb="FFFFFFFF"/>
      <name val="Aptos"/>
      <family val="2"/>
    </font>
    <font>
      <i/>
      <sz val="10"/>
      <color rgb="FF666666"/>
      <name val="Aptos"/>
      <family val="2"/>
    </font>
    <font>
      <b/>
      <sz val="10"/>
      <color theme="1"/>
      <name val="Aptos"/>
      <family val="2"/>
    </font>
    <font>
      <b/>
      <sz val="10"/>
      <color rgb="FFFFFFFF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6"/>
      <color rgb="FFFFFFFF"/>
      <name val="Arial"/>
    </font>
    <font>
      <sz val="10"/>
      <color rgb="FF1F2937"/>
      <name val="Arial"/>
    </font>
    <font>
      <i/>
      <sz val="10"/>
      <color theme="1"/>
      <name val="Arial"/>
    </font>
  </fonts>
  <fills count="13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3F6F9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D966"/>
        <bgColor indexed="64"/>
      </patternFill>
    </fill>
  </fills>
  <borders count="10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/>
      <right/>
      <top style="thin">
        <color rgb="FFB7C9D6"/>
      </top>
      <bottom style="thin">
        <color auto="1"/>
      </bottom>
      <diagonal/>
    </border>
    <border>
      <left style="thin">
        <color rgb="FFB7C9D6"/>
      </left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B7C9D6"/>
      </left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4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5" borderId="1" xfId="0" applyFill="1" applyBorder="1"/>
    <xf numFmtId="0" fontId="5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vertical="center"/>
    </xf>
    <xf numFmtId="2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2" fontId="6" fillId="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justify" wrapText="1"/>
    </xf>
    <xf numFmtId="0" fontId="5" fillId="5" borderId="1" xfId="0" applyFont="1" applyFill="1" applyBorder="1" applyAlignment="1">
      <alignment horizontal="left" vertical="justify" wrapText="1"/>
    </xf>
    <xf numFmtId="0" fontId="6" fillId="2" borderId="2" xfId="0" applyFont="1" applyFill="1" applyBorder="1" applyAlignment="1">
      <alignment vertical="center"/>
    </xf>
    <xf numFmtId="0" fontId="9" fillId="8" borderId="3" xfId="0" applyFont="1" applyFill="1" applyBorder="1" applyAlignment="1">
      <alignment vertical="center"/>
    </xf>
    <xf numFmtId="2" fontId="6" fillId="2" borderId="2" xfId="0" applyNumberFormat="1" applyFont="1" applyFill="1" applyBorder="1" applyAlignment="1">
      <alignment vertical="center"/>
    </xf>
    <xf numFmtId="2" fontId="9" fillId="5" borderId="3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0" fillId="4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7" borderId="0" xfId="0" applyFont="1" applyFill="1" applyAlignment="1">
      <alignment vertical="center"/>
    </xf>
    <xf numFmtId="9" fontId="12" fillId="7" borderId="0" xfId="0" applyNumberFormat="1" applyFont="1" applyFill="1" applyAlignment="1">
      <alignment vertical="center"/>
    </xf>
    <xf numFmtId="164" fontId="11" fillId="5" borderId="1" xfId="0" applyNumberFormat="1" applyFont="1" applyFill="1" applyBorder="1" applyAlignment="1">
      <alignment horizontal="right" vertical="center"/>
    </xf>
    <xf numFmtId="164" fontId="11" fillId="10" borderId="1" xfId="0" applyNumberFormat="1" applyFont="1" applyFill="1" applyBorder="1" applyAlignment="1">
      <alignment horizontal="right" vertical="center"/>
    </xf>
    <xf numFmtId="0" fontId="11" fillId="10" borderId="1" xfId="0" applyFont="1" applyFill="1" applyBorder="1" applyAlignment="1">
      <alignment horizontal="right" vertical="center" wrapText="1"/>
    </xf>
    <xf numFmtId="2" fontId="11" fillId="10" borderId="0" xfId="0" applyNumberFormat="1" applyFont="1" applyFill="1" applyAlignment="1">
      <alignment horizontal="right" vertical="center"/>
    </xf>
    <xf numFmtId="164" fontId="11" fillId="5" borderId="7" xfId="0" applyNumberFormat="1" applyFont="1" applyFill="1" applyBorder="1" applyAlignment="1">
      <alignment horizontal="right" vertical="center"/>
    </xf>
    <xf numFmtId="164" fontId="11" fillId="10" borderId="7" xfId="0" applyNumberFormat="1" applyFont="1" applyFill="1" applyBorder="1" applyAlignment="1">
      <alignment horizontal="right" vertical="center"/>
    </xf>
    <xf numFmtId="0" fontId="11" fillId="10" borderId="7" xfId="0" applyFont="1" applyFill="1" applyBorder="1" applyAlignment="1">
      <alignment horizontal="right" vertical="center" wrapText="1"/>
    </xf>
    <xf numFmtId="2" fontId="11" fillId="10" borderId="8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164" fontId="11" fillId="7" borderId="1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 wrapText="1"/>
    </xf>
    <xf numFmtId="164" fontId="12" fillId="12" borderId="1" xfId="0" applyNumberFormat="1" applyFont="1" applyFill="1" applyBorder="1" applyAlignment="1">
      <alignment horizontal="right" vertical="center"/>
    </xf>
    <xf numFmtId="2" fontId="11" fillId="7" borderId="1" xfId="0" applyNumberFormat="1" applyFont="1" applyFill="1" applyBorder="1" applyAlignment="1">
      <alignment horizontal="right" vertical="center"/>
    </xf>
    <xf numFmtId="2" fontId="11" fillId="7" borderId="0" xfId="0" applyNumberFormat="1" applyFont="1" applyFill="1" applyAlignment="1">
      <alignment horizontal="right" vertical="center"/>
    </xf>
    <xf numFmtId="164" fontId="11" fillId="10" borderId="8" xfId="0" applyNumberFormat="1" applyFont="1" applyFill="1" applyBorder="1" applyAlignment="1">
      <alignment horizontal="right" vertical="center"/>
    </xf>
    <xf numFmtId="0" fontId="11" fillId="0" borderId="8" xfId="0" applyFont="1" applyBorder="1" applyAlignment="1">
      <alignment horizontal="right" vertical="center" wrapText="1"/>
    </xf>
    <xf numFmtId="0" fontId="11" fillId="9" borderId="1" xfId="0" applyFont="1" applyFill="1" applyBorder="1" applyAlignment="1">
      <alignment horizontal="left" vertical="center"/>
    </xf>
    <xf numFmtId="0" fontId="11" fillId="9" borderId="7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1" fillId="11" borderId="0" xfId="0" applyFont="1" applyFill="1" applyAlignment="1">
      <alignment horizontal="left" vertical="center"/>
    </xf>
    <xf numFmtId="0" fontId="11" fillId="11" borderId="8" xfId="0" applyFont="1" applyFill="1" applyBorder="1" applyAlignment="1">
      <alignment horizontal="left" vertical="center"/>
    </xf>
    <xf numFmtId="164" fontId="11" fillId="11" borderId="1" xfId="0" applyNumberFormat="1" applyFont="1" applyFill="1" applyBorder="1" applyAlignment="1">
      <alignment horizontal="right" vertical="center"/>
    </xf>
    <xf numFmtId="164" fontId="11" fillId="11" borderId="1" xfId="0" applyNumberFormat="1" applyFont="1" applyFill="1" applyBorder="1" applyAlignment="1">
      <alignment horizontal="right" vertical="center" wrapText="1"/>
    </xf>
    <xf numFmtId="2" fontId="11" fillId="10" borderId="1" xfId="0" applyNumberFormat="1" applyFont="1" applyFill="1" applyBorder="1" applyAlignment="1">
      <alignment horizontal="right" vertical="center" wrapText="1"/>
    </xf>
    <xf numFmtId="2" fontId="12" fillId="10" borderId="1" xfId="0" applyNumberFormat="1" applyFont="1" applyFill="1" applyBorder="1" applyAlignment="1">
      <alignment horizontal="right" vertical="center" wrapText="1"/>
    </xf>
    <xf numFmtId="2" fontId="12" fillId="10" borderId="1" xfId="0" applyNumberFormat="1" applyFont="1" applyFill="1" applyBorder="1" applyAlignment="1">
      <alignment horizontal="right" vertical="center"/>
    </xf>
    <xf numFmtId="2" fontId="12" fillId="10" borderId="0" xfId="0" applyNumberFormat="1" applyFont="1" applyFill="1" applyAlignment="1">
      <alignment horizontal="right" vertical="center"/>
    </xf>
    <xf numFmtId="1" fontId="11" fillId="7" borderId="0" xfId="0" applyNumberFormat="1" applyFont="1" applyFill="1" applyAlignment="1">
      <alignment horizontal="right" vertical="center"/>
    </xf>
    <xf numFmtId="164" fontId="11" fillId="11" borderId="7" xfId="0" applyNumberFormat="1" applyFont="1" applyFill="1" applyBorder="1" applyAlignment="1">
      <alignment horizontal="right" vertical="center"/>
    </xf>
    <xf numFmtId="164" fontId="11" fillId="11" borderId="7" xfId="0" applyNumberFormat="1" applyFont="1" applyFill="1" applyBorder="1" applyAlignment="1">
      <alignment horizontal="right" vertical="center" wrapText="1"/>
    </xf>
    <xf numFmtId="2" fontId="11" fillId="10" borderId="7" xfId="0" applyNumberFormat="1" applyFont="1" applyFill="1" applyBorder="1" applyAlignment="1">
      <alignment horizontal="right" vertical="center" wrapText="1"/>
    </xf>
    <xf numFmtId="2" fontId="12" fillId="10" borderId="7" xfId="0" applyNumberFormat="1" applyFont="1" applyFill="1" applyBorder="1" applyAlignment="1">
      <alignment horizontal="right" vertical="center" wrapText="1"/>
    </xf>
    <xf numFmtId="2" fontId="12" fillId="10" borderId="7" xfId="0" applyNumberFormat="1" applyFont="1" applyFill="1" applyBorder="1" applyAlignment="1">
      <alignment horizontal="right" vertical="center"/>
    </xf>
    <xf numFmtId="2" fontId="12" fillId="10" borderId="8" xfId="0" applyNumberFormat="1" applyFont="1" applyFill="1" applyBorder="1" applyAlignment="1">
      <alignment horizontal="right" vertical="center"/>
    </xf>
    <xf numFmtId="1" fontId="11" fillId="7" borderId="8" xfId="0" applyNumberFormat="1" applyFont="1" applyFill="1" applyBorder="1" applyAlignment="1">
      <alignment horizontal="right" vertical="center"/>
    </xf>
    <xf numFmtId="164" fontId="11" fillId="10" borderId="0" xfId="0" applyNumberFormat="1" applyFont="1" applyFill="1" applyAlignment="1">
      <alignment vertical="center"/>
    </xf>
    <xf numFmtId="0" fontId="12" fillId="10" borderId="0" xfId="0" applyFont="1" applyFill="1" applyAlignment="1">
      <alignment vertical="center"/>
    </xf>
    <xf numFmtId="0" fontId="11" fillId="10" borderId="0" xfId="0" applyFont="1" applyFill="1" applyAlignment="1">
      <alignment vertical="center" wrapText="1"/>
    </xf>
    <xf numFmtId="0" fontId="11" fillId="7" borderId="0" xfId="0" applyFont="1" applyFill="1" applyAlignment="1">
      <alignment wrapText="1"/>
    </xf>
    <xf numFmtId="0" fontId="1" fillId="5" borderId="9" xfId="0" applyFont="1" applyFill="1" applyBorder="1" applyAlignment="1">
      <alignment wrapText="1"/>
    </xf>
    <xf numFmtId="0" fontId="10" fillId="4" borderId="4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4" fillId="6" borderId="0" xfId="0" applyFont="1" applyFill="1" applyAlignment="1">
      <alignment vertical="center" wrapText="1"/>
    </xf>
    <xf numFmtId="0" fontId="10" fillId="4" borderId="6" xfId="0" applyFont="1" applyFill="1" applyBorder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10" fillId="4" borderId="0" xfId="0" applyFont="1" applyFill="1" applyAlignment="1">
      <alignment vertical="center"/>
    </xf>
    <xf numFmtId="0" fontId="15" fillId="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1" fillId="6" borderId="0" xfId="0" applyFont="1" applyFill="1" applyAlignment="1">
      <alignment vertical="center" wrapText="1"/>
    </xf>
    <xf numFmtId="0" fontId="4" fillId="0" borderId="0" xfId="0" applyFont="1" applyAlignment="1"/>
    <xf numFmtId="0" fontId="10" fillId="4" borderId="0" xfId="0" applyFont="1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8D9F-E22C-428B-8ADE-6A3AEFE50B3A}">
  <dimension ref="A1:B14"/>
  <sheetViews>
    <sheetView workbookViewId="0">
      <selection sqref="A1:B1"/>
    </sheetView>
  </sheetViews>
  <sheetFormatPr defaultColWidth="8.85546875" defaultRowHeight="14.25"/>
  <cols>
    <col min="1" max="1" width="8.42578125" customWidth="1"/>
    <col min="2" max="2" width="37.28515625" customWidth="1"/>
  </cols>
  <sheetData>
    <row r="1" spans="1:2" ht="28.15" customHeight="1">
      <c r="A1" s="77" t="s">
        <v>0</v>
      </c>
      <c r="B1" s="77"/>
    </row>
    <row r="2" spans="1:2">
      <c r="A2" s="1" t="s">
        <v>1</v>
      </c>
      <c r="B2" s="1" t="s">
        <v>2</v>
      </c>
    </row>
    <row r="3" spans="1:2">
      <c r="A3" s="2">
        <v>1</v>
      </c>
      <c r="B3" s="3" t="s">
        <v>3</v>
      </c>
    </row>
    <row r="4" spans="1:2">
      <c r="A4" s="2">
        <v>2</v>
      </c>
      <c r="B4" s="3" t="s">
        <v>4</v>
      </c>
    </row>
    <row r="5" spans="1:2">
      <c r="A5" s="2">
        <v>3</v>
      </c>
      <c r="B5" s="3" t="s">
        <v>5</v>
      </c>
    </row>
    <row r="6" spans="1:2">
      <c r="A6" s="2">
        <v>4</v>
      </c>
      <c r="B6" s="3" t="s">
        <v>6</v>
      </c>
    </row>
    <row r="7" spans="1:2">
      <c r="A7" s="2">
        <v>5</v>
      </c>
      <c r="B7" s="3" t="s">
        <v>7</v>
      </c>
    </row>
    <row r="8" spans="1:2">
      <c r="A8" s="2">
        <v>6</v>
      </c>
      <c r="B8" s="3" t="s">
        <v>8</v>
      </c>
    </row>
    <row r="9" spans="1:2">
      <c r="A9" s="2">
        <v>7</v>
      </c>
      <c r="B9" s="3" t="s">
        <v>9</v>
      </c>
    </row>
    <row r="10" spans="1:2">
      <c r="A10" s="2">
        <v>8</v>
      </c>
      <c r="B10" s="3" t="s">
        <v>10</v>
      </c>
    </row>
    <row r="11" spans="1:2">
      <c r="A11" s="2">
        <v>9</v>
      </c>
      <c r="B11" s="3" t="s">
        <v>11</v>
      </c>
    </row>
    <row r="12" spans="1:2">
      <c r="A12" s="2">
        <v>10</v>
      </c>
      <c r="B12" s="3" t="s">
        <v>12</v>
      </c>
    </row>
    <row r="14" spans="1:2">
      <c r="A14" s="83" t="s">
        <v>13</v>
      </c>
      <c r="B14" s="83"/>
    </row>
  </sheetData>
  <mergeCells count="2">
    <mergeCell ref="A1:B1"/>
    <mergeCell ref="A14:B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31943-8241-4B8A-989E-6A8BA3DC7BBA}">
  <dimension ref="A1:G29"/>
  <sheetViews>
    <sheetView workbookViewId="0">
      <selection activeCell="A14" sqref="A14:G14"/>
    </sheetView>
  </sheetViews>
  <sheetFormatPr defaultColWidth="8.85546875" defaultRowHeight="14.25"/>
  <cols>
    <col min="1" max="1" width="44.28515625" customWidth="1"/>
    <col min="2" max="2" width="23.85546875" customWidth="1"/>
    <col min="3" max="3" width="29.5703125" customWidth="1"/>
    <col min="4" max="4" width="23.85546875" customWidth="1"/>
    <col min="5" max="5" width="19" customWidth="1"/>
    <col min="6" max="6" width="15.28515625" customWidth="1"/>
    <col min="7" max="7" width="46.7109375" customWidth="1"/>
  </cols>
  <sheetData>
    <row r="1" spans="1:7" ht="20.65">
      <c r="A1" s="71" t="s">
        <v>14</v>
      </c>
      <c r="B1" s="71"/>
      <c r="C1" s="71"/>
      <c r="D1" s="71"/>
      <c r="E1" s="71"/>
      <c r="F1" s="71"/>
      <c r="G1" s="71"/>
    </row>
    <row r="2" spans="1:7">
      <c r="A2" s="72" t="s">
        <v>15</v>
      </c>
      <c r="B2" s="72"/>
      <c r="C2" s="72"/>
      <c r="D2" s="72"/>
      <c r="E2" s="72"/>
      <c r="F2" s="72"/>
      <c r="G2" s="72"/>
    </row>
    <row r="3" spans="1:7" ht="26.25">
      <c r="A3" s="19" t="s">
        <v>16</v>
      </c>
      <c r="B3" s="19" t="s">
        <v>17</v>
      </c>
      <c r="C3" s="19" t="s">
        <v>18</v>
      </c>
      <c r="D3" s="19" t="s">
        <v>19</v>
      </c>
      <c r="E3" s="19" t="s">
        <v>20</v>
      </c>
      <c r="F3" s="21" t="s">
        <v>21</v>
      </c>
      <c r="G3" s="21" t="s">
        <v>22</v>
      </c>
    </row>
    <row r="4" spans="1:7">
      <c r="A4" s="42" t="str">
        <f>IF(Inschrijver!B3="","",Inschrijver!B3)</f>
        <v>A</v>
      </c>
      <c r="B4" s="26">
        <v>650000</v>
      </c>
      <c r="C4" s="26">
        <v>50000</v>
      </c>
      <c r="D4" s="27">
        <f>IF(OR(A4="",B4="",C4=""),"",B4+C4)</f>
        <v>700000</v>
      </c>
      <c r="E4" s="28" t="str">
        <f>IF(OR(A4="",B4=""),"",IF(B4&gt;$B$17,"nee",IF(C4="","transitie invoeren",IF(C4&lt;0,"controleer transitie","ja"))))</f>
        <v>ja</v>
      </c>
      <c r="F4" s="29">
        <f>IF(E4&lt;&gt;"ja","",IF($B$19="","referentie ontbreekt",IF($B$19&lt;=$B$23,"controleer referentie",MAX($B$21,MIN($B$20,$B$20-(D4-$B$23)/($B$19-$B$23)*($B$20-$B$21))))))</f>
        <v>2.647058823529413</v>
      </c>
      <c r="G4" s="48" t="s">
        <v>23</v>
      </c>
    </row>
    <row r="5" spans="1:7">
      <c r="A5" s="42" t="str">
        <f>IF(Inschrijver!B4="","",Inschrijver!B4)</f>
        <v>B</v>
      </c>
      <c r="B5" s="26">
        <v>650000</v>
      </c>
      <c r="C5" s="26">
        <v>50000</v>
      </c>
      <c r="D5" s="27">
        <f t="shared" ref="D5:D13" si="0">IF(OR(A5="",B5="",C5=""),"",B5+C5)</f>
        <v>700000</v>
      </c>
      <c r="E5" s="28" t="str">
        <f t="shared" ref="E5:E13" si="1">IF(OR(A5="",B5=""),"",IF(B5&gt;$B$17,"nee",IF(C5="","transitie invoeren",IF(C5&lt;0,"controleer transitie","ja"))))</f>
        <v>ja</v>
      </c>
      <c r="F5" s="29">
        <f t="shared" ref="F5:F13" si="2">IF(E5&lt;&gt;"ja","",IF($B$19="","referentie ontbreekt",IF($B$19&lt;=$B$23,"controleer referentie",MAX($B$21,MIN($B$20,$B$20-(D5-$B$23)/($B$19-$B$23)*($B$20-$B$21))))))</f>
        <v>2.647058823529413</v>
      </c>
      <c r="G5" s="48" t="s">
        <v>23</v>
      </c>
    </row>
    <row r="6" spans="1:7">
      <c r="A6" s="42" t="str">
        <f>IF(Inschrijver!B5="","",Inschrijver!B5)</f>
        <v>C</v>
      </c>
      <c r="B6" s="26">
        <v>650000</v>
      </c>
      <c r="C6" s="26">
        <v>50000</v>
      </c>
      <c r="D6" s="27">
        <f t="shared" si="0"/>
        <v>700000</v>
      </c>
      <c r="E6" s="28" t="str">
        <f t="shared" si="1"/>
        <v>ja</v>
      </c>
      <c r="F6" s="29">
        <f t="shared" si="2"/>
        <v>2.647058823529413</v>
      </c>
      <c r="G6" s="48" t="s">
        <v>23</v>
      </c>
    </row>
    <row r="7" spans="1:7">
      <c r="A7" s="42" t="str">
        <f>IF(Inschrijver!B6="","",Inschrijver!B6)</f>
        <v>D</v>
      </c>
      <c r="B7" s="26">
        <v>650000</v>
      </c>
      <c r="C7" s="26">
        <v>50000</v>
      </c>
      <c r="D7" s="27">
        <f t="shared" si="0"/>
        <v>700000</v>
      </c>
      <c r="E7" s="28" t="str">
        <f t="shared" si="1"/>
        <v>ja</v>
      </c>
      <c r="F7" s="29">
        <f t="shared" si="2"/>
        <v>2.647058823529413</v>
      </c>
      <c r="G7" s="48" t="s">
        <v>23</v>
      </c>
    </row>
    <row r="8" spans="1:7">
      <c r="A8" s="42" t="str">
        <f>IF(Inschrijver!B7="","",Inschrijver!B7)</f>
        <v>E</v>
      </c>
      <c r="B8" s="26">
        <v>650000</v>
      </c>
      <c r="C8" s="26">
        <v>50000</v>
      </c>
      <c r="D8" s="27">
        <f t="shared" si="0"/>
        <v>700000</v>
      </c>
      <c r="E8" s="28" t="str">
        <f t="shared" si="1"/>
        <v>ja</v>
      </c>
      <c r="F8" s="29">
        <f t="shared" si="2"/>
        <v>2.647058823529413</v>
      </c>
      <c r="G8" s="48" t="s">
        <v>23</v>
      </c>
    </row>
    <row r="9" spans="1:7">
      <c r="A9" s="42" t="str">
        <f>IF(Inschrijver!B8="","",Inschrijver!B8)</f>
        <v>F</v>
      </c>
      <c r="B9" s="26">
        <v>650000</v>
      </c>
      <c r="C9" s="26">
        <v>50000</v>
      </c>
      <c r="D9" s="27">
        <f t="shared" si="0"/>
        <v>700000</v>
      </c>
      <c r="E9" s="28" t="str">
        <f t="shared" si="1"/>
        <v>ja</v>
      </c>
      <c r="F9" s="29">
        <f t="shared" si="2"/>
        <v>2.647058823529413</v>
      </c>
      <c r="G9" s="48" t="s">
        <v>23</v>
      </c>
    </row>
    <row r="10" spans="1:7">
      <c r="A10" s="42" t="str">
        <f>IF(Inschrijver!B9="","",Inschrijver!B9)</f>
        <v>G</v>
      </c>
      <c r="B10" s="26">
        <v>650000</v>
      </c>
      <c r="C10" s="26">
        <v>50000</v>
      </c>
      <c r="D10" s="27">
        <f t="shared" si="0"/>
        <v>700000</v>
      </c>
      <c r="E10" s="28" t="str">
        <f t="shared" si="1"/>
        <v>ja</v>
      </c>
      <c r="F10" s="29">
        <f t="shared" si="2"/>
        <v>2.647058823529413</v>
      </c>
      <c r="G10" s="48" t="s">
        <v>23</v>
      </c>
    </row>
    <row r="11" spans="1:7">
      <c r="A11" s="42" t="str">
        <f>IF(Inschrijver!B10="","",Inschrijver!B10)</f>
        <v>H</v>
      </c>
      <c r="B11" s="26">
        <v>650000</v>
      </c>
      <c r="C11" s="26">
        <v>50000</v>
      </c>
      <c r="D11" s="27">
        <f t="shared" si="0"/>
        <v>700000</v>
      </c>
      <c r="E11" s="28" t="str">
        <f t="shared" si="1"/>
        <v>ja</v>
      </c>
      <c r="F11" s="29">
        <f t="shared" si="2"/>
        <v>2.647058823529413</v>
      </c>
      <c r="G11" s="48" t="s">
        <v>23</v>
      </c>
    </row>
    <row r="12" spans="1:7">
      <c r="A12" s="42" t="str">
        <f>IF(Inschrijver!B11="","",Inschrijver!B11)</f>
        <v>I</v>
      </c>
      <c r="B12" s="26">
        <v>650000</v>
      </c>
      <c r="C12" s="26">
        <v>50000</v>
      </c>
      <c r="D12" s="27">
        <f t="shared" si="0"/>
        <v>700000</v>
      </c>
      <c r="E12" s="28" t="str">
        <f t="shared" si="1"/>
        <v>ja</v>
      </c>
      <c r="F12" s="29">
        <f t="shared" si="2"/>
        <v>2.647058823529413</v>
      </c>
      <c r="G12" s="48" t="s">
        <v>23</v>
      </c>
    </row>
    <row r="13" spans="1:7">
      <c r="A13" s="43" t="str">
        <f>IF(Inschrijver!B12="","",Inschrijver!B12)</f>
        <v>J</v>
      </c>
      <c r="B13" s="30">
        <v>650000</v>
      </c>
      <c r="C13" s="30">
        <v>50000</v>
      </c>
      <c r="D13" s="31">
        <f t="shared" si="0"/>
        <v>700000</v>
      </c>
      <c r="E13" s="32" t="str">
        <f t="shared" si="1"/>
        <v>ja</v>
      </c>
      <c r="F13" s="33">
        <f t="shared" si="2"/>
        <v>2.647058823529413</v>
      </c>
      <c r="G13" s="49" t="s">
        <v>23</v>
      </c>
    </row>
    <row r="14" spans="1:7" ht="42" customHeight="1">
      <c r="A14" s="68" t="s">
        <v>24</v>
      </c>
      <c r="B14" s="68"/>
      <c r="C14" s="68"/>
      <c r="D14" s="68"/>
      <c r="E14" s="68"/>
      <c r="F14" s="68"/>
      <c r="G14" s="68"/>
    </row>
    <row r="15" spans="1:7">
      <c r="A15" s="44"/>
      <c r="B15" s="34"/>
      <c r="C15" s="34"/>
      <c r="D15" s="34"/>
      <c r="E15" s="34"/>
      <c r="F15" s="34"/>
      <c r="G15" s="20"/>
    </row>
    <row r="16" spans="1:7">
      <c r="A16" s="69" t="s">
        <v>25</v>
      </c>
      <c r="B16" s="70"/>
      <c r="C16" s="73" t="s">
        <v>22</v>
      </c>
      <c r="D16" s="74"/>
      <c r="E16" s="74"/>
      <c r="F16" s="74"/>
      <c r="G16" s="75"/>
    </row>
    <row r="17" spans="1:7" ht="60" customHeight="1">
      <c r="A17" s="45" t="s">
        <v>26</v>
      </c>
      <c r="B17" s="35">
        <v>690000</v>
      </c>
      <c r="C17" s="36" t="s">
        <v>27</v>
      </c>
      <c r="D17" s="36"/>
      <c r="E17" s="36"/>
      <c r="F17" s="36"/>
      <c r="G17" s="22"/>
    </row>
    <row r="18" spans="1:7" ht="57" customHeight="1">
      <c r="A18" s="45" t="s">
        <v>28</v>
      </c>
      <c r="B18" s="35">
        <v>350000</v>
      </c>
      <c r="C18" s="36" t="s">
        <v>29</v>
      </c>
      <c r="D18" s="36"/>
      <c r="E18" s="36"/>
      <c r="F18" s="36"/>
      <c r="G18" s="22"/>
    </row>
    <row r="19" spans="1:7" ht="66.75" customHeight="1">
      <c r="A19" s="45" t="s">
        <v>30</v>
      </c>
      <c r="B19" s="37">
        <v>730000</v>
      </c>
      <c r="C19" s="36" t="s">
        <v>31</v>
      </c>
      <c r="D19" s="36"/>
      <c r="E19" s="36"/>
      <c r="F19" s="36"/>
      <c r="G19" s="22"/>
    </row>
    <row r="20" spans="1:7">
      <c r="A20" s="45" t="s">
        <v>32</v>
      </c>
      <c r="B20" s="38">
        <v>30</v>
      </c>
      <c r="C20" s="36"/>
      <c r="D20" s="36"/>
      <c r="E20" s="36"/>
      <c r="F20" s="36"/>
      <c r="G20" s="22"/>
    </row>
    <row r="21" spans="1:7">
      <c r="A21" s="46" t="s">
        <v>33</v>
      </c>
      <c r="B21" s="39">
        <v>0</v>
      </c>
      <c r="C21" s="36"/>
      <c r="D21" s="36"/>
      <c r="E21" s="36"/>
      <c r="F21" s="36"/>
      <c r="G21" s="22"/>
    </row>
    <row r="22" spans="1:7" ht="75.75" customHeight="1">
      <c r="A22" s="47" t="s">
        <v>34</v>
      </c>
      <c r="B22" s="40">
        <f>IF(B19="","",B19-B17)</f>
        <v>40000</v>
      </c>
      <c r="C22" s="41" t="s">
        <v>35</v>
      </c>
      <c r="D22" s="41"/>
      <c r="E22" s="41"/>
      <c r="F22" s="41"/>
      <c r="G22" s="23"/>
    </row>
    <row r="23" spans="1:7" ht="78" customHeight="1">
      <c r="A23" s="65" t="s">
        <v>36</v>
      </c>
      <c r="B23" s="64">
        <f>IF(OR(B18="",B22=""),"",B18+B22)</f>
        <v>390000</v>
      </c>
      <c r="C23" s="66" t="s">
        <v>37</v>
      </c>
      <c r="D23" s="20"/>
      <c r="E23" s="20"/>
      <c r="F23" s="20"/>
      <c r="G23" s="20"/>
    </row>
    <row r="24" spans="1:7" ht="42" customHeight="1">
      <c r="A24" s="76" t="s">
        <v>38</v>
      </c>
      <c r="B24" s="76"/>
      <c r="C24" s="76"/>
      <c r="D24" s="76"/>
      <c r="E24" s="76"/>
      <c r="F24" s="76"/>
      <c r="G24" s="76"/>
    </row>
    <row r="25" spans="1:7" ht="15.75" customHeight="1">
      <c r="A25" s="76"/>
      <c r="B25" s="76"/>
      <c r="C25" s="76"/>
      <c r="D25" s="76"/>
      <c r="E25" s="76"/>
      <c r="F25" s="76"/>
      <c r="G25" s="76"/>
    </row>
    <row r="27" spans="1:7" ht="14.25" customHeight="1">
      <c r="A27" s="84" t="s">
        <v>39</v>
      </c>
      <c r="B27" s="84"/>
      <c r="C27" s="84"/>
      <c r="D27" s="84"/>
      <c r="E27" s="84"/>
      <c r="F27" s="84"/>
      <c r="G27" s="84"/>
    </row>
    <row r="28" spans="1:7" ht="38.25" customHeight="1">
      <c r="A28" s="67" t="s">
        <v>40</v>
      </c>
      <c r="B28" s="67"/>
      <c r="C28" s="67"/>
      <c r="D28" s="67"/>
      <c r="E28" s="67"/>
      <c r="F28" s="67"/>
      <c r="G28" s="67"/>
    </row>
    <row r="29" spans="1:7" ht="38.25" customHeight="1">
      <c r="A29" s="67" t="s">
        <v>41</v>
      </c>
      <c r="B29" s="67"/>
      <c r="C29" s="67"/>
      <c r="D29" s="67"/>
      <c r="E29" s="67"/>
      <c r="F29" s="67"/>
      <c r="G29" s="67"/>
    </row>
  </sheetData>
  <mergeCells count="9">
    <mergeCell ref="A28:G28"/>
    <mergeCell ref="A29:G29"/>
    <mergeCell ref="A14:G14"/>
    <mergeCell ref="A16:B16"/>
    <mergeCell ref="A1:G1"/>
    <mergeCell ref="A2:G2"/>
    <mergeCell ref="C16:G16"/>
    <mergeCell ref="A24:G25"/>
    <mergeCell ref="A27:G27"/>
  </mergeCells>
  <dataValidations count="1">
    <dataValidation type="decimal" operator="greaterThanOrEqual" allowBlank="1" showInputMessage="1" showErrorMessage="1" errorTitle="Ongeldige inschrijfsom" error="Voer een bedrag van nul of hoger in." sqref="B4:B13" xr:uid="{A2EF87C0-F879-4BF1-887D-B5E15EFD8D6C}">
      <formula1>0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D7BD7-001E-46EB-8BC3-A6E4CFDB9184}">
  <dimension ref="A1:V15"/>
  <sheetViews>
    <sheetView workbookViewId="0">
      <selection activeCell="A8" sqref="A8"/>
    </sheetView>
  </sheetViews>
  <sheetFormatPr defaultColWidth="8.85546875" defaultRowHeight="14.25"/>
  <cols>
    <col min="1" max="1" width="62.85546875" customWidth="1"/>
    <col min="2" max="2" width="15.42578125" customWidth="1"/>
    <col min="3" max="3" width="11" customWidth="1"/>
    <col min="4" max="4" width="25.85546875" customWidth="1"/>
    <col min="5" max="5" width="11" customWidth="1"/>
    <col min="6" max="6" width="25.85546875" customWidth="1"/>
    <col min="7" max="7" width="11" customWidth="1"/>
    <col min="8" max="8" width="25.85546875" customWidth="1"/>
    <col min="9" max="9" width="11" customWidth="1"/>
    <col min="10" max="10" width="25.85546875" customWidth="1"/>
    <col min="11" max="11" width="11" customWidth="1"/>
    <col min="12" max="12" width="25.85546875" customWidth="1"/>
    <col min="13" max="13" width="11" customWidth="1"/>
    <col min="14" max="14" width="25.85546875" customWidth="1"/>
    <col min="15" max="15" width="11" customWidth="1"/>
    <col min="16" max="16" width="25.85546875" customWidth="1"/>
    <col min="17" max="17" width="11" customWidth="1"/>
    <col min="18" max="18" width="25.85546875" customWidth="1"/>
    <col min="19" max="19" width="11" customWidth="1"/>
    <col min="20" max="20" width="25.85546875" customWidth="1"/>
    <col min="21" max="21" width="11" customWidth="1"/>
    <col min="22" max="22" width="25.85546875" customWidth="1"/>
  </cols>
  <sheetData>
    <row r="1" spans="1:22" ht="28.15" customHeight="1">
      <c r="A1" s="80" t="s">
        <v>42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</row>
    <row r="2" spans="1:22" ht="26.1" customHeight="1">
      <c r="A2" s="81" t="s">
        <v>43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>
      <c r="A4" s="6" t="s">
        <v>44</v>
      </c>
      <c r="B4" s="6" t="s">
        <v>45</v>
      </c>
      <c r="C4" s="7" t="str">
        <f>IF(Inschrijver!B3="","",Inschrijver!B3)</f>
        <v>A</v>
      </c>
      <c r="D4" s="6"/>
      <c r="E4" s="7" t="str">
        <f>IF(Inschrijver!B4="","",Inschrijver!B4)</f>
        <v>B</v>
      </c>
      <c r="F4" s="6"/>
      <c r="G4" s="7" t="str">
        <f>IF(Inschrijver!B5="","",Inschrijver!B5)</f>
        <v>C</v>
      </c>
      <c r="H4" s="6"/>
      <c r="I4" s="7" t="str">
        <f>IF(Inschrijver!B6="","",Inschrijver!B6)</f>
        <v>D</v>
      </c>
      <c r="J4" s="6"/>
      <c r="K4" s="7" t="str">
        <f>IF(Inschrijver!B7="","",Inschrijver!B7)</f>
        <v>E</v>
      </c>
      <c r="L4" s="6"/>
      <c r="M4" s="7" t="str">
        <f>IF(Inschrijver!B8="","",Inschrijver!B8)</f>
        <v>F</v>
      </c>
      <c r="N4" s="6"/>
      <c r="O4" s="7" t="str">
        <f>IF(Inschrijver!B9="","",Inschrijver!B9)</f>
        <v>G</v>
      </c>
      <c r="P4" s="6"/>
      <c r="Q4" s="7" t="str">
        <f>IF(Inschrijver!B10="","",Inschrijver!B10)</f>
        <v>H</v>
      </c>
      <c r="R4" s="6"/>
      <c r="S4" s="7" t="str">
        <f>IF(Inschrijver!B11="","",Inschrijver!B11)</f>
        <v>I</v>
      </c>
      <c r="T4" s="6"/>
      <c r="U4" s="7" t="str">
        <f>IF(Inschrijver!B12="","",Inschrijver!B12)</f>
        <v>J</v>
      </c>
      <c r="V4" s="6"/>
    </row>
    <row r="5" spans="1:22">
      <c r="A5" s="6" t="s">
        <v>46</v>
      </c>
      <c r="B5" s="6"/>
      <c r="C5" s="7" t="s">
        <v>47</v>
      </c>
      <c r="D5" s="6" t="s">
        <v>22</v>
      </c>
      <c r="E5" s="7" t="s">
        <v>47</v>
      </c>
      <c r="F5" s="6" t="s">
        <v>22</v>
      </c>
      <c r="G5" s="7" t="s">
        <v>47</v>
      </c>
      <c r="H5" s="6" t="s">
        <v>22</v>
      </c>
      <c r="I5" s="7" t="s">
        <v>47</v>
      </c>
      <c r="J5" s="6" t="s">
        <v>22</v>
      </c>
      <c r="K5" s="7" t="s">
        <v>47</v>
      </c>
      <c r="L5" s="6" t="s">
        <v>22</v>
      </c>
      <c r="M5" s="7" t="s">
        <v>47</v>
      </c>
      <c r="N5" s="6" t="s">
        <v>22</v>
      </c>
      <c r="O5" s="7" t="s">
        <v>47</v>
      </c>
      <c r="P5" s="6" t="s">
        <v>22</v>
      </c>
      <c r="Q5" s="7" t="s">
        <v>47</v>
      </c>
      <c r="R5" s="6" t="s">
        <v>22</v>
      </c>
      <c r="S5" s="7" t="s">
        <v>47</v>
      </c>
      <c r="T5" s="6" t="s">
        <v>22</v>
      </c>
      <c r="U5" s="7" t="s">
        <v>47</v>
      </c>
      <c r="V5" s="6" t="s">
        <v>22</v>
      </c>
    </row>
    <row r="6" spans="1:22" ht="36" customHeight="1">
      <c r="A6" s="14" t="s">
        <v>48</v>
      </c>
      <c r="B6" s="8">
        <v>25</v>
      </c>
      <c r="C6" s="9">
        <v>25</v>
      </c>
      <c r="D6" s="10"/>
      <c r="E6" s="9">
        <v>25</v>
      </c>
      <c r="F6" s="10"/>
      <c r="G6" s="9">
        <v>25</v>
      </c>
      <c r="H6" s="10"/>
      <c r="I6" s="9">
        <v>25</v>
      </c>
      <c r="J6" s="10"/>
      <c r="K6" s="9">
        <v>25</v>
      </c>
      <c r="L6" s="10"/>
      <c r="M6" s="9">
        <v>25</v>
      </c>
      <c r="N6" s="10"/>
      <c r="O6" s="9">
        <v>25</v>
      </c>
      <c r="P6" s="10"/>
      <c r="Q6" s="9">
        <v>25</v>
      </c>
      <c r="R6" s="10"/>
      <c r="S6" s="9">
        <v>25</v>
      </c>
      <c r="T6" s="10"/>
      <c r="U6" s="9">
        <v>25</v>
      </c>
      <c r="V6" s="10"/>
    </row>
    <row r="7" spans="1:22" ht="63.75" customHeight="1">
      <c r="A7" s="13" t="s">
        <v>49</v>
      </c>
      <c r="B7" s="8">
        <v>25</v>
      </c>
      <c r="C7" s="9">
        <v>25</v>
      </c>
      <c r="D7" s="10"/>
      <c r="E7" s="9">
        <v>25</v>
      </c>
      <c r="F7" s="10"/>
      <c r="G7" s="9">
        <v>25</v>
      </c>
      <c r="H7" s="10"/>
      <c r="I7" s="9">
        <v>25</v>
      </c>
      <c r="J7" s="10"/>
      <c r="K7" s="9">
        <v>25</v>
      </c>
      <c r="L7" s="10"/>
      <c r="M7" s="9">
        <v>25</v>
      </c>
      <c r="N7" s="10"/>
      <c r="O7" s="9">
        <v>25</v>
      </c>
      <c r="P7" s="10"/>
      <c r="Q7" s="9">
        <v>25</v>
      </c>
      <c r="R7" s="10"/>
      <c r="S7" s="9">
        <v>25</v>
      </c>
      <c r="T7" s="10"/>
      <c r="U7" s="9">
        <v>25</v>
      </c>
      <c r="V7" s="10"/>
    </row>
    <row r="8" spans="1:22" ht="36" customHeight="1">
      <c r="A8" s="13" t="s">
        <v>50</v>
      </c>
      <c r="B8" s="8">
        <v>20</v>
      </c>
      <c r="C8" s="9">
        <v>20</v>
      </c>
      <c r="D8" s="10"/>
      <c r="E8" s="9">
        <v>20</v>
      </c>
      <c r="F8" s="10"/>
      <c r="G8" s="9">
        <v>20</v>
      </c>
      <c r="H8" s="10"/>
      <c r="I8" s="9">
        <v>20</v>
      </c>
      <c r="J8" s="10"/>
      <c r="K8" s="9">
        <v>20</v>
      </c>
      <c r="L8" s="10"/>
      <c r="M8" s="9">
        <v>20</v>
      </c>
      <c r="N8" s="10"/>
      <c r="O8" s="9">
        <v>20</v>
      </c>
      <c r="P8" s="10"/>
      <c r="Q8" s="9">
        <v>20</v>
      </c>
      <c r="R8" s="10"/>
      <c r="S8" s="9">
        <v>20</v>
      </c>
      <c r="T8" s="10"/>
      <c r="U8" s="9">
        <v>20</v>
      </c>
      <c r="V8" s="10"/>
    </row>
    <row r="9" spans="1:22" ht="36" customHeight="1">
      <c r="A9" s="13"/>
      <c r="B9" s="8"/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</row>
    <row r="10" spans="1:22" ht="36" customHeight="1">
      <c r="A10" s="13"/>
      <c r="B10" s="8"/>
      <c r="C10" s="9"/>
      <c r="D10" s="10"/>
      <c r="E10" s="9"/>
      <c r="F10" s="10"/>
      <c r="G10" s="9"/>
      <c r="H10" s="10"/>
      <c r="I10" s="9"/>
      <c r="J10" s="10"/>
      <c r="K10" s="9"/>
      <c r="L10" s="10"/>
      <c r="M10" s="9"/>
      <c r="N10" s="10"/>
      <c r="O10" s="9"/>
      <c r="P10" s="10"/>
      <c r="Q10" s="9"/>
      <c r="R10" s="10"/>
      <c r="S10" s="9"/>
      <c r="T10" s="10"/>
      <c r="U10" s="9"/>
      <c r="V10" s="10"/>
    </row>
    <row r="11" spans="1:22" ht="36" customHeight="1">
      <c r="A11" s="13"/>
      <c r="B11" s="8"/>
      <c r="C11" s="9"/>
      <c r="D11" s="10"/>
      <c r="E11" s="9"/>
      <c r="F11" s="10"/>
      <c r="G11" s="9"/>
      <c r="H11" s="10"/>
      <c r="I11" s="9"/>
      <c r="J11" s="10"/>
      <c r="K11" s="9"/>
      <c r="L11" s="10"/>
      <c r="M11" s="9"/>
      <c r="N11" s="10"/>
      <c r="O11" s="9"/>
      <c r="P11" s="10"/>
      <c r="Q11" s="9"/>
      <c r="R11" s="10"/>
      <c r="S11" s="9"/>
      <c r="T11" s="10"/>
      <c r="U11" s="9"/>
      <c r="V11" s="10"/>
    </row>
    <row r="12" spans="1:22">
      <c r="A12" s="15" t="s">
        <v>51</v>
      </c>
      <c r="B12" s="17">
        <f>SUMIF(A6:A11,"&lt;&gt;",B6:B11)</f>
        <v>70</v>
      </c>
      <c r="C12" s="12" cm="1">
        <f t="array" ref="C12">IF(C$4="","",IF(Prijs!$C$4="nee","geen waardering",IF($B$14&lt;&gt;"Gereed voor beoordeling","controleer criteria",IF(SUMPRODUCT(--($A$6:$A$11&lt;&gt;""),--ISNUMBER(C6:C11))&lt;&gt;COUNTA($A$6:$A$11),"nog invullen",SUMPRODUCT(--($A$6:$A$11&lt;&gt;""),C6:C11)))))</f>
        <v>70</v>
      </c>
      <c r="D12" s="11"/>
      <c r="E12" s="12" cm="1">
        <f t="array" ref="E12">IF(E$4="","",IF(Prijs!$C$5="nee","geen waardering",IF($B$14&lt;&gt;"Gereed voor beoordeling","controleer criteria",IF(SUMPRODUCT(--($A$6:$A$11&lt;&gt;""),--ISNUMBER(E6:E11))&lt;&gt;COUNTA($A$6:$A$11),"nog invullen",SUMPRODUCT(--($A$6:$A$11&lt;&gt;""),E6:E11)))))</f>
        <v>70</v>
      </c>
      <c r="F12" s="11"/>
      <c r="G12" s="12" cm="1">
        <f t="array" ref="G12">IF(G$4="","",IF(Prijs!$C$6="nee","geen waardering",IF($B$14&lt;&gt;"Gereed voor beoordeling","controleer criteria",IF(SUMPRODUCT(--($A$6:$A$11&lt;&gt;""),--ISNUMBER(G6:G11))&lt;&gt;COUNTA($A$6:$A$11),"nog invullen",SUMPRODUCT(--($A$6:$A$11&lt;&gt;""),G6:G11)))))</f>
        <v>70</v>
      </c>
      <c r="H12" s="11"/>
      <c r="I12" s="12" cm="1">
        <f t="array" ref="I12">IF(I$4="","",IF(Prijs!$C$7="nee","geen waardering",IF($B$14&lt;&gt;"Gereed voor beoordeling","controleer criteria",IF(SUMPRODUCT(--($A$6:$A$11&lt;&gt;""),--ISNUMBER(I6:I11))&lt;&gt;COUNTA($A$6:$A$11),"nog invullen",SUMPRODUCT(--($A$6:$A$11&lt;&gt;""),I6:I11)))))</f>
        <v>70</v>
      </c>
      <c r="J12" s="11"/>
      <c r="K12" s="12" cm="1">
        <f t="array" ref="K12">IF(K$4="","",IF(Prijs!$C$8="nee","geen waardering",IF($B$14&lt;&gt;"Gereed voor beoordeling","controleer criteria",IF(SUMPRODUCT(--($A$6:$A$11&lt;&gt;""),--ISNUMBER(K6:K11))&lt;&gt;COUNTA($A$6:$A$11),"nog invullen",SUMPRODUCT(--($A$6:$A$11&lt;&gt;""),K6:K11)))))</f>
        <v>70</v>
      </c>
      <c r="L12" s="11"/>
      <c r="M12" s="12" cm="1">
        <f t="array" ref="M12">IF(M$4="","",IF(Prijs!$C$9="nee","geen waardering",IF($B$14&lt;&gt;"Gereed voor beoordeling","controleer criteria",IF(SUMPRODUCT(--($A$6:$A$11&lt;&gt;""),--ISNUMBER(M6:M11))&lt;&gt;COUNTA($A$6:$A$11),"nog invullen",SUMPRODUCT(--($A$6:$A$11&lt;&gt;""),M6:M11)))))</f>
        <v>70</v>
      </c>
      <c r="N12" s="11"/>
      <c r="O12" s="12" cm="1">
        <f t="array" ref="O12">IF(O$4="","",IF(Prijs!$C$10="nee","geen waardering",IF($B$14&lt;&gt;"Gereed voor beoordeling","controleer criteria",IF(SUMPRODUCT(--($A$6:$A$11&lt;&gt;""),--ISNUMBER(O6:O11))&lt;&gt;COUNTA($A$6:$A$11),"nog invullen",SUMPRODUCT(--($A$6:$A$11&lt;&gt;""),O6:O11)))))</f>
        <v>70</v>
      </c>
      <c r="P12" s="11"/>
      <c r="Q12" s="12" cm="1">
        <f t="array" ref="Q12">IF(Q$4="","",IF(Prijs!$C$11="nee","geen waardering",IF($B$14&lt;&gt;"Gereed voor beoordeling","controleer criteria",IF(SUMPRODUCT(--($A$6:$A$11&lt;&gt;""),--ISNUMBER(Q6:Q11))&lt;&gt;COUNTA($A$6:$A$11),"nog invullen",SUMPRODUCT(--($A$6:$A$11&lt;&gt;""),Q6:Q11)))))</f>
        <v>70</v>
      </c>
      <c r="R12" s="11"/>
      <c r="S12" s="12" cm="1">
        <f t="array" ref="S12">IF(S$4="","",IF(Prijs!$C$12="nee","geen waardering",IF($B$14&lt;&gt;"Gereed voor beoordeling","controleer criteria",IF(SUMPRODUCT(--($A$6:$A$11&lt;&gt;""),--ISNUMBER(S6:S11))&lt;&gt;COUNTA($A$6:$A$11),"nog invullen",SUMPRODUCT(--($A$6:$A$11&lt;&gt;""),S6:S11)))))</f>
        <v>70</v>
      </c>
      <c r="T12" s="11"/>
      <c r="U12" s="12" cm="1">
        <f t="array" ref="U12">IF(U$4="","",IF(Prijs!$C$13="nee","geen waardering",IF($B$14&lt;&gt;"Gereed voor beoordeling","controleer criteria",IF(SUMPRODUCT(--($A$6:$A$11&lt;&gt;""),--ISNUMBER(U6:U11))&lt;&gt;COUNTA($A$6:$A$11),"nog invullen",SUMPRODUCT(--($A$6:$A$11&lt;&gt;""),U6:U11)))))</f>
        <v>70</v>
      </c>
      <c r="V12" s="11"/>
    </row>
    <row r="13" spans="1:22" ht="21.75" customHeight="1">
      <c r="A13" s="16" t="s">
        <v>52</v>
      </c>
      <c r="B13" s="18">
        <v>70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6.1" customHeight="1">
      <c r="A14" s="5" t="s">
        <v>53</v>
      </c>
      <c r="B14" s="78" t="str">
        <f>IF(OR(NOT(ISNUMBER(B13)),B13&lt;=0),"Vul een geldig maximum voor kwaliteit in",IF(COUNTA(A6:A11)&lt;3,"Minimaal 3 actieve criteria vereist",IF(B12&lt;&gt;B13,"Som van actieve maxima moet gelijk zijn aan ingesteld maximum kwaliteit",IF(COUNTIFS(A6:A11,"&lt;&gt;",B6:B11,"&lt;=0")&gt;0,"Maximale scores moeten groter dan 0 zijn","Gereed voor beoordeling"))))</f>
        <v>Gereed voor beoordeling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</row>
    <row r="15" spans="1:22" ht="34.15" customHeight="1">
      <c r="A15" s="79" t="s">
        <v>54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</row>
  </sheetData>
  <mergeCells count="4">
    <mergeCell ref="B14:V14"/>
    <mergeCell ref="A15:V15"/>
    <mergeCell ref="A1:V1"/>
    <mergeCell ref="A2:V2"/>
  </mergeCells>
  <dataValidations count="3">
    <dataValidation type="decimal" operator="greaterThan" allowBlank="1" showInputMessage="1" showErrorMessage="1" errorTitle="Ongeldig maximum" error="Voer een maximale score groter dan 0 in." sqref="B6:B11" xr:uid="{68558EF6-6CC8-4E4F-A051-96D2DF8C29FE}">
      <formula1>0</formula1>
    </dataValidation>
    <dataValidation type="decimal" allowBlank="1" showInputMessage="1" showErrorMessage="1" errorTitle="Ongeldige kwaliteitsscore" error="Voer een getal in tussen 0 en het maximum van dit criterium." sqref="C6:C11 U6:U11 S6:S11 Q6:Q11 O6:O11 M6:M11 K6:K11 I6:I11 G6:G11 E6:E11" xr:uid="{9B90E93C-8262-4132-9D0D-EE3EFD1D9250}">
      <formula1>0</formula1>
      <formula2>$B6</formula2>
    </dataValidation>
    <dataValidation type="decimal" operator="greaterThan" allowBlank="1" showInputMessage="1" showErrorMessage="1" errorTitle="Ongeldig maximum" error="Vul een positief getal in." sqref="B13" xr:uid="{D37A7FCA-D922-42F2-A4D0-D144DE3F0ACC}">
      <formula1>0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DA8F-978E-4D3B-BC92-4A07C39054C2}">
  <dimension ref="A1:J15"/>
  <sheetViews>
    <sheetView tabSelected="1" workbookViewId="0">
      <selection activeCell="E6" sqref="E6"/>
    </sheetView>
  </sheetViews>
  <sheetFormatPr defaultColWidth="8.85546875" defaultRowHeight="14.25"/>
  <cols>
    <col min="1" max="1" width="17.140625" customWidth="1"/>
    <col min="2" max="4" width="21.85546875" customWidth="1"/>
    <col min="5" max="9" width="17.5703125" customWidth="1"/>
    <col min="10" max="10" width="10.42578125" customWidth="1"/>
  </cols>
  <sheetData>
    <row r="1" spans="1:10" ht="20.65">
      <c r="A1" s="71" t="s">
        <v>55</v>
      </c>
      <c r="B1" s="71"/>
      <c r="C1" s="71"/>
      <c r="D1" s="71"/>
      <c r="E1" s="71"/>
      <c r="F1" s="71"/>
      <c r="G1" s="71"/>
      <c r="H1" s="71"/>
      <c r="I1" s="71"/>
      <c r="J1" s="71"/>
    </row>
    <row r="2" spans="1:10">
      <c r="A2" s="82" t="s">
        <v>56</v>
      </c>
      <c r="B2" s="82"/>
      <c r="C2" s="82"/>
      <c r="D2" s="82"/>
      <c r="E2" s="82"/>
      <c r="F2" s="82"/>
      <c r="G2" s="82"/>
      <c r="H2" s="82"/>
      <c r="I2" s="82"/>
      <c r="J2" s="82"/>
    </row>
    <row r="3" spans="1:10">
      <c r="A3" s="24" t="s">
        <v>57</v>
      </c>
      <c r="B3" s="24" t="s">
        <v>58</v>
      </c>
      <c r="C3" s="25">
        <v>0.3</v>
      </c>
      <c r="D3" s="24" t="s">
        <v>59</v>
      </c>
      <c r="E3" s="25">
        <v>0.7</v>
      </c>
      <c r="F3" s="20"/>
      <c r="G3" s="20"/>
      <c r="H3" s="20"/>
      <c r="I3" s="20"/>
      <c r="J3" s="20"/>
    </row>
    <row r="4" spans="1:10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ht="26.25">
      <c r="A5" s="19" t="s">
        <v>16</v>
      </c>
      <c r="B5" s="19" t="s">
        <v>60</v>
      </c>
      <c r="C5" s="19" t="s">
        <v>61</v>
      </c>
      <c r="D5" s="19" t="s">
        <v>62</v>
      </c>
      <c r="E5" s="19" t="s">
        <v>21</v>
      </c>
      <c r="F5" s="19" t="s">
        <v>63</v>
      </c>
      <c r="G5" s="19" t="s">
        <v>64</v>
      </c>
      <c r="H5" s="21" t="s">
        <v>65</v>
      </c>
      <c r="I5" s="21" t="s">
        <v>66</v>
      </c>
      <c r="J5" s="21" t="s">
        <v>67</v>
      </c>
    </row>
    <row r="6" spans="1:10">
      <c r="A6" s="42" t="str">
        <f>IF(Inschrijver!B3="","",Inschrijver!B3)</f>
        <v>A</v>
      </c>
      <c r="B6" s="50">
        <f>IF(OR(A6="",Prijs!B4=""),"",Prijs!B4)</f>
        <v>650000</v>
      </c>
      <c r="C6" s="50">
        <f>IF(OR(A6="",Prijs!C4=""),"",Prijs!C4)</f>
        <v>50000</v>
      </c>
      <c r="D6" s="51">
        <f>IF(A6="","",Prijs!D4)</f>
        <v>700000</v>
      </c>
      <c r="E6" s="52">
        <f>IF(A6="","",IF(ISNUMBER(Prijs!F4),Prijs!F4,"geen waardering"))</f>
        <v>2.647058823529413</v>
      </c>
      <c r="F6" s="53">
        <f>IF(A6="","",IF(ISNUMBER(E6),E6/Prijs!$B$20*($C$3*100),"geen waardering"))</f>
        <v>2.647058823529413</v>
      </c>
      <c r="G6" s="54" cm="1">
        <f t="array" ref="G6">IF(A6="","",INDEX(Kwaliteit!$C$12:$U$12,1,(ROW()-6)*2+1))</f>
        <v>70</v>
      </c>
      <c r="H6" s="29">
        <f>IF(A6="","",IF(ISNUMBER(G6),G6/Kwaliteit!$B$13*($E$3*100),G6))</f>
        <v>70</v>
      </c>
      <c r="I6" s="55">
        <f>IF(A6="","",IF(AND(ISNUMBER(F6),ISNUMBER(H6)),F6+H6,"geen waardering"))</f>
        <v>72.64705882352942</v>
      </c>
      <c r="J6" s="56">
        <f>IF(ISNUMBER(I6),_xlfn.RANK.EQ(I6,$I$6:$I$15,0),"")</f>
        <v>1</v>
      </c>
    </row>
    <row r="7" spans="1:10">
      <c r="A7" s="42" t="str">
        <f>IF(Inschrijver!B4="","",Inschrijver!B4)</f>
        <v>B</v>
      </c>
      <c r="B7" s="50">
        <f>IF(OR(A7="",Prijs!B5=""),"",Prijs!B5)</f>
        <v>650000</v>
      </c>
      <c r="C7" s="50">
        <f>IF(OR(A7="",Prijs!C5=""),"",Prijs!C5)</f>
        <v>50000</v>
      </c>
      <c r="D7" s="51">
        <f>IF(A7="","",Prijs!D5)</f>
        <v>700000</v>
      </c>
      <c r="E7" s="52">
        <f>IF(A7="","",IF(ISNUMBER(Prijs!F5),Prijs!F5,"geen waardering"))</f>
        <v>2.647058823529413</v>
      </c>
      <c r="F7" s="53">
        <f>IF(A7="","",IF(ISNUMBER(E7),E7/Prijs!$B$20*($C$3*100),"geen waardering"))</f>
        <v>2.647058823529413</v>
      </c>
      <c r="G7" s="54" cm="1">
        <f t="array" ref="G7">IF(A7="","",INDEX(Kwaliteit!$C$12:$U$12,1,(ROW()-6)*2+1))</f>
        <v>70</v>
      </c>
      <c r="H7" s="29">
        <f>IF(A7="","",IF(ISNUMBER(G7),G7/Kwaliteit!$B$13*($E$3*100),G7))</f>
        <v>70</v>
      </c>
      <c r="I7" s="55">
        <f t="shared" ref="I7:I15" si="0">IF(A7="","",IF(AND(ISNUMBER(F7),ISNUMBER(H7)),F7+H7,"geen waardering"))</f>
        <v>72.64705882352942</v>
      </c>
      <c r="J7" s="56">
        <f t="shared" ref="J7:J15" si="1">IF(ISNUMBER(I7),_xlfn.RANK.EQ(I7,$I$6:$I$15,0),"")</f>
        <v>1</v>
      </c>
    </row>
    <row r="8" spans="1:10">
      <c r="A8" s="42" t="str">
        <f>IF(Inschrijver!B5="","",Inschrijver!B5)</f>
        <v>C</v>
      </c>
      <c r="B8" s="50">
        <f>IF(OR(A8="",Prijs!B6=""),"",Prijs!B6)</f>
        <v>650000</v>
      </c>
      <c r="C8" s="50">
        <f>IF(OR(A8="",Prijs!C6=""),"",Prijs!C6)</f>
        <v>50000</v>
      </c>
      <c r="D8" s="51">
        <f>IF(A8="","",Prijs!D6)</f>
        <v>700000</v>
      </c>
      <c r="E8" s="52">
        <f>IF(A8="","",IF(ISNUMBER(Prijs!F6),Prijs!F6,"geen waardering"))</f>
        <v>2.647058823529413</v>
      </c>
      <c r="F8" s="53">
        <f>IF(A8="","",IF(ISNUMBER(E8),E8/Prijs!$B$20*($C$3*100),"geen waardering"))</f>
        <v>2.647058823529413</v>
      </c>
      <c r="G8" s="54" cm="1">
        <f t="array" ref="G8">IF(A8="","",INDEX(Kwaliteit!$C$12:$U$12,1,(ROW()-6)*2+1))</f>
        <v>70</v>
      </c>
      <c r="H8" s="29">
        <f>IF(A8="","",IF(ISNUMBER(G8),G8/Kwaliteit!$B$13*($E$3*100),G8))</f>
        <v>70</v>
      </c>
      <c r="I8" s="55">
        <f t="shared" si="0"/>
        <v>72.64705882352942</v>
      </c>
      <c r="J8" s="56">
        <f t="shared" si="1"/>
        <v>1</v>
      </c>
    </row>
    <row r="9" spans="1:10">
      <c r="A9" s="42" t="str">
        <f>IF(Inschrijver!B6="","",Inschrijver!B6)</f>
        <v>D</v>
      </c>
      <c r="B9" s="50">
        <f>IF(OR(A9="",Prijs!B7=""),"",Prijs!B7)</f>
        <v>650000</v>
      </c>
      <c r="C9" s="50">
        <f>IF(OR(A9="",Prijs!C7=""),"",Prijs!C7)</f>
        <v>50000</v>
      </c>
      <c r="D9" s="51">
        <f>IF(A9="","",Prijs!D7)</f>
        <v>700000</v>
      </c>
      <c r="E9" s="52">
        <f>IF(A9="","",IF(ISNUMBER(Prijs!F7),Prijs!F7,"geen waardering"))</f>
        <v>2.647058823529413</v>
      </c>
      <c r="F9" s="53">
        <f>IF(A9="","",IF(ISNUMBER(E9),E9/Prijs!$B$20*($C$3*100),"geen waardering"))</f>
        <v>2.647058823529413</v>
      </c>
      <c r="G9" s="54" cm="1">
        <f t="array" ref="G9">IF(A9="","",INDEX(Kwaliteit!$C$12:$U$12,1,(ROW()-6)*2+1))</f>
        <v>70</v>
      </c>
      <c r="H9" s="29">
        <f>IF(A9="","",IF(ISNUMBER(G9),G9/Kwaliteit!$B$13*($E$3*100),G9))</f>
        <v>70</v>
      </c>
      <c r="I9" s="55">
        <f t="shared" si="0"/>
        <v>72.64705882352942</v>
      </c>
      <c r="J9" s="56">
        <f t="shared" si="1"/>
        <v>1</v>
      </c>
    </row>
    <row r="10" spans="1:10">
      <c r="A10" s="42" t="str">
        <f>IF(Inschrijver!B7="","",Inschrijver!B7)</f>
        <v>E</v>
      </c>
      <c r="B10" s="50">
        <f>IF(OR(A10="",Prijs!B8=""),"",Prijs!B8)</f>
        <v>650000</v>
      </c>
      <c r="C10" s="50">
        <f>IF(OR(A10="",Prijs!C8=""),"",Prijs!C8)</f>
        <v>50000</v>
      </c>
      <c r="D10" s="51">
        <f>IF(A10="","",Prijs!D8)</f>
        <v>700000</v>
      </c>
      <c r="E10" s="52">
        <f>IF(A10="","",IF(ISNUMBER(Prijs!F8),Prijs!F8,"geen waardering"))</f>
        <v>2.647058823529413</v>
      </c>
      <c r="F10" s="53">
        <f>IF(A10="","",IF(ISNUMBER(E10),E10/Prijs!$B$20*($C$3*100),"geen waardering"))</f>
        <v>2.647058823529413</v>
      </c>
      <c r="G10" s="54" cm="1">
        <f t="array" ref="G10">IF(A10="","",INDEX(Kwaliteit!$C$12:$U$12,1,(ROW()-6)*2+1))</f>
        <v>70</v>
      </c>
      <c r="H10" s="29">
        <f>IF(A10="","",IF(ISNUMBER(G10),G10/Kwaliteit!$B$13*($E$3*100),G10))</f>
        <v>70</v>
      </c>
      <c r="I10" s="55">
        <f t="shared" si="0"/>
        <v>72.64705882352942</v>
      </c>
      <c r="J10" s="56">
        <f t="shared" si="1"/>
        <v>1</v>
      </c>
    </row>
    <row r="11" spans="1:10">
      <c r="A11" s="42" t="str">
        <f>IF(Inschrijver!B8="","",Inschrijver!B8)</f>
        <v>F</v>
      </c>
      <c r="B11" s="50">
        <f>IF(OR(A11="",Prijs!B9=""),"",Prijs!B9)</f>
        <v>650000</v>
      </c>
      <c r="C11" s="50">
        <f>IF(OR(A11="",Prijs!C9=""),"",Prijs!C9)</f>
        <v>50000</v>
      </c>
      <c r="D11" s="51">
        <f>IF(A11="","",Prijs!D9)</f>
        <v>700000</v>
      </c>
      <c r="E11" s="52">
        <f>IF(A11="","",IF(ISNUMBER(Prijs!F9),Prijs!F9,"geen waardering"))</f>
        <v>2.647058823529413</v>
      </c>
      <c r="F11" s="53">
        <f>IF(A11="","",IF(ISNUMBER(E11),E11/Prijs!$B$20*($C$3*100),"geen waardering"))</f>
        <v>2.647058823529413</v>
      </c>
      <c r="G11" s="54" cm="1">
        <f t="array" ref="G11">IF(A11="","",INDEX(Kwaliteit!$C$12:$U$12,1,(ROW()-6)*2+1))</f>
        <v>70</v>
      </c>
      <c r="H11" s="29">
        <f>IF(A11="","",IF(ISNUMBER(G11),G11/Kwaliteit!$B$13*($E$3*100),G11))</f>
        <v>70</v>
      </c>
      <c r="I11" s="55">
        <f t="shared" si="0"/>
        <v>72.64705882352942</v>
      </c>
      <c r="J11" s="56">
        <f t="shared" si="1"/>
        <v>1</v>
      </c>
    </row>
    <row r="12" spans="1:10">
      <c r="A12" s="42" t="str">
        <f>IF(Inschrijver!B9="","",Inschrijver!B9)</f>
        <v>G</v>
      </c>
      <c r="B12" s="50">
        <f>IF(OR(A12="",Prijs!B10=""),"",Prijs!B10)</f>
        <v>650000</v>
      </c>
      <c r="C12" s="50">
        <f>IF(OR(A12="",Prijs!C10=""),"",Prijs!C10)</f>
        <v>50000</v>
      </c>
      <c r="D12" s="51">
        <f>IF(A12="","",Prijs!D10)</f>
        <v>700000</v>
      </c>
      <c r="E12" s="52">
        <f>IF(A12="","",IF(ISNUMBER(Prijs!F10),Prijs!F10,"geen waardering"))</f>
        <v>2.647058823529413</v>
      </c>
      <c r="F12" s="53">
        <f>IF(A12="","",IF(ISNUMBER(E12),E12/Prijs!$B$20*($C$3*100),"geen waardering"))</f>
        <v>2.647058823529413</v>
      </c>
      <c r="G12" s="54" cm="1">
        <f t="array" ref="G12">IF(A12="","",INDEX(Kwaliteit!$C$12:$U$12,1,(ROW()-6)*2+1))</f>
        <v>70</v>
      </c>
      <c r="H12" s="29">
        <f>IF(A12="","",IF(ISNUMBER(G12),G12/Kwaliteit!$B$13*($E$3*100),G12))</f>
        <v>70</v>
      </c>
      <c r="I12" s="55">
        <f t="shared" si="0"/>
        <v>72.64705882352942</v>
      </c>
      <c r="J12" s="56">
        <f t="shared" si="1"/>
        <v>1</v>
      </c>
    </row>
    <row r="13" spans="1:10">
      <c r="A13" s="42" t="str">
        <f>IF(Inschrijver!B10="","",Inschrijver!B10)</f>
        <v>H</v>
      </c>
      <c r="B13" s="50">
        <f>IF(OR(A13="",Prijs!B11=""),"",Prijs!B11)</f>
        <v>650000</v>
      </c>
      <c r="C13" s="50">
        <f>IF(OR(A13="",Prijs!C11=""),"",Prijs!C11)</f>
        <v>50000</v>
      </c>
      <c r="D13" s="51">
        <f>IF(A13="","",Prijs!D11)</f>
        <v>700000</v>
      </c>
      <c r="E13" s="52">
        <f>IF(A13="","",IF(ISNUMBER(Prijs!F11),Prijs!F11,"geen waardering"))</f>
        <v>2.647058823529413</v>
      </c>
      <c r="F13" s="53">
        <f>IF(A13="","",IF(ISNUMBER(E13),E13/Prijs!$B$20*($C$3*100),"geen waardering"))</f>
        <v>2.647058823529413</v>
      </c>
      <c r="G13" s="54" cm="1">
        <f t="array" ref="G13">IF(A13="","",INDEX(Kwaliteit!$C$12:$U$12,1,(ROW()-6)*2+1))</f>
        <v>70</v>
      </c>
      <c r="H13" s="29">
        <f>IF(A13="","",IF(ISNUMBER(G13),G13/Kwaliteit!$B$13*($E$3*100),G13))</f>
        <v>70</v>
      </c>
      <c r="I13" s="55">
        <f t="shared" si="0"/>
        <v>72.64705882352942</v>
      </c>
      <c r="J13" s="56">
        <f t="shared" si="1"/>
        <v>1</v>
      </c>
    </row>
    <row r="14" spans="1:10">
      <c r="A14" s="42" t="str">
        <f>IF(Inschrijver!B11="","",Inschrijver!B11)</f>
        <v>I</v>
      </c>
      <c r="B14" s="50">
        <f>IF(OR(A14="",Prijs!B12=""),"",Prijs!B12)</f>
        <v>650000</v>
      </c>
      <c r="C14" s="50">
        <f>IF(OR(A14="",Prijs!C12=""),"",Prijs!C12)</f>
        <v>50000</v>
      </c>
      <c r="D14" s="51">
        <f>IF(A14="","",Prijs!D12)</f>
        <v>700000</v>
      </c>
      <c r="E14" s="52">
        <f>IF(A14="","",IF(ISNUMBER(Prijs!F12),Prijs!F12,"geen waardering"))</f>
        <v>2.647058823529413</v>
      </c>
      <c r="F14" s="53">
        <f>IF(A14="","",IF(ISNUMBER(E14),E14/Prijs!$B$20*($C$3*100),"geen waardering"))</f>
        <v>2.647058823529413</v>
      </c>
      <c r="G14" s="54" cm="1">
        <f t="array" ref="G14">IF(A14="","",INDEX(Kwaliteit!$C$12:$U$12,1,(ROW()-6)*2+1))</f>
        <v>70</v>
      </c>
      <c r="H14" s="29">
        <f>IF(A14="","",IF(ISNUMBER(G14),G14/Kwaliteit!$B$13*($E$3*100),G14))</f>
        <v>70</v>
      </c>
      <c r="I14" s="55">
        <f t="shared" si="0"/>
        <v>72.64705882352942</v>
      </c>
      <c r="J14" s="56">
        <f t="shared" si="1"/>
        <v>1</v>
      </c>
    </row>
    <row r="15" spans="1:10">
      <c r="A15" s="43" t="str">
        <f>IF(Inschrijver!B12="","",Inschrijver!B12)</f>
        <v>J</v>
      </c>
      <c r="B15" s="57">
        <f>IF(OR(A15="",Prijs!B13=""),"",Prijs!B13)</f>
        <v>650000</v>
      </c>
      <c r="C15" s="57">
        <f>IF(OR(A15="",Prijs!C13=""),"",Prijs!C13)</f>
        <v>50000</v>
      </c>
      <c r="D15" s="58">
        <f>IF(A15="","",Prijs!D13)</f>
        <v>700000</v>
      </c>
      <c r="E15" s="59">
        <f>IF(A15="","",IF(ISNUMBER(Prijs!F13),Prijs!F13,"geen waardering"))</f>
        <v>2.647058823529413</v>
      </c>
      <c r="F15" s="60">
        <f>IF(A15="","",IF(ISNUMBER(E15),E15/Prijs!$B$20*($C$3*100),"geen waardering"))</f>
        <v>2.647058823529413</v>
      </c>
      <c r="G15" s="61" cm="1">
        <f t="array" ref="G15">IF(A15="","",INDEX(Kwaliteit!$C$12:$U$12,1,(ROW()-6)*2+1))</f>
        <v>70</v>
      </c>
      <c r="H15" s="33">
        <f>IF(A15="","",IF(ISNUMBER(G15),G15/Kwaliteit!$B$13*($E$3*100),G15))</f>
        <v>70</v>
      </c>
      <c r="I15" s="62">
        <f t="shared" si="0"/>
        <v>72.64705882352942</v>
      </c>
      <c r="J15" s="63">
        <f t="shared" si="1"/>
        <v>1</v>
      </c>
    </row>
  </sheetData>
  <mergeCells count="2">
    <mergeCell ref="A1:J1"/>
    <mergeCell ref="A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22c53e-3dba-4ff0-8315-6761d1b56c9e" xsi:nil="true"/>
    <lcf76f155ced4ddcb4097134ff3c332f xmlns="481c1387-06db-417e-b896-f8376b2eb2e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1D812605F50A43A25396839CC6188D" ma:contentTypeVersion="13" ma:contentTypeDescription="Een nieuw document maken." ma:contentTypeScope="" ma:versionID="f1b0846663b7ea33dfe2ff090567fdb1">
  <xsd:schema xmlns:xsd="http://www.w3.org/2001/XMLSchema" xmlns:xs="http://www.w3.org/2001/XMLSchema" xmlns:p="http://schemas.microsoft.com/office/2006/metadata/properties" xmlns:ns2="481c1387-06db-417e-b896-f8376b2eb2ee" xmlns:ns3="e822c53e-3dba-4ff0-8315-6761d1b56c9e" targetNamespace="http://schemas.microsoft.com/office/2006/metadata/properties" ma:root="true" ma:fieldsID="7a5e0ae8999b615bff2db56a7e249fdf" ns2:_="" ns3:_="">
    <xsd:import namespace="481c1387-06db-417e-b896-f8376b2eb2ee"/>
    <xsd:import namespace="e822c53e-3dba-4ff0-8315-6761d1b56c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c1387-06db-417e-b896-f8376b2eb2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2cd7136-78cb-477d-9723-db3e839d76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2c53e-3dba-4ff0-8315-6761d1b56c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38ff7f-769c-4fb5-b135-d0d83ea0a5ce}" ma:internalName="TaxCatchAll" ma:showField="CatchAllData" ma:web="e822c53e-3dba-4ff0-8315-6761d1b56c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A52427-3EDD-4991-8358-1C6F0B032BE3}"/>
</file>

<file path=customXml/itemProps2.xml><?xml version="1.0" encoding="utf-8"?>
<ds:datastoreItem xmlns:ds="http://schemas.openxmlformats.org/officeDocument/2006/customXml" ds:itemID="{18C3740A-E63C-48A5-9EEC-44478DBEF2D2}"/>
</file>

<file path=customXml/itemProps3.xml><?xml version="1.0" encoding="utf-8"?>
<ds:datastoreItem xmlns:ds="http://schemas.openxmlformats.org/officeDocument/2006/customXml" ds:itemID="{E33FFD22-7E90-4871-A275-1CB5035630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SSC de Kempen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van Brunschot</dc:creator>
  <cp:keywords/>
  <dc:description/>
  <cp:lastModifiedBy>Niels Meijers</cp:lastModifiedBy>
  <cp:revision/>
  <dcterms:created xsi:type="dcterms:W3CDTF">2022-07-01T09:32:33Z</dcterms:created>
  <dcterms:modified xsi:type="dcterms:W3CDTF">2026-09-25T15:34:42Z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0x010100531D812605F50A43A25396839CC6188D</vt:lpwstr>
  </property>
  <property fmtid="{D5CDD505-2E9C-101B-9397-08002B2CF9AE}" pid="3" name="MediaServiceImageTags">
    <vt:lpwstr/>
  </property>
</Properties>
</file>