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aoneu-my.sharepoint.com/personal/casper_belzen_aon_com/Documents/Documents/Aanbestedingen/ROC Nijmegen/"/>
    </mc:Choice>
  </mc:AlternateContent>
  <xr:revisionPtr revIDLastSave="28" documentId="8_{7CC299FC-9DFE-4411-8AEB-B0F2FF00DDAC}" xr6:coauthVersionLast="47" xr6:coauthVersionMax="47" xr10:uidLastSave="{E9415CDA-FA2A-4575-AFD7-1702E253606D}"/>
  <bookViews>
    <workbookView xWindow="-108" yWindow="-108" windowWidth="23256" windowHeight="13896" firstSheet="1" activeTab="2" xr2:uid="{61735FB4-A4DE-42E1-9588-60CFD9B13F09}"/>
  </bookViews>
  <sheets>
    <sheet name="Overzicht" sheetId="5" state="hidden" r:id="rId1"/>
    <sheet name="Specificatie" sheetId="1" r:id="rId2"/>
    <sheet name="Taxaties" sheetId="8" r:id="rId3"/>
    <sheet name="Verrekening Jaarpremie" sheetId="2" state="hidden" r:id="rId4"/>
    <sheet name="Mutaties" sheetId="7" state="hidden" r:id="rId5"/>
    <sheet name="Verrekening Pro Rata-CAD" sheetId="3" state="hidden" r:id="rId6"/>
    <sheet name="Data" sheetId="4" state="hidden" r:id="rId7"/>
  </sheets>
  <definedNames>
    <definedName name="_xlnm._FilterDatabase" localSheetId="1" hidden="1">Specificatie!$A$1:$U$20</definedName>
    <definedName name="_xlcn.WorksheetConnection_BIPARModuleversie6.2.xlsxTable31" hidden="1">Table3[]</definedName>
    <definedName name="Bouwaard">Data!$B$2:$B$6</definedName>
    <definedName name="CAD">Data!$C$2:$C$3</definedName>
    <definedName name="courtage">'Verrekening Jaarpremie'!#REF!</definedName>
    <definedName name="Interest">Data!$A$2:$A$16</definedName>
    <definedName name="_xlnm.Print_Area" localSheetId="1">Specificatie!$C$1:$U$21</definedName>
    <definedName name="Taxatie">Data!$D$2:$D$4</definedName>
  </definedNames>
  <calcPr calcId="191028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3" name="Table3" connection="WorksheetConnection_BIPAR Module versie 6.2.xlsx!Table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3" l="1"/>
  <c r="S10" i="1"/>
  <c r="Q10" i="1" s="1"/>
  <c r="AA10" i="7"/>
  <c r="Z10" i="7"/>
  <c r="Y10" i="7"/>
  <c r="X10" i="7"/>
  <c r="W10" i="7"/>
  <c r="O10" i="7"/>
  <c r="T10" i="7" s="1" a="1"/>
  <c r="T10" i="7" s="1"/>
  <c r="F10" i="7"/>
  <c r="K10" i="7" s="1"/>
  <c r="L10" i="7" s="1"/>
  <c r="E10" i="7"/>
  <c r="C10" i="7"/>
  <c r="A10" i="7"/>
  <c r="AA11" i="7"/>
  <c r="Z11" i="7"/>
  <c r="Y11" i="7"/>
  <c r="X11" i="7"/>
  <c r="W11" i="7"/>
  <c r="O11" i="7"/>
  <c r="U11" i="7" s="1"/>
  <c r="F11" i="7"/>
  <c r="K11" i="7" s="1"/>
  <c r="L11" i="7" s="1"/>
  <c r="E11" i="7"/>
  <c r="C11" i="7"/>
  <c r="A11" i="7"/>
  <c r="E9" i="7"/>
  <c r="E12" i="7"/>
  <c r="B9" i="8"/>
  <c r="B10" i="8"/>
  <c r="B11" i="8"/>
  <c r="B12" i="8"/>
  <c r="B13" i="8"/>
  <c r="U10" i="7" l="1"/>
  <c r="R10" i="7"/>
  <c r="S10" i="7" a="1"/>
  <c r="S10" i="7" s="1"/>
  <c r="T11" i="7" a="1"/>
  <c r="T11" i="7" s="1"/>
  <c r="R11" i="7"/>
  <c r="S11" i="7" a="1"/>
  <c r="S11" i="7" s="1"/>
  <c r="B5" i="8"/>
  <c r="B6" i="8"/>
  <c r="B7" i="8"/>
  <c r="B8" i="8"/>
  <c r="AB7" i="7"/>
  <c r="AC7" i="7"/>
  <c r="AD7" i="7"/>
  <c r="AE7" i="7"/>
  <c r="AF7" i="7"/>
  <c r="W7" i="7"/>
  <c r="X7" i="7"/>
  <c r="Y7" i="7"/>
  <c r="Z7" i="7"/>
  <c r="AA7" i="7"/>
  <c r="W9" i="7"/>
  <c r="X9" i="7"/>
  <c r="Y9" i="7"/>
  <c r="Z9" i="7"/>
  <c r="AA9" i="7"/>
  <c r="W12" i="7"/>
  <c r="X12" i="7"/>
  <c r="Y12" i="7"/>
  <c r="Z12" i="7"/>
  <c r="AA12" i="7"/>
  <c r="AB6" i="7"/>
  <c r="AC6" i="7"/>
  <c r="AD6" i="7"/>
  <c r="AE6" i="7"/>
  <c r="AF6" i="7"/>
  <c r="C17" i="3"/>
  <c r="B17" i="3"/>
  <c r="A17" i="3"/>
  <c r="C16" i="3"/>
  <c r="B16" i="3"/>
  <c r="A16" i="3"/>
  <c r="C15" i="3"/>
  <c r="B15" i="3"/>
  <c r="A15" i="3"/>
  <c r="C14" i="3"/>
  <c r="B14" i="3"/>
  <c r="A14" i="3"/>
  <c r="C13" i="3"/>
  <c r="B13" i="3"/>
  <c r="A13" i="3"/>
  <c r="C16" i="2"/>
  <c r="C15" i="2"/>
  <c r="C14" i="2"/>
  <c r="C13" i="2"/>
  <c r="B16" i="2"/>
  <c r="B15" i="2"/>
  <c r="B14" i="2"/>
  <c r="B13" i="2"/>
  <c r="A16" i="2"/>
  <c r="A15" i="2"/>
  <c r="A14" i="2"/>
  <c r="A13" i="2"/>
  <c r="A17" i="2"/>
  <c r="W6" i="7"/>
  <c r="X6" i="7"/>
  <c r="Y6" i="7"/>
  <c r="Z6" i="7"/>
  <c r="AA6" i="7"/>
  <c r="J4" i="1"/>
  <c r="J3" i="1"/>
  <c r="J2" i="1"/>
  <c r="V10" i="7" l="1"/>
  <c r="V11" i="7"/>
  <c r="AB11" i="7" s="1"/>
  <c r="F9" i="7"/>
  <c r="F12" i="7"/>
  <c r="C9" i="7"/>
  <c r="C12" i="7"/>
  <c r="A9" i="7"/>
  <c r="A12" i="7"/>
  <c r="S16" i="1"/>
  <c r="C17" i="2"/>
  <c r="B17" i="2"/>
  <c r="AC11" i="7" l="1"/>
  <c r="AF11" i="7"/>
  <c r="AD11" i="7"/>
  <c r="AE11" i="7"/>
  <c r="AE10" i="7"/>
  <c r="AF10" i="7"/>
  <c r="AD10" i="7"/>
  <c r="AC10" i="7"/>
  <c r="AB10" i="7"/>
  <c r="T21" i="1"/>
  <c r="N21" i="1"/>
  <c r="E18" i="2"/>
  <c r="J13" i="7"/>
  <c r="I13" i="7"/>
  <c r="H13" i="7"/>
  <c r="G13" i="7"/>
  <c r="AG11" i="7" l="1"/>
  <c r="AH11" i="7" s="1" a="1"/>
  <c r="AH11" i="7" s="1"/>
  <c r="AG10" i="7"/>
  <c r="AH10" i="7" s="1" a="1"/>
  <c r="AH10" i="7" s="1"/>
  <c r="B9" i="2"/>
  <c r="B8" i="2"/>
  <c r="A4" i="7"/>
  <c r="A3" i="7"/>
  <c r="A2" i="7"/>
  <c r="A4" i="3"/>
  <c r="A2" i="3"/>
  <c r="A4" i="2"/>
  <c r="A2" i="2"/>
  <c r="A3" i="2"/>
  <c r="B4" i="7"/>
  <c r="B3" i="7"/>
  <c r="B2" i="7"/>
  <c r="O12" i="7"/>
  <c r="S12" i="7" s="1" a="1"/>
  <c r="S12" i="7" s="1"/>
  <c r="O9" i="7"/>
  <c r="S9" i="7" s="1" a="1"/>
  <c r="S9" i="7" s="1"/>
  <c r="C18" i="3" l="1"/>
  <c r="C18" i="2"/>
  <c r="S14" i="1"/>
  <c r="K9" i="7"/>
  <c r="L9" i="7" s="1"/>
  <c r="S15" i="1" s="1"/>
  <c r="S20" i="1"/>
  <c r="Q20" i="1" s="1"/>
  <c r="K12" i="7"/>
  <c r="L12" i="7" s="1"/>
  <c r="S19" i="1"/>
  <c r="Q19" i="1" s="1"/>
  <c r="U12" i="7"/>
  <c r="U9" i="7"/>
  <c r="T12" i="7" a="1"/>
  <c r="T12" i="7" s="1"/>
  <c r="T9" i="7" a="1"/>
  <c r="T9" i="7" s="1"/>
  <c r="R12" i="7"/>
  <c r="R9" i="7"/>
  <c r="O19" i="1" l="1"/>
  <c r="P19" i="1"/>
  <c r="O20" i="1"/>
  <c r="P20" i="1"/>
  <c r="S17" i="1"/>
  <c r="Q17" i="1" s="1"/>
  <c r="S18" i="1"/>
  <c r="Q18" i="1" s="1"/>
  <c r="U13" i="7"/>
  <c r="S13" i="7"/>
  <c r="T13" i="7"/>
  <c r="R13" i="7"/>
  <c r="K13" i="7"/>
  <c r="F13" i="7"/>
  <c r="V12" i="7"/>
  <c r="V9" i="7"/>
  <c r="O18" i="1" l="1"/>
  <c r="P18" i="1"/>
  <c r="O17" i="1"/>
  <c r="P17" i="1"/>
  <c r="AD9" i="7"/>
  <c r="AE9" i="7"/>
  <c r="AC9" i="7"/>
  <c r="AF9" i="7"/>
  <c r="AB9" i="7"/>
  <c r="AC12" i="7"/>
  <c r="AD12" i="7"/>
  <c r="AE12" i="7"/>
  <c r="AF12" i="7"/>
  <c r="AB12" i="7"/>
  <c r="V13" i="7"/>
  <c r="D13" i="3" l="1"/>
  <c r="D17" i="3"/>
  <c r="D16" i="3"/>
  <c r="D14" i="3"/>
  <c r="D15" i="3"/>
  <c r="AF13" i="7"/>
  <c r="AE13" i="7"/>
  <c r="AC13" i="7"/>
  <c r="AD13" i="7"/>
  <c r="AB13" i="7"/>
  <c r="AG12" i="7"/>
  <c r="AH12" i="7" s="1" a="1"/>
  <c r="AH12" i="7" s="1"/>
  <c r="AG9" i="7"/>
  <c r="AH9" i="7" s="1" a="1"/>
  <c r="AH9" i="7" s="1"/>
  <c r="Q16" i="1"/>
  <c r="Q15" i="1"/>
  <c r="Q14" i="1"/>
  <c r="O15" i="1" l="1"/>
  <c r="P15" i="1"/>
  <c r="O16" i="1"/>
  <c r="P16" i="1"/>
  <c r="O14" i="1"/>
  <c r="P14" i="1"/>
  <c r="AG13" i="7"/>
  <c r="D18" i="3" l="1"/>
  <c r="S13" i="1"/>
  <c r="Q13" i="1" s="1"/>
  <c r="P13" i="1" l="1"/>
  <c r="O13" i="1"/>
  <c r="S11" i="1"/>
  <c r="Q11" i="1" s="1"/>
  <c r="S12" i="1"/>
  <c r="Q12" i="1" s="1"/>
  <c r="L13" i="7"/>
  <c r="O11" i="1" l="1"/>
  <c r="P11" i="1"/>
  <c r="O12" i="1"/>
  <c r="P12" i="1"/>
  <c r="S21" i="1"/>
  <c r="Q21" i="1" l="1"/>
  <c r="Q31" i="1" s="1"/>
  <c r="P10" i="1"/>
  <c r="P21" i="1" s="1"/>
  <c r="O10" i="1"/>
  <c r="O21" i="1" l="1"/>
  <c r="D13" i="2"/>
  <c r="F13" i="2" s="1"/>
  <c r="D15" i="2" l="1"/>
  <c r="F15" i="2" s="1"/>
  <c r="D17" i="2"/>
  <c r="F17" i="2" s="1"/>
  <c r="D14" i="2"/>
  <c r="F14" i="2" s="1"/>
  <c r="D16" i="2"/>
  <c r="F16" i="2" s="1"/>
  <c r="D18" i="2" l="1"/>
  <c r="F18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294AD82-1CCC-4272-9C90-6885E1568426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3D965654-08E2-41BF-86A8-D2F494745BAB}" name="WorksheetConnection_BIPAR Module versie 6.2.xlsx!Table3" type="102" refreshedVersion="8" minRefreshableVersion="5">
    <extLst>
      <ext xmlns:x15="http://schemas.microsoft.com/office/spreadsheetml/2010/11/main" uri="{DE250136-89BD-433C-8126-D09CA5730AF9}">
        <x15:connection id="Table3" autoDelete="1">
          <x15:rangePr sourceName="_xlcn.WorksheetConnection_BIPARModuleversie6.2.xlsxTable3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<sst xmlns="http://schemas.openxmlformats.org/spreadsheetml/2006/main" count="270" uniqueCount="143">
  <si>
    <t>Totaaloverzicht</t>
  </si>
  <si>
    <t>Polisnummer</t>
  </si>
  <si>
    <t>Verzekeringsnemer</t>
  </si>
  <si>
    <t>VNAB-nummer</t>
  </si>
  <si>
    <t>Behorende bij</t>
  </si>
  <si>
    <t>Van</t>
  </si>
  <si>
    <t>Tot</t>
  </si>
  <si>
    <t>Periode</t>
  </si>
  <si>
    <t>Verzekerde waarde</t>
  </si>
  <si>
    <t>Jaarpremie</t>
  </si>
  <si>
    <t>Specificatie</t>
  </si>
  <si>
    <t>Mutaties</t>
  </si>
  <si>
    <t>Situatie voorgaande polis</t>
  </si>
  <si>
    <t>Verzekerde</t>
  </si>
  <si>
    <t>Certificaat</t>
  </si>
  <si>
    <t>Sub</t>
  </si>
  <si>
    <t>Verzekerde interest</t>
  </si>
  <si>
    <t>Bestemming</t>
  </si>
  <si>
    <t>Omschrijving</t>
  </si>
  <si>
    <t>Schadevergoedingstermijn</t>
  </si>
  <si>
    <t>Bouwaard</t>
  </si>
  <si>
    <t>Getaxeerd?</t>
  </si>
  <si>
    <t>Adres</t>
  </si>
  <si>
    <t>Postcode</t>
  </si>
  <si>
    <t>Plaats</t>
  </si>
  <si>
    <t>Land</t>
  </si>
  <si>
    <t>Vorkbedrag</t>
  </si>
  <si>
    <t>Premiegrondslag</t>
  </si>
  <si>
    <t>Index nieuw</t>
  </si>
  <si>
    <t>Verz. Waarde Oud:</t>
  </si>
  <si>
    <t>Index oud</t>
  </si>
  <si>
    <t>Verzekeraar 6</t>
  </si>
  <si>
    <t>Verzekeraar 7</t>
  </si>
  <si>
    <t>Verzekeraar 8</t>
  </si>
  <si>
    <t>Verzekeraar 9</t>
  </si>
  <si>
    <t>Verzekeraar 10</t>
  </si>
  <si>
    <t>Ja/Nee</t>
  </si>
  <si>
    <t>inclusief mutaties</t>
  </si>
  <si>
    <t>Getaxeerd</t>
  </si>
  <si>
    <t>Verzekerde Waarde</t>
  </si>
  <si>
    <t>Gebouwen</t>
  </si>
  <si>
    <t>-</t>
  </si>
  <si>
    <t>Total</t>
  </si>
  <si>
    <t>Getaxeerde objecten</t>
  </si>
  <si>
    <t>Soort interest</t>
  </si>
  <si>
    <t>Taxateur</t>
  </si>
  <si>
    <t>Taxatiedatum</t>
  </si>
  <si>
    <t>Rapportnummer</t>
  </si>
  <si>
    <t>Vervalt op</t>
  </si>
  <si>
    <t>Mutatielijst</t>
  </si>
  <si>
    <t>Klant</t>
  </si>
  <si>
    <t>Omschrijving mutatie:</t>
  </si>
  <si>
    <t>Verzekerd bedrag</t>
  </si>
  <si>
    <t>Mutatiedatum</t>
  </si>
  <si>
    <t>Vervaldatum</t>
  </si>
  <si>
    <t>Dagen</t>
  </si>
  <si>
    <t>Dagen per jaar</t>
  </si>
  <si>
    <t>Sprake van CAD?</t>
  </si>
  <si>
    <t>Verrekeningen</t>
  </si>
  <si>
    <t>Totaal</t>
  </si>
  <si>
    <t>Omschrijving mutatie</t>
  </si>
  <si>
    <t>Subnummer</t>
  </si>
  <si>
    <t>Oud</t>
  </si>
  <si>
    <t>Investering Nieuw</t>
  </si>
  <si>
    <t>Investering bestaand</t>
  </si>
  <si>
    <t>Verlaging</t>
  </si>
  <si>
    <t>Afvoer</t>
  </si>
  <si>
    <t>Inclusief mutatie</t>
  </si>
  <si>
    <t>Som mutaties</t>
  </si>
  <si>
    <t>Investering nieuw2</t>
  </si>
  <si>
    <t>Investering bestaand2</t>
  </si>
  <si>
    <t>Verlaging2</t>
  </si>
  <si>
    <t>Afvoer2</t>
  </si>
  <si>
    <t>Verzekeraar 17</t>
  </si>
  <si>
    <t>Verzekeraar 18</t>
  </si>
  <si>
    <t>Verzekeraar 19</t>
  </si>
  <si>
    <t>Verzekeraar 20</t>
  </si>
  <si>
    <t>Verzekeraar 21</t>
  </si>
  <si>
    <t>Totaal2</t>
  </si>
  <si>
    <t>Boeking</t>
  </si>
  <si>
    <t>Nee</t>
  </si>
  <si>
    <t>Verrekening Jaarpremie</t>
  </si>
  <si>
    <t xml:space="preserve">Termijn: </t>
  </si>
  <si>
    <t>Datum</t>
  </si>
  <si>
    <t xml:space="preserve">Van </t>
  </si>
  <si>
    <t>Verzekeraar</t>
  </si>
  <si>
    <t>Relatienummer</t>
  </si>
  <si>
    <t>Aandeel</t>
  </si>
  <si>
    <t>Nog te boeken</t>
  </si>
  <si>
    <t>Verrekening Mutaties</t>
  </si>
  <si>
    <t>Boeking/restitutie</t>
  </si>
  <si>
    <t>Interest</t>
  </si>
  <si>
    <t>CAD</t>
  </si>
  <si>
    <t>Taxatie</t>
  </si>
  <si>
    <t>Ja</t>
  </si>
  <si>
    <t>Bedrijfsschade</t>
  </si>
  <si>
    <t>Hout, harde dekking</t>
  </si>
  <si>
    <t>Bedrijfsuitrusting</t>
  </si>
  <si>
    <t>Hout, rieten dekking</t>
  </si>
  <si>
    <t>Bijzondere kosten</t>
  </si>
  <si>
    <t>Steen, harde dekking</t>
  </si>
  <si>
    <t>Exploitatiekosten</t>
  </si>
  <si>
    <t>Steen, rieten dekking</t>
  </si>
  <si>
    <t>Extra kosten</t>
  </si>
  <si>
    <t>Goederen</t>
  </si>
  <si>
    <t>Goederen van derden</t>
  </si>
  <si>
    <t>Huurdersbelang</t>
  </si>
  <si>
    <t>Huurderving</t>
  </si>
  <si>
    <t>Opruimingskosten</t>
  </si>
  <si>
    <t>Overig</t>
  </si>
  <si>
    <t>Reconstructiekosten</t>
  </si>
  <si>
    <t>Woningverbetering</t>
  </si>
  <si>
    <t>Boxmeer</t>
  </si>
  <si>
    <t>Nijmegen</t>
  </si>
  <si>
    <t>Begijnenstraat 2</t>
  </si>
  <si>
    <t>Campusbaan 6</t>
  </si>
  <si>
    <t>Energieweg 25</t>
  </si>
  <si>
    <t>Marterstraat 45</t>
  </si>
  <si>
    <t>Heyendaalseweg 98</t>
  </si>
  <si>
    <t>CED</t>
  </si>
  <si>
    <t>21.389396.4</t>
  </si>
  <si>
    <t>21.389853.4</t>
  </si>
  <si>
    <t>21.389854.4</t>
  </si>
  <si>
    <t>B0100135903</t>
  </si>
  <si>
    <t>Regionaal Opleidingen Centrum Nijmegen en Omstreken</t>
  </si>
  <si>
    <t>23.416875.4</t>
  </si>
  <si>
    <t>23.417969.4</t>
  </si>
  <si>
    <t>Nederland</t>
  </si>
  <si>
    <t>Indexverschil</t>
  </si>
  <si>
    <t>5831 EM</t>
  </si>
  <si>
    <t>6541 CW</t>
  </si>
  <si>
    <t>6531 KA</t>
  </si>
  <si>
    <t/>
  </si>
  <si>
    <t>Tarweweg 3</t>
  </si>
  <si>
    <t>24.438174.4</t>
  </si>
  <si>
    <t>24.438176.4</t>
  </si>
  <si>
    <t>24.436108.4</t>
  </si>
  <si>
    <t>24.438175.4</t>
  </si>
  <si>
    <t xml:space="preserve">Al geboekt met nota
</t>
  </si>
  <si>
    <t>Aanhangsel 2.4</t>
  </si>
  <si>
    <t>Aanhangsel 2.5</t>
  </si>
  <si>
    <t>24.438173.4</t>
  </si>
  <si>
    <t>24.438172.4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</si>
</sst>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00"/>
    <numFmt numFmtId="165" formatCode="0.000\ \‰"/>
    <numFmt numFmtId="166" formatCode="_-* #,##0.00_-;\-* #,##0.00_-;_-* &quot;-&quot;??_-;_-@_-"/>
    <numFmt numFmtId="167" formatCode="_-[$€-2]* #,##0.00_-;\-[$€-2]* #,##0.00_-;_-[$€-2]* &quot;-&quot;??_-"/>
    <numFmt numFmtId="168" formatCode="0.0%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Century"/>
      <family val="1"/>
    </font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Verdana Pro Cond"/>
      <family val="2"/>
    </font>
    <font>
      <sz val="11"/>
      <color theme="1"/>
      <name val="Verdana Pro Cond"/>
      <family val="2"/>
    </font>
    <font>
      <sz val="10"/>
      <name val="Arial"/>
      <family val="2"/>
    </font>
    <font>
      <b/>
      <i/>
      <sz val="10"/>
      <color theme="1"/>
      <name val="Verdana Pro Cond"/>
      <family val="2"/>
    </font>
    <font>
      <i/>
      <sz val="11"/>
      <color theme="1"/>
      <name val="Calibri"/>
      <family val="2"/>
      <scheme val="minor"/>
    </font>
    <font>
      <b/>
      <i/>
      <sz val="12"/>
      <color theme="1"/>
      <name val="Verdana Pro Cond"/>
      <family val="2"/>
    </font>
    <font>
      <sz val="10"/>
      <color theme="1"/>
      <name val="Verdana Pro Cond"/>
      <family val="2"/>
    </font>
    <font>
      <i/>
      <sz val="12"/>
      <color theme="1"/>
      <name val="Verdana Pro Cond"/>
      <family val="2"/>
    </font>
    <font>
      <i/>
      <sz val="11"/>
      <color theme="1"/>
      <name val="Verdana Pro Cond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11" fillId="0" borderId="0"/>
    <xf numFmtId="16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02">
    <xf numFmtId="0" fontId="0" fillId="0" borderId="0" xfId="0"/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44" fontId="8" fillId="0" borderId="0" xfId="0" applyNumberFormat="1" applyFont="1" applyAlignment="1">
      <alignment vertical="top"/>
    </xf>
    <xf numFmtId="0" fontId="10" fillId="7" borderId="0" xfId="0" applyFont="1" applyFill="1"/>
    <xf numFmtId="0" fontId="9" fillId="7" borderId="11" xfId="0" applyFont="1" applyFill="1" applyBorder="1"/>
    <xf numFmtId="0" fontId="10" fillId="7" borderId="12" xfId="0" applyFont="1" applyFill="1" applyBorder="1"/>
    <xf numFmtId="0" fontId="10" fillId="7" borderId="13" xfId="0" applyFont="1" applyFill="1" applyBorder="1"/>
    <xf numFmtId="0" fontId="10" fillId="7" borderId="9" xfId="0" applyFont="1" applyFill="1" applyBorder="1"/>
    <xf numFmtId="0" fontId="10" fillId="7" borderId="10" xfId="0" applyFont="1" applyFill="1" applyBorder="1"/>
    <xf numFmtId="0" fontId="10" fillId="7" borderId="9" xfId="0" applyFont="1" applyFill="1" applyBorder="1" applyAlignment="1">
      <alignment horizontal="left" vertical="top"/>
    </xf>
    <xf numFmtId="0" fontId="14" fillId="2" borderId="0" xfId="0" applyFont="1" applyFill="1" applyAlignment="1">
      <alignment vertical="top"/>
    </xf>
    <xf numFmtId="0" fontId="14" fillId="2" borderId="10" xfId="0" applyFont="1" applyFill="1" applyBorder="1" applyAlignment="1">
      <alignment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4" borderId="3" xfId="0" applyFont="1" applyFill="1" applyBorder="1" applyAlignment="1">
      <alignment vertical="top"/>
    </xf>
    <xf numFmtId="0" fontId="12" fillId="4" borderId="3" xfId="0" applyFont="1" applyFill="1" applyBorder="1" applyAlignment="1">
      <alignment vertical="top" wrapText="1"/>
    </xf>
    <xf numFmtId="0" fontId="12" fillId="3" borderId="17" xfId="0" applyFont="1" applyFill="1" applyBorder="1" applyAlignment="1">
      <alignment vertical="top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center" vertical="top"/>
    </xf>
    <xf numFmtId="0" fontId="14" fillId="2" borderId="9" xfId="0" applyFont="1" applyFill="1" applyBorder="1"/>
    <xf numFmtId="0" fontId="14" fillId="2" borderId="0" xfId="0" applyFont="1" applyFill="1"/>
    <xf numFmtId="0" fontId="14" fillId="2" borderId="11" xfId="0" applyFont="1" applyFill="1" applyBorder="1"/>
    <xf numFmtId="0" fontId="14" fillId="2" borderId="12" xfId="0" applyFont="1" applyFill="1" applyBorder="1"/>
    <xf numFmtId="0" fontId="14" fillId="2" borderId="12" xfId="0" applyFont="1" applyFill="1" applyBorder="1" applyAlignment="1">
      <alignment vertical="top"/>
    </xf>
    <xf numFmtId="0" fontId="14" fillId="2" borderId="13" xfId="0" applyFont="1" applyFill="1" applyBorder="1" applyAlignment="1">
      <alignment vertical="top"/>
    </xf>
    <xf numFmtId="0" fontId="14" fillId="2" borderId="11" xfId="0" applyFont="1" applyFill="1" applyBorder="1" applyAlignment="1">
      <alignment vertical="top"/>
    </xf>
    <xf numFmtId="0" fontId="12" fillId="3" borderId="9" xfId="0" applyFont="1" applyFill="1" applyBorder="1" applyAlignment="1">
      <alignment vertical="top"/>
    </xf>
    <xf numFmtId="0" fontId="0" fillId="0" borderId="0" xfId="0" quotePrefix="1"/>
    <xf numFmtId="14" fontId="3" fillId="0" borderId="0" xfId="0" applyNumberFormat="1" applyFont="1" applyAlignment="1">
      <alignment vertical="top"/>
    </xf>
    <xf numFmtId="0" fontId="7" fillId="0" borderId="1" xfId="0" applyFont="1" applyBorder="1" applyAlignment="1">
      <alignment vertical="top"/>
    </xf>
    <xf numFmtId="14" fontId="8" fillId="0" borderId="1" xfId="0" applyNumberFormat="1" applyFont="1" applyBorder="1" applyAlignment="1">
      <alignment vertical="top"/>
    </xf>
    <xf numFmtId="0" fontId="17" fillId="7" borderId="0" xfId="0" applyFont="1" applyFill="1" applyAlignment="1">
      <alignment horizontal="left" vertical="top"/>
    </xf>
    <xf numFmtId="0" fontId="17" fillId="7" borderId="10" xfId="0" applyFont="1" applyFill="1" applyBorder="1" applyAlignment="1">
      <alignment horizontal="left" vertical="top"/>
    </xf>
    <xf numFmtId="14" fontId="10" fillId="7" borderId="0" xfId="0" applyNumberFormat="1" applyFont="1" applyFill="1" applyAlignment="1">
      <alignment horizontal="left" vertical="top"/>
    </xf>
    <xf numFmtId="14" fontId="10" fillId="7" borderId="10" xfId="0" applyNumberFormat="1" applyFont="1" applyFill="1" applyBorder="1" applyAlignment="1">
      <alignment horizontal="left" vertical="top"/>
    </xf>
    <xf numFmtId="44" fontId="0" fillId="0" borderId="0" xfId="0" applyNumberFormat="1"/>
    <xf numFmtId="0" fontId="12" fillId="4" borderId="16" xfId="0" applyFont="1" applyFill="1" applyBorder="1" applyAlignment="1" applyProtection="1">
      <alignment vertical="top"/>
      <protection locked="0"/>
    </xf>
    <xf numFmtId="0" fontId="14" fillId="2" borderId="9" xfId="0" applyFont="1" applyFill="1" applyBorder="1" applyAlignment="1" applyProtection="1">
      <alignment vertical="top"/>
      <protection locked="0"/>
    </xf>
    <xf numFmtId="0" fontId="9" fillId="7" borderId="11" xfId="0" applyFont="1" applyFill="1" applyBorder="1" applyAlignment="1">
      <alignment horizontal="left" vertical="top"/>
    </xf>
    <xf numFmtId="0" fontId="9" fillId="7" borderId="12" xfId="0" applyFont="1" applyFill="1" applyBorder="1" applyAlignment="1">
      <alignment horizontal="left" vertical="top"/>
    </xf>
    <xf numFmtId="0" fontId="10" fillId="7" borderId="12" xfId="0" applyFont="1" applyFill="1" applyBorder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0" fillId="7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9" fillId="9" borderId="30" xfId="0" applyFont="1" applyFill="1" applyBorder="1" applyAlignment="1">
      <alignment horizontal="left" vertical="top"/>
    </xf>
    <xf numFmtId="0" fontId="12" fillId="8" borderId="31" xfId="5" applyFont="1" applyFill="1" applyBorder="1" applyAlignment="1">
      <alignment horizontal="left" vertical="top"/>
    </xf>
    <xf numFmtId="0" fontId="6" fillId="9" borderId="31" xfId="0" applyFont="1" applyFill="1" applyBorder="1" applyAlignment="1">
      <alignment horizontal="left" vertical="top"/>
    </xf>
    <xf numFmtId="0" fontId="9" fillId="5" borderId="18" xfId="0" applyFont="1" applyFill="1" applyBorder="1" applyAlignment="1">
      <alignment horizontal="left" vertical="top"/>
    </xf>
    <xf numFmtId="0" fontId="12" fillId="5" borderId="4" xfId="5" applyFont="1" applyFill="1" applyBorder="1" applyAlignment="1">
      <alignment horizontal="left" vertical="top"/>
    </xf>
    <xf numFmtId="0" fontId="9" fillId="5" borderId="4" xfId="0" applyFont="1" applyFill="1" applyBorder="1" applyAlignment="1">
      <alignment horizontal="center" vertical="top"/>
    </xf>
    <xf numFmtId="0" fontId="6" fillId="5" borderId="4" xfId="0" applyFont="1" applyFill="1" applyBorder="1" applyAlignment="1">
      <alignment horizontal="left" vertical="top"/>
    </xf>
    <xf numFmtId="0" fontId="6" fillId="5" borderId="4" xfId="0" applyFont="1" applyFill="1" applyBorder="1" applyAlignment="1">
      <alignment horizontal="center" vertical="top"/>
    </xf>
    <xf numFmtId="0" fontId="6" fillId="5" borderId="22" xfId="0" applyFont="1" applyFill="1" applyBorder="1" applyAlignment="1">
      <alignment horizontal="center" vertical="top"/>
    </xf>
    <xf numFmtId="0" fontId="6" fillId="5" borderId="19" xfId="0" applyFont="1" applyFill="1" applyBorder="1" applyAlignment="1">
      <alignment horizontal="center" vertical="top"/>
    </xf>
    <xf numFmtId="0" fontId="6" fillId="5" borderId="25" xfId="0" applyFont="1" applyFill="1" applyBorder="1" applyAlignment="1">
      <alignment horizontal="center" vertical="top"/>
    </xf>
    <xf numFmtId="0" fontId="0" fillId="5" borderId="7" xfId="0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/>
    </xf>
    <xf numFmtId="0" fontId="6" fillId="5" borderId="5" xfId="0" applyFont="1" applyFill="1" applyBorder="1" applyAlignment="1">
      <alignment horizontal="left" vertical="top"/>
    </xf>
    <xf numFmtId="10" fontId="0" fillId="5" borderId="1" xfId="0" applyNumberFormat="1" applyFill="1" applyBorder="1" applyAlignment="1">
      <alignment horizontal="center" vertical="top"/>
    </xf>
    <xf numFmtId="0" fontId="0" fillId="5" borderId="8" xfId="0" applyFill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0" fillId="0" borderId="21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/>
    </xf>
    <xf numFmtId="0" fontId="10" fillId="0" borderId="21" xfId="0" applyFont="1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6" fillId="0" borderId="21" xfId="0" applyFont="1" applyBorder="1" applyAlignment="1">
      <alignment horizontal="left" vertical="top"/>
    </xf>
    <xf numFmtId="0" fontId="0" fillId="0" borderId="2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7" xfId="0" applyBorder="1" applyAlignment="1">
      <alignment horizontal="left" vertical="top"/>
    </xf>
    <xf numFmtId="44" fontId="0" fillId="0" borderId="27" xfId="0" applyNumberFormat="1" applyBorder="1" applyAlignment="1">
      <alignment horizontal="left" vertical="top"/>
    </xf>
    <xf numFmtId="44" fontId="0" fillId="0" borderId="28" xfId="0" applyNumberFormat="1" applyBorder="1" applyAlignment="1">
      <alignment horizontal="left" vertical="top"/>
    </xf>
    <xf numFmtId="0" fontId="18" fillId="0" borderId="0" xfId="0" applyFont="1" applyAlignment="1">
      <alignment horizontal="left" vertical="top"/>
    </xf>
    <xf numFmtId="0" fontId="14" fillId="2" borderId="13" xfId="0" applyFont="1" applyFill="1" applyBorder="1" applyAlignment="1">
      <alignment horizontal="center" vertical="top"/>
    </xf>
    <xf numFmtId="0" fontId="14" fillId="2" borderId="10" xfId="0" applyFont="1" applyFill="1" applyBorder="1" applyAlignment="1">
      <alignment horizontal="center" vertical="top"/>
    </xf>
    <xf numFmtId="0" fontId="16" fillId="2" borderId="9" xfId="0" applyFont="1" applyFill="1" applyBorder="1" applyAlignment="1">
      <alignment vertical="top"/>
    </xf>
    <xf numFmtId="0" fontId="14" fillId="2" borderId="32" xfId="0" applyFont="1" applyFill="1" applyBorder="1" applyAlignment="1">
      <alignment vertical="top"/>
    </xf>
    <xf numFmtId="0" fontId="14" fillId="2" borderId="35" xfId="0" applyFont="1" applyFill="1" applyBorder="1" applyAlignment="1">
      <alignment vertical="top"/>
    </xf>
    <xf numFmtId="0" fontId="8" fillId="0" borderId="1" xfId="0" applyFont="1" applyBorder="1" applyAlignment="1">
      <alignment vertical="top"/>
    </xf>
    <xf numFmtId="44" fontId="8" fillId="0" borderId="1" xfId="2" applyFont="1" applyFill="1" applyBorder="1" applyAlignment="1">
      <alignment vertical="top"/>
    </xf>
    <xf numFmtId="0" fontId="8" fillId="0" borderId="6" xfId="0" applyFont="1" applyBorder="1" applyAlignment="1">
      <alignment vertical="top"/>
    </xf>
    <xf numFmtId="44" fontId="8" fillId="0" borderId="5" xfId="2" applyFont="1" applyFill="1" applyBorder="1" applyAlignment="1">
      <alignment vertical="top"/>
    </xf>
    <xf numFmtId="0" fontId="7" fillId="0" borderId="25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22" xfId="0" applyFont="1" applyBorder="1" applyAlignment="1">
      <alignment vertical="top"/>
    </xf>
    <xf numFmtId="0" fontId="15" fillId="4" borderId="16" xfId="0" applyFont="1" applyFill="1" applyBorder="1" applyAlignment="1" applyProtection="1">
      <alignment vertical="top"/>
      <protection locked="0"/>
    </xf>
    <xf numFmtId="0" fontId="15" fillId="3" borderId="9" xfId="0" applyFont="1" applyFill="1" applyBorder="1" applyAlignment="1">
      <alignment vertical="top"/>
    </xf>
    <xf numFmtId="0" fontId="15" fillId="3" borderId="17" xfId="0" applyFont="1" applyFill="1" applyBorder="1" applyAlignment="1">
      <alignment vertical="top"/>
    </xf>
    <xf numFmtId="0" fontId="12" fillId="0" borderId="24" xfId="0" applyFont="1" applyBorder="1" applyAlignment="1" applyProtection="1">
      <alignment vertical="top"/>
      <protection locked="0"/>
    </xf>
    <xf numFmtId="0" fontId="12" fillId="0" borderId="3" xfId="0" applyFont="1" applyBorder="1" applyAlignment="1">
      <alignment vertical="top"/>
    </xf>
    <xf numFmtId="0" fontId="12" fillId="0" borderId="3" xfId="0" applyFont="1" applyBorder="1" applyAlignment="1">
      <alignment vertical="top" wrapText="1"/>
    </xf>
    <xf numFmtId="0" fontId="12" fillId="0" borderId="16" xfId="0" applyFont="1" applyBorder="1" applyAlignment="1">
      <alignment vertical="top"/>
    </xf>
    <xf numFmtId="0" fontId="12" fillId="0" borderId="17" xfId="0" applyFont="1" applyBorder="1" applyAlignment="1">
      <alignment vertical="top"/>
    </xf>
    <xf numFmtId="0" fontId="12" fillId="0" borderId="24" xfId="0" applyFont="1" applyBorder="1" applyAlignment="1">
      <alignment vertical="top"/>
    </xf>
    <xf numFmtId="0" fontId="15" fillId="0" borderId="9" xfId="0" applyFont="1" applyBorder="1" applyAlignment="1">
      <alignment vertical="top"/>
    </xf>
    <xf numFmtId="0" fontId="12" fillId="0" borderId="9" xfId="0" applyFont="1" applyBorder="1" applyAlignment="1">
      <alignment vertical="top"/>
    </xf>
    <xf numFmtId="0" fontId="9" fillId="5" borderId="22" xfId="0" applyFont="1" applyFill="1" applyBorder="1" applyAlignment="1">
      <alignment horizontal="center" vertical="top"/>
    </xf>
    <xf numFmtId="0" fontId="10" fillId="5" borderId="5" xfId="0" applyFont="1" applyFill="1" applyBorder="1" applyAlignment="1">
      <alignment horizontal="left" vertical="top"/>
    </xf>
    <xf numFmtId="0" fontId="10" fillId="5" borderId="6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6" fillId="9" borderId="30" xfId="0" applyFont="1" applyFill="1" applyBorder="1" applyAlignment="1">
      <alignment horizontal="left" vertical="top"/>
    </xf>
    <xf numFmtId="0" fontId="6" fillId="9" borderId="26" xfId="0" applyFont="1" applyFill="1" applyBorder="1" applyAlignment="1">
      <alignment horizontal="left" vertical="top"/>
    </xf>
    <xf numFmtId="0" fontId="6" fillId="5" borderId="18" xfId="0" applyFont="1" applyFill="1" applyBorder="1" applyAlignment="1">
      <alignment horizontal="left" vertical="top"/>
    </xf>
    <xf numFmtId="0" fontId="6" fillId="5" borderId="19" xfId="0" applyFont="1" applyFill="1" applyBorder="1" applyAlignment="1">
      <alignment horizontal="left" vertical="top"/>
    </xf>
    <xf numFmtId="168" fontId="8" fillId="0" borderId="1" xfId="1" applyNumberFormat="1" applyFont="1" applyFill="1" applyBorder="1" applyAlignment="1">
      <alignment vertical="top"/>
    </xf>
    <xf numFmtId="0" fontId="7" fillId="0" borderId="23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44" fontId="7" fillId="0" borderId="20" xfId="0" applyNumberFormat="1" applyFont="1" applyBorder="1" applyAlignment="1">
      <alignment vertical="top"/>
    </xf>
    <xf numFmtId="168" fontId="7" fillId="0" borderId="2" xfId="0" applyNumberFormat="1" applyFont="1" applyBorder="1" applyAlignment="1">
      <alignment vertical="top"/>
    </xf>
    <xf numFmtId="44" fontId="7" fillId="0" borderId="2" xfId="0" applyNumberFormat="1" applyFont="1" applyBorder="1" applyAlignment="1">
      <alignment vertical="top"/>
    </xf>
    <xf numFmtId="0" fontId="12" fillId="4" borderId="34" xfId="0" applyFont="1" applyFill="1" applyBorder="1" applyAlignment="1">
      <alignment vertical="top"/>
    </xf>
    <xf numFmtId="0" fontId="12" fillId="10" borderId="16" xfId="0" applyFont="1" applyFill="1" applyBorder="1" applyAlignment="1">
      <alignment vertical="top"/>
    </xf>
    <xf numFmtId="0" fontId="12" fillId="10" borderId="17" xfId="0" applyFont="1" applyFill="1" applyBorder="1" applyAlignment="1">
      <alignment vertical="top"/>
    </xf>
    <xf numFmtId="0" fontId="12" fillId="10" borderId="24" xfId="0" applyFont="1" applyFill="1" applyBorder="1" applyAlignment="1">
      <alignment vertical="top"/>
    </xf>
    <xf numFmtId="0" fontId="15" fillId="10" borderId="16" xfId="0" applyFont="1" applyFill="1" applyBorder="1" applyAlignment="1">
      <alignment vertical="top"/>
    </xf>
    <xf numFmtId="0" fontId="15" fillId="10" borderId="17" xfId="0" applyFont="1" applyFill="1" applyBorder="1" applyAlignment="1">
      <alignment vertical="top"/>
    </xf>
    <xf numFmtId="0" fontId="15" fillId="10" borderId="24" xfId="0" applyFont="1" applyFill="1" applyBorder="1" applyAlignment="1">
      <alignment vertical="top"/>
    </xf>
    <xf numFmtId="0" fontId="15" fillId="0" borderId="1" xfId="0" applyFont="1" applyBorder="1" applyAlignment="1" applyProtection="1">
      <alignment vertical="top"/>
      <protection locked="0"/>
    </xf>
    <xf numFmtId="164" fontId="15" fillId="0" borderId="1" xfId="0" quotePrefix="1" applyNumberFormat="1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44" fontId="15" fillId="0" borderId="1" xfId="2" applyFont="1" applyFill="1" applyBorder="1" applyAlignment="1" applyProtection="1">
      <alignment vertical="top"/>
      <protection locked="0"/>
    </xf>
    <xf numFmtId="44" fontId="15" fillId="0" borderId="1" xfId="2" applyFont="1" applyFill="1" applyBorder="1" applyAlignment="1">
      <alignment vertical="top"/>
    </xf>
    <xf numFmtId="14" fontId="0" fillId="0" borderId="0" xfId="0" applyNumberFormat="1"/>
    <xf numFmtId="0" fontId="10" fillId="0" borderId="20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44" fontId="0" fillId="0" borderId="1" xfId="2" applyFont="1" applyFill="1" applyBorder="1" applyAlignment="1" applyProtection="1">
      <alignment horizontal="left" vertical="top"/>
    </xf>
    <xf numFmtId="14" fontId="0" fillId="0" borderId="1" xfId="0" applyNumberFormat="1" applyBorder="1" applyAlignment="1">
      <alignment horizontal="left" vertical="top"/>
    </xf>
    <xf numFmtId="165" fontId="1" fillId="0" borderId="1" xfId="0" applyNumberFormat="1" applyFont="1" applyBorder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164" fontId="0" fillId="0" borderId="5" xfId="0" applyNumberFormat="1" applyBorder="1" applyAlignment="1">
      <alignment horizontal="left" vertical="top"/>
    </xf>
    <xf numFmtId="44" fontId="0" fillId="0" borderId="7" xfId="2" applyFont="1" applyFill="1" applyBorder="1" applyAlignment="1" applyProtection="1">
      <alignment horizontal="left" vertical="top"/>
    </xf>
    <xf numFmtId="44" fontId="13" fillId="0" borderId="8" xfId="2" applyFont="1" applyFill="1" applyBorder="1" applyAlignment="1" applyProtection="1">
      <alignment horizontal="left" vertical="top"/>
    </xf>
    <xf numFmtId="44" fontId="0" fillId="0" borderId="7" xfId="0" applyNumberFormat="1" applyBorder="1" applyAlignment="1">
      <alignment horizontal="left" vertical="top"/>
    </xf>
    <xf numFmtId="44" fontId="13" fillId="0" borderId="8" xfId="0" applyNumberFormat="1" applyFont="1" applyBorder="1" applyAlignment="1">
      <alignment horizontal="left" vertical="top"/>
    </xf>
    <xf numFmtId="44" fontId="0" fillId="0" borderId="6" xfId="2" applyFont="1" applyFill="1" applyBorder="1" applyAlignment="1" applyProtection="1">
      <alignment horizontal="left" vertical="top"/>
    </xf>
    <xf numFmtId="0" fontId="12" fillId="4" borderId="33" xfId="0" applyFont="1" applyFill="1" applyBorder="1" applyAlignment="1" applyProtection="1">
      <alignment vertical="top"/>
      <protection locked="0"/>
    </xf>
    <xf numFmtId="0" fontId="12" fillId="4" borderId="34" xfId="0" applyFont="1" applyFill="1" applyBorder="1" applyAlignment="1">
      <alignment vertical="top" wrapText="1"/>
    </xf>
    <xf numFmtId="0" fontId="12" fillId="10" borderId="33" xfId="0" applyFont="1" applyFill="1" applyBorder="1" applyAlignment="1">
      <alignment vertical="top"/>
    </xf>
    <xf numFmtId="0" fontId="12" fillId="10" borderId="29" xfId="0" applyFont="1" applyFill="1" applyBorder="1" applyAlignment="1">
      <alignment vertical="top"/>
    </xf>
    <xf numFmtId="0" fontId="12" fillId="10" borderId="36" xfId="0" applyFont="1" applyFill="1" applyBorder="1" applyAlignment="1">
      <alignment vertical="top"/>
    </xf>
    <xf numFmtId="0" fontId="12" fillId="3" borderId="11" xfId="0" applyFont="1" applyFill="1" applyBorder="1" applyAlignment="1">
      <alignment vertical="top"/>
    </xf>
    <xf numFmtId="0" fontId="12" fillId="3" borderId="29" xfId="0" applyFont="1" applyFill="1" applyBorder="1" applyAlignment="1">
      <alignment vertical="top"/>
    </xf>
    <xf numFmtId="0" fontId="12" fillId="0" borderId="16" xfId="0" applyFont="1" applyBorder="1" applyAlignment="1" applyProtection="1">
      <alignment vertical="top"/>
      <protection locked="0"/>
    </xf>
    <xf numFmtId="0" fontId="15" fillId="0" borderId="37" xfId="0" applyFont="1" applyBorder="1" applyAlignment="1" applyProtection="1">
      <alignment vertical="top"/>
      <protection locked="0"/>
    </xf>
    <xf numFmtId="0" fontId="15" fillId="0" borderId="38" xfId="0" applyFont="1" applyBorder="1" applyAlignment="1" applyProtection="1">
      <alignment vertical="top"/>
      <protection locked="0"/>
    </xf>
    <xf numFmtId="0" fontId="15" fillId="0" borderId="39" xfId="0" applyFont="1" applyBorder="1" applyAlignment="1" applyProtection="1">
      <alignment horizontal="center" vertical="top"/>
      <protection locked="0"/>
    </xf>
    <xf numFmtId="0" fontId="15" fillId="0" borderId="39" xfId="0" applyFont="1" applyBorder="1" applyAlignment="1" applyProtection="1">
      <alignment vertical="top"/>
      <protection locked="0"/>
    </xf>
    <xf numFmtId="0" fontId="15" fillId="0" borderId="39" xfId="0" applyFont="1" applyBorder="1" applyAlignment="1" applyProtection="1">
      <alignment vertical="top" wrapText="1"/>
      <protection locked="0"/>
    </xf>
    <xf numFmtId="0" fontId="15" fillId="0" borderId="28" xfId="0" applyFont="1" applyBorder="1" applyAlignment="1" applyProtection="1">
      <alignment vertical="top"/>
      <protection locked="0"/>
    </xf>
    <xf numFmtId="44" fontId="15" fillId="0" borderId="37" xfId="0" applyNumberFormat="1" applyFont="1" applyBorder="1" applyAlignment="1" applyProtection="1">
      <alignment vertical="top"/>
      <protection locked="0"/>
    </xf>
    <xf numFmtId="0" fontId="15" fillId="0" borderId="15" xfId="0" applyFont="1" applyBorder="1" applyAlignment="1" applyProtection="1">
      <alignment vertical="top"/>
      <protection locked="0"/>
    </xf>
    <xf numFmtId="44" fontId="15" fillId="0" borderId="27" xfId="0" applyNumberFormat="1" applyFont="1" applyBorder="1" applyAlignment="1">
      <alignment vertical="top"/>
    </xf>
    <xf numFmtId="3" fontId="14" fillId="2" borderId="0" xfId="0" applyNumberFormat="1" applyFont="1" applyFill="1" applyAlignment="1">
      <alignment vertical="top"/>
    </xf>
    <xf numFmtId="164" fontId="15" fillId="0" borderId="1" xfId="0" applyNumberFormat="1" applyFont="1" applyBorder="1" applyAlignment="1" applyProtection="1">
      <alignment vertical="top"/>
      <protection locked="0"/>
    </xf>
    <xf numFmtId="0" fontId="0" fillId="0" borderId="1" xfId="0" applyBorder="1"/>
    <xf numFmtId="10" fontId="0" fillId="5" borderId="6" xfId="0" applyNumberFormat="1" applyFill="1" applyBorder="1" applyAlignment="1">
      <alignment horizontal="center" vertical="top"/>
    </xf>
    <xf numFmtId="44" fontId="15" fillId="0" borderId="0" xfId="0" applyNumberFormat="1" applyFont="1" applyAlignment="1">
      <alignment vertical="top"/>
    </xf>
    <xf numFmtId="0" fontId="12" fillId="10" borderId="12" xfId="0" applyFont="1" applyFill="1" applyBorder="1" applyAlignment="1">
      <alignment vertical="top"/>
    </xf>
    <xf numFmtId="0" fontId="12" fillId="10" borderId="0" xfId="0" applyFont="1" applyFill="1" applyAlignment="1">
      <alignment vertical="top"/>
    </xf>
    <xf numFmtId="0" fontId="15" fillId="10" borderId="0" xfId="0" applyFont="1" applyFill="1" applyAlignment="1">
      <alignment vertical="top"/>
    </xf>
    <xf numFmtId="164" fontId="0" fillId="0" borderId="41" xfId="0" applyNumberFormat="1" applyBorder="1" applyAlignment="1">
      <alignment horizontal="left" vertical="top"/>
    </xf>
    <xf numFmtId="44" fontId="0" fillId="0" borderId="0" xfId="0" applyNumberFormat="1" applyAlignment="1">
      <alignment horizontal="left" vertical="top"/>
    </xf>
    <xf numFmtId="0" fontId="7" fillId="0" borderId="4" xfId="0" applyFont="1" applyBorder="1" applyAlignment="1">
      <alignment vertical="top" wrapText="1"/>
    </xf>
    <xf numFmtId="0" fontId="12" fillId="4" borderId="12" xfId="0" applyFont="1" applyFill="1" applyBorder="1" applyAlignment="1" applyProtection="1">
      <alignment vertical="top"/>
      <protection locked="0"/>
    </xf>
    <xf numFmtId="0" fontId="12" fillId="4" borderId="0" xfId="0" applyFont="1" applyFill="1" applyAlignment="1" applyProtection="1">
      <alignment vertical="top"/>
      <protection locked="0"/>
    </xf>
    <xf numFmtId="0" fontId="15" fillId="4" borderId="0" xfId="0" applyFont="1" applyFill="1" applyAlignment="1" applyProtection="1">
      <alignment vertical="top"/>
      <protection locked="0"/>
    </xf>
    <xf numFmtId="0" fontId="12" fillId="4" borderId="33" xfId="0" applyFont="1" applyFill="1" applyBorder="1" applyAlignment="1">
      <alignment vertical="top"/>
    </xf>
    <xf numFmtId="0" fontId="12" fillId="4" borderId="13" xfId="0" applyFont="1" applyFill="1" applyBorder="1" applyAlignment="1">
      <alignment vertical="top"/>
    </xf>
    <xf numFmtId="0" fontId="12" fillId="4" borderId="16" xfId="0" applyFont="1" applyFill="1" applyBorder="1" applyAlignment="1">
      <alignment vertical="top"/>
    </xf>
    <xf numFmtId="0" fontId="12" fillId="4" borderId="10" xfId="0" applyFont="1" applyFill="1" applyBorder="1" applyAlignment="1">
      <alignment vertical="top"/>
    </xf>
    <xf numFmtId="0" fontId="15" fillId="4" borderId="37" xfId="0" applyFont="1" applyFill="1" applyBorder="1" applyAlignment="1">
      <alignment vertical="top"/>
    </xf>
    <xf numFmtId="0" fontId="15" fillId="4" borderId="39" xfId="0" applyFont="1" applyFill="1" applyBorder="1" applyAlignment="1">
      <alignment vertical="top"/>
    </xf>
    <xf numFmtId="0" fontId="15" fillId="4" borderId="39" xfId="0" applyFont="1" applyFill="1" applyBorder="1" applyAlignment="1">
      <alignment vertical="top" wrapText="1"/>
    </xf>
    <xf numFmtId="0" fontId="15" fillId="4" borderId="40" xfId="0" applyFont="1" applyFill="1" applyBorder="1" applyAlignment="1">
      <alignment vertical="top"/>
    </xf>
    <xf numFmtId="0" fontId="0" fillId="0" borderId="27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0" fillId="0" borderId="15" xfId="0" applyBorder="1" applyAlignment="1">
      <alignment horizontal="left" vertical="top"/>
    </xf>
    <xf numFmtId="0" fontId="0" fillId="0" borderId="0" xfId="0" pivotButton="1"/>
    <xf numFmtId="0" fontId="0" fillId="0" borderId="0" xfId="0" applyAlignment="1">
      <alignment horizontal="left"/>
    </xf>
    <xf numFmtId="44" fontId="15" fillId="0" borderId="1" xfId="10" applyFont="1" applyFill="1" applyBorder="1" applyAlignment="1">
      <alignment vertical="top"/>
    </xf>
    <xf numFmtId="0" fontId="19" fillId="0" borderId="1" xfId="0" applyFont="1" applyBorder="1"/>
    <xf numFmtId="3" fontId="10" fillId="7" borderId="0" xfId="0" applyNumberFormat="1" applyFont="1" applyFill="1" applyAlignment="1">
      <alignment horizontal="left"/>
    </xf>
    <xf numFmtId="0" fontId="14" fillId="2" borderId="0" xfId="0" applyFont="1" applyFill="1" applyAlignment="1">
      <alignment horizontal="left" vertical="top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0" fontId="9" fillId="9" borderId="31" xfId="0" applyFont="1" applyFill="1" applyBorder="1" applyAlignment="1">
      <alignment horizontal="center" vertical="top"/>
    </xf>
    <xf numFmtId="0" fontId="6" fillId="9" borderId="30" xfId="0" applyFont="1" applyFill="1" applyBorder="1" applyAlignment="1">
      <alignment horizontal="center" vertical="top"/>
    </xf>
    <xf numFmtId="0" fontId="6" fillId="9" borderId="31" xfId="0" applyFont="1" applyFill="1" applyBorder="1" applyAlignment="1">
      <alignment horizontal="center" vertical="top"/>
    </xf>
    <xf numFmtId="0" fontId="6" fillId="9" borderId="26" xfId="0" applyFont="1" applyFill="1" applyBorder="1" applyAlignment="1">
      <alignment horizontal="center" vertical="top"/>
    </xf>
    <xf numFmtId="0" fontId="6" fillId="6" borderId="31" xfId="0" applyFont="1" applyFill="1" applyBorder="1" applyAlignment="1">
      <alignment horizontal="center" vertical="top"/>
    </xf>
    <xf numFmtId="0" fontId="6" fillId="6" borderId="26" xfId="0" applyFont="1" applyFill="1" applyBorder="1" applyAlignment="1">
      <alignment horizontal="center" vertical="top"/>
    </xf>
    <xf numFmtId="0" fontId="6" fillId="10" borderId="31" xfId="0" applyFont="1" applyFill="1" applyBorder="1" applyAlignment="1">
      <alignment horizontal="center" vertical="top"/>
    </xf>
    <xf numFmtId="0" fontId="6" fillId="10" borderId="26" xfId="0" applyFont="1" applyFill="1" applyBorder="1" applyAlignment="1">
      <alignment horizontal="center" vertical="top"/>
    </xf>
  </cellXfs>
  <cellStyles count="11">
    <cellStyle name="Comma 2" xfId="6" xr:uid="{0C31A5CA-2788-47F5-8595-86AF3D8D6340}"/>
    <cellStyle name="Currency" xfId="2" builtinId="4"/>
    <cellStyle name="Currency 2" xfId="10" xr:uid="{26796016-8AB9-4853-8915-44EDB7587143}"/>
    <cellStyle name="Euro" xfId="7" xr:uid="{FA1A5A95-47BA-426C-8BF7-4A2E768BBCC7}"/>
    <cellStyle name="Normal" xfId="0" builtinId="0"/>
    <cellStyle name="Normal 2" xfId="3" xr:uid="{042D0CC4-8D3C-4DBD-B577-B57DA9BD067E}"/>
    <cellStyle name="Normal 3" xfId="5" xr:uid="{2CCB5DFE-C7B7-4BFF-AF96-2AC76775BF9A}"/>
    <cellStyle name="Normal 6" xfId="4" xr:uid="{C724D0DD-173B-44D7-8963-C379B248AB9A}"/>
    <cellStyle name="Percent" xfId="1" builtinId="5"/>
    <cellStyle name="Percent 2" xfId="8" xr:uid="{79192040-C87C-4346-9B53-9BACCE0E6A89}"/>
    <cellStyle name="Procent 2" xfId="9" xr:uid="{1489CFF9-A365-4C1F-8D3B-F1F5EF5090E9}"/>
  </cellStyles>
  <dxfs count="15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8" formatCode="0.0%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8" formatCode="0.0%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numFmt numFmtId="165" formatCode="0.000\ \‰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numFmt numFmtId="165" formatCode="0.000\ \‰"/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numFmt numFmtId="165" formatCode="0.000\ \‰"/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numFmt numFmtId="165" formatCode="0.000\ \‰"/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numFmt numFmtId="165" formatCode="0.000\ \‰"/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numFmt numFmtId="164" formatCode="00"/>
      <alignment horizontal="left" vertical="top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protection locked="1" hidden="0"/>
    </dxf>
    <dxf>
      <border outline="0">
        <left style="medium">
          <color indexed="64"/>
        </left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8" formatCode="0.0%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8" formatCode="0.0%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0"/>
      <alignment horizontal="left" vertical="bottom" textRotation="0" wrapText="0" indent="0" justifyLastLine="0" shrinkToFit="0" readingOrder="0"/>
    </dxf>
    <dxf>
      <alignment horizontal="right"/>
    </dxf>
    <dxf>
      <numFmt numFmtId="34" formatCode="_ &quot;€&quot;\ * #,##0.00_ ;_ &quot;€&quot;\ * \-#,##0.00_ ;_ &quot;€&quot;\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164" formatCode="0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164" formatCode="00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00CCFF"/>
      <color rgb="FFCCFFFF"/>
      <color rgb="FFBB9DDB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connections" Target="connection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oniya Negi" refreshedDate="46115.412501851853" backgroundQuery="1" createdVersion="7" refreshedVersion="8" minRefreshableVersion="3" recordCount="0" supportSubquery="1" supportAdvancedDrill="1" xr:uid="{68A91284-7463-40FC-B611-A8F06F352F33}">
  <cacheSource type="external" connectionId="1"/>
  <cacheFields count="3">
    <cacheField name="[Measures].[Sum of Totale jaarpremie:]" caption="Sum of Totale jaarpremie:" numFmtId="0" hierarchy="34" level="32767"/>
    <cacheField name="[Measures].[Sum of Verzekerde Waarde]" caption="Sum of Verzekerde Waarde" numFmtId="0" hierarchy="35" level="32767"/>
    <cacheField name="[Table3].[Verzekerde interest].[Verzekerde interest]" caption="Verzekerde interest" numFmtId="0" hierarchy="3" level="1">
      <sharedItems count="3">
        <s v="Bedrijfsuitrusting"/>
        <s v="Gebouwen"/>
        <s v="Opruimingskosten"/>
      </sharedItems>
    </cacheField>
  </cacheFields>
  <cacheHierarchies count="36">
    <cacheHierarchy uniqueName="[Table3].[Verzekerde]" caption="Verzekerde" attribute="1" defaultMemberUniqueName="[Table3].[Verzekerde].[All]" allUniqueName="[Table3].[Verzekerde].[All]" dimensionUniqueName="[Table3]" displayFolder="" count="0" memberValueDatatype="130" unbalanced="0"/>
    <cacheHierarchy uniqueName="[Table3].[Certificaat]" caption="Certificaat" attribute="1" defaultMemberUniqueName="[Table3].[Certificaat].[All]" allUniqueName="[Table3].[Certificaat].[All]" dimensionUniqueName="[Table3]" displayFolder="" count="0" memberValueDatatype="20" unbalanced="0"/>
    <cacheHierarchy uniqueName="[Table3].[Sub]" caption="Sub" attribute="1" defaultMemberUniqueName="[Table3].[Sub].[All]" allUniqueName="[Table3].[Sub].[All]" dimensionUniqueName="[Table3]" displayFolder="" count="0" memberValueDatatype="20" unbalanced="0"/>
    <cacheHierarchy uniqueName="[Table3].[Verzekerde interest]" caption="Verzekerde interest" attribute="1" defaultMemberUniqueName="[Table3].[Verzekerde interest].[All]" allUniqueName="[Table3].[Verzekerde interest].[All]" dimensionUniqueName="[Table3]" displayFolder="" count="2" memberValueDatatype="130" unbalanced="0">
      <fieldsUsage count="2">
        <fieldUsage x="-1"/>
        <fieldUsage x="2"/>
      </fieldsUsage>
    </cacheHierarchy>
    <cacheHierarchy uniqueName="[Table3].[Bestemming]" caption="Bestemming" attribute="1" defaultMemberUniqueName="[Table3].[Bestemming].[All]" allUniqueName="[Table3].[Bestemming].[All]" dimensionUniqueName="[Table3]" displayFolder="" count="0" memberValueDatatype="130" unbalanced="0"/>
    <cacheHierarchy uniqueName="[Table3].[Omschrijving]" caption="Omschrijving" attribute="1" defaultMemberUniqueName="[Table3].[Omschrijving].[All]" allUniqueName="[Table3].[Omschrijving].[All]" dimensionUniqueName="[Table3]" displayFolder="" count="0" memberValueDatatype="130" unbalanced="0"/>
    <cacheHierarchy uniqueName="[Table3].[Schadevergoedingstermijn]" caption="Schadevergoedingstermijn" attribute="1" defaultMemberUniqueName="[Table3].[Schadevergoedingstermijn].[All]" allUniqueName="[Table3].[Schadevergoedingstermijn].[All]" dimensionUniqueName="[Table3]" displayFolder="" count="0" memberValueDatatype="130" unbalanced="0"/>
    <cacheHierarchy uniqueName="[Table3].[Bouwaard]" caption="Bouwaard" attribute="1" defaultMemberUniqueName="[Table3].[Bouwaard].[All]" allUniqueName="[Table3].[Bouwaard].[All]" dimensionUniqueName="[Table3]" displayFolder="" count="0" memberValueDatatype="130" unbalanced="0"/>
    <cacheHierarchy uniqueName="[Table3].[Getaxeerd]" caption="Getaxeerd" attribute="1" defaultMemberUniqueName="[Table3].[Getaxeerd].[All]" allUniqueName="[Table3].[Getaxeerd].[All]" dimensionUniqueName="[Table3]" displayFolder="" count="0" memberValueDatatype="130" unbalanced="0"/>
    <cacheHierarchy uniqueName="[Table3].[Adres]" caption="Adres" attribute="1" defaultMemberUniqueName="[Table3].[Adres].[All]" allUniqueName="[Table3].[Adres].[All]" dimensionUniqueName="[Table3]" displayFolder="" count="0" memberValueDatatype="130" unbalanced="0"/>
    <cacheHierarchy uniqueName="[Table3].[Postcode]" caption="Postcode" attribute="1" defaultMemberUniqueName="[Table3].[Postcode].[All]" allUniqueName="[Table3].[Postcode].[All]" dimensionUniqueName="[Table3]" displayFolder="" count="0" memberValueDatatype="130" unbalanced="0"/>
    <cacheHierarchy uniqueName="[Table3].[Plaats]" caption="Plaats" attribute="1" defaultMemberUniqueName="[Table3].[Plaats].[All]" allUniqueName="[Table3].[Plaats].[All]" dimensionUniqueName="[Table3]" displayFolder="" count="0" memberValueDatatype="130" unbalanced="0"/>
    <cacheHierarchy uniqueName="[Table3].[Land]" caption="Land" attribute="1" defaultMemberUniqueName="[Table3].[Land].[All]" allUniqueName="[Table3].[Land].[All]" dimensionUniqueName="[Table3]" displayFolder="" count="0" memberValueDatatype="130" unbalanced="0"/>
    <cacheHierarchy uniqueName="[Table3].[Vorkbedrag]" caption="Vorkbedrag" attribute="1" defaultMemberUniqueName="[Table3].[Vorkbedrag].[All]" allUniqueName="[Table3].[Vorkbedrag].[All]" dimensionUniqueName="[Table3]" displayFolder="" count="0" memberValueDatatype="20" unbalanced="0"/>
    <cacheHierarchy uniqueName="[Table3].[Premiegrondslag]" caption="Premiegrondslag" attribute="1" defaultMemberUniqueName="[Table3].[Premiegrondslag].[All]" allUniqueName="[Table3].[Premiegrondslag].[All]" dimensionUniqueName="[Table3]" displayFolder="" count="0" memberValueDatatype="20" unbalanced="0"/>
    <cacheHierarchy uniqueName="[Table3].[Indexverschil]" caption="Indexverschil" attribute="1" defaultMemberUniqueName="[Table3].[Indexverschil].[All]" allUniqueName="[Table3].[Indexverschil].[All]" dimensionUniqueName="[Table3]" displayFolder="" count="0" memberValueDatatype="20" unbalanced="0"/>
    <cacheHierarchy uniqueName="[Table3].[Verzekerde Waarde]" caption="Verzekerde Waarde" attribute="1" defaultMemberUniqueName="[Table3].[Verzekerde Waarde].[All]" allUniqueName="[Table3].[Verzekerde Waarde].[All]" dimensionUniqueName="[Table3]" displayFolder="" count="0" memberValueDatatype="20" unbalanced="0"/>
    <cacheHierarchy uniqueName="[Table3].[Index nieuw]" caption="Index nieuw" attribute="1" defaultMemberUniqueName="[Table3].[Index nieuw].[All]" allUniqueName="[Table3].[Index nieuw].[All]" dimensionUniqueName="[Table3]" displayFolder="" count="0" memberValueDatatype="5" unbalanced="0"/>
    <cacheHierarchy uniqueName="[Table3].[Mutaties]" caption="Mutaties" attribute="1" defaultMemberUniqueName="[Table3].[Mutaties].[All]" allUniqueName="[Table3].[Mutaties].[All]" dimensionUniqueName="[Table3]" displayFolder="" count="0" memberValueDatatype="20" unbalanced="0"/>
    <cacheHierarchy uniqueName="[Table3].[Verz. Waarde Oud:]" caption="Verz. Waarde Oud:" attribute="1" defaultMemberUniqueName="[Table3].[Verz. Waarde Oud:].[All]" allUniqueName="[Table3].[Verz. Waarde Oud:].[All]" dimensionUniqueName="[Table3]" displayFolder="" count="0" memberValueDatatype="20" unbalanced="0"/>
    <cacheHierarchy uniqueName="[Table3].[Index oud]" caption="Index oud" attribute="1" defaultMemberUniqueName="[Table3].[Index oud].[All]" allUniqueName="[Table3].[Index oud].[All]" dimensionUniqueName="[Table3]" displayFolder="" count="0" memberValueDatatype="5" unbalanced="0"/>
    <cacheHierarchy uniqueName="[Table3].[Promillage 6]" caption="Promillage 6" attribute="1" defaultMemberUniqueName="[Table3].[Promillage 6].[All]" allUniqueName="[Table3].[Promillage 6].[All]" dimensionUniqueName="[Table3]" displayFolder="" count="0" memberValueDatatype="5" unbalanced="0"/>
    <cacheHierarchy uniqueName="[Table3].[Promillage 7]" caption="Promillage 7" attribute="1" defaultMemberUniqueName="[Table3].[Promillage 7].[All]" allUniqueName="[Table3].[Promillage 7].[All]" dimensionUniqueName="[Table3]" displayFolder="" count="0" memberValueDatatype="5" unbalanced="0"/>
    <cacheHierarchy uniqueName="[Table3].[Promillage 8]" caption="Promillage 8" attribute="1" defaultMemberUniqueName="[Table3].[Promillage 8].[All]" allUniqueName="[Table3].[Promillage 8].[All]" dimensionUniqueName="[Table3]" displayFolder="" count="0" memberValueDatatype="5" unbalanced="0"/>
    <cacheHierarchy uniqueName="[Table3].[Promillage 9]" caption="Promillage 9" attribute="1" defaultMemberUniqueName="[Table3].[Promillage 9].[All]" allUniqueName="[Table3].[Promillage 9].[All]" dimensionUniqueName="[Table3]" displayFolder="" count="0" memberValueDatatype="5" unbalanced="0"/>
    <cacheHierarchy uniqueName="[Table3].[Promillage 10]" caption="Promillage 10" attribute="1" defaultMemberUniqueName="[Table3].[Promillage 10].[All]" allUniqueName="[Table3].[Promillage 10].[All]" dimensionUniqueName="[Table3]" displayFolder="" count="0" memberValueDatatype="5" unbalanced="0"/>
    <cacheHierarchy uniqueName="[Table3].[Jaarpremie 6]" caption="Jaarpremie 6" attribute="1" defaultMemberUniqueName="[Table3].[Jaarpremie 6].[All]" allUniqueName="[Table3].[Jaarpremie 6].[All]" dimensionUniqueName="[Table3]" displayFolder="" count="0" memberValueDatatype="5" unbalanced="0"/>
    <cacheHierarchy uniqueName="[Table3].[Jaarpremie 7]" caption="Jaarpremie 7" attribute="1" defaultMemberUniqueName="[Table3].[Jaarpremie 7].[All]" allUniqueName="[Table3].[Jaarpremie 7].[All]" dimensionUniqueName="[Table3]" displayFolder="" count="0" memberValueDatatype="5" unbalanced="0"/>
    <cacheHierarchy uniqueName="[Table3].[Jaarpremie 8]" caption="Jaarpremie 8" attribute="1" defaultMemberUniqueName="[Table3].[Jaarpremie 8].[All]" allUniqueName="[Table3].[Jaarpremie 8].[All]" dimensionUniqueName="[Table3]" displayFolder="" count="0" memberValueDatatype="5" unbalanced="0"/>
    <cacheHierarchy uniqueName="[Table3].[Jaarpremie 9]" caption="Jaarpremie 9" attribute="1" defaultMemberUniqueName="[Table3].[Jaarpremie 9].[All]" allUniqueName="[Table3].[Jaarpremie 9].[All]" dimensionUniqueName="[Table3]" displayFolder="" count="0" memberValueDatatype="5" unbalanced="0"/>
    <cacheHierarchy uniqueName="[Table3].[Jaarpremie 10]" caption="Jaarpremie 10" attribute="1" defaultMemberUniqueName="[Table3].[Jaarpremie 10].[All]" allUniqueName="[Table3].[Jaarpremie 10].[All]" dimensionUniqueName="[Table3]" displayFolder="" count="0" memberValueDatatype="5" unbalanced="0"/>
    <cacheHierarchy uniqueName="[Table3].[Totale jaarpremie:]" caption="Totale jaarpremie:" attribute="1" defaultMemberUniqueName="[Table3].[Totale jaarpremie:].[All]" allUniqueName="[Table3].[Totale jaarpremie:].[All]" dimensionUniqueName="[Table3]" displayFolder="" count="0" memberValueDatatype="5" unbalanced="0"/>
    <cacheHierarchy uniqueName="[Measures].[__XL_Count Table3]" caption="__XL_Count Table3" measure="1" displayFolder="" measureGroup="Table3" count="0" hidden="1"/>
    <cacheHierarchy uniqueName="[Measures].[__No measures defined]" caption="__No measures defined" measure="1" displayFolder="" count="0" hidden="1"/>
    <cacheHierarchy uniqueName="[Measures].[Sum of Totale jaarpremie:]" caption="Sum of Totale jaarpremie:" measure="1" displayFolder="" measureGroup="Table3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31"/>
        </ext>
      </extLst>
    </cacheHierarchy>
    <cacheHierarchy uniqueName="[Measures].[Sum of Verzekerde Waarde]" caption="Sum of Verzekerde Waarde" measure="1" displayFolder="" measureGroup="Table3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2">
    <dimension measure="1" name="Measures" uniqueName="[Measures]" caption="Measures"/>
    <dimension name="Table3" uniqueName="[Table3]" caption="Table3"/>
  </dimensions>
  <measureGroups count="1">
    <measureGroup name="Table3" caption="Table3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AB6038-E477-453D-B22B-2B363E924718}" name="PivotTable3" cacheId="0" applyNumberFormats="0" applyBorderFormats="0" applyFontFormats="0" applyPatternFormats="0" applyAlignmentFormats="0" applyWidthHeightFormats="1" dataCaption="Values" grandTotalCaption="Totaal" updatedVersion="8" minRefreshableVersion="3" useAutoFormatting="1" subtotalHiddenItems="1" itemPrintTitles="1" createdVersion="7" indent="0" outline="1" outlineData="1" multipleFieldFilters="0" rowHeaderCaption="">
  <location ref="A9:C13" firstHeaderRow="0" firstDataRow="1" firstDataCol="1"/>
  <pivotFields count="3">
    <pivotField dataField="1" subtotalTop="0" showAll="0" defaultSubtotal="0"/>
    <pivotField dataField="1" subtotalTop="0" showAll="0" defaultSubtotal="0"/>
    <pivotField axis="axisRow" allDrilled="1" subtotalTop="0" showAll="0" defaultSubtotal="0" defaultAttributeDrillState="1">
      <items count="3">
        <item x="1"/>
        <item x="0"/>
        <item x="2"/>
      </items>
    </pivotField>
  </pivotFields>
  <rowFields count="1">
    <field x="2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Verzekerde waarde" fld="1" baseField="0" baseItem="0"/>
    <dataField name="Jaarpremie" fld="0" baseField="0" baseItem="0"/>
  </dataFields>
  <formats count="2">
    <format dxfId="104">
      <pivotArea outline="0" collapsedLevelsAreSubtotals="1" fieldPosition="0"/>
    </format>
    <format dxfId="103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Hierarchies count="36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Jaarpremie"/>
    <pivotHierarchy dragToRow="0" dragToCol="0" dragToPage="0" dragToData="1" caption="Verzekerde waarde"/>
  </pivotHierarchies>
  <pivotTableStyleInfo name="PivotStyleLight16" showRowHeaders="1" showColHeaders="1" showRowStripes="0" showColStripes="0" showLastColumn="1"/>
  <rowHierarchiesUsage count="1">
    <rowHierarchyUsage hierarchyUsage="3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BIPAR Module versie 6.2.xlsx!Table3">
        <x15:activeTabTopLevelEntity name="[Table3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AF08A8D-44F3-42E9-86BB-A1C00B8314DE}" name="Table3" displayName="Table3" ref="A9:U21" totalsRowCount="1" headerRowDxfId="149" dataDxfId="148" tableBorderDxfId="147">
  <tableColumns count="21">
    <tableColumn id="1" xr3:uid="{5DA535AD-6ED3-4B58-8975-8C5347AA9B78}" name="Verzekerde" totalsRowLabel="Total" dataDxfId="146" totalsRowDxfId="145"/>
    <tableColumn id="35" xr3:uid="{3D66882E-214F-4E51-B263-D2DDB4FF2D3B}" name="Certificaat" dataDxfId="144" totalsRowDxfId="143"/>
    <tableColumn id="3" xr3:uid="{46AEA6C0-3771-4B9F-84B0-D1E6E51ED86B}" name="Sub" dataDxfId="142" totalsRowDxfId="141"/>
    <tableColumn id="4" xr3:uid="{9A2B1A2F-6CEB-4F18-A492-54E11736E5C9}" name="Verzekerde interest" dataDxfId="140" totalsRowDxfId="139"/>
    <tableColumn id="5" xr3:uid="{9D760F86-9046-48BB-BD35-80C0CB1AAC94}" name="Bestemming" dataDxfId="138" totalsRowDxfId="137"/>
    <tableColumn id="6" xr3:uid="{AEF7AB71-63FB-4DF7-B373-C23684BDD59F}" name="Omschrijving" dataDxfId="136" totalsRowDxfId="135"/>
    <tableColumn id="2" xr3:uid="{C3F0919A-0C23-4F94-A553-C9326C2AE775}" name="Schadevergoedingstermijn" dataDxfId="134" totalsRowDxfId="133"/>
    <tableColumn id="7" xr3:uid="{80DF863E-C676-467C-9B7F-AEA9BF31EF53}" name="Bouwaard" dataDxfId="132" totalsRowDxfId="131"/>
    <tableColumn id="8" xr3:uid="{A5E447C2-3EF1-4784-8BC8-25520EDB2C61}" name="Getaxeerd" dataDxfId="130" totalsRowDxfId="129"/>
    <tableColumn id="11" xr3:uid="{C537EE58-8FE5-4DC9-B6BF-0D07D6D61AD7}" name="Adres" dataDxfId="128" totalsRowDxfId="127"/>
    <tableColumn id="12" xr3:uid="{339D09B0-2AF5-4303-A5A6-02DD7DB5395D}" name="Postcode" dataDxfId="126" totalsRowDxfId="125"/>
    <tableColumn id="13" xr3:uid="{2B053CF8-65C3-49C4-9661-3DB2CB0CC34A}" name="Plaats" dataDxfId="124" totalsRowDxfId="123"/>
    <tableColumn id="27" xr3:uid="{A0A1AC25-82A1-4637-B86F-C639D75A706C}" name="Land" dataDxfId="122" totalsRowDxfId="121"/>
    <tableColumn id="14" xr3:uid="{6CE5D940-A92A-4A0C-8BD6-B0E3A0EE3390}" name="Vorkbedrag" totalsRowFunction="sum" dataDxfId="120" totalsRowDxfId="119"/>
    <tableColumn id="15" xr3:uid="{2658B486-6155-457E-A473-050992C9D06B}" name="Premiegrondslag" totalsRowFunction="sum" dataDxfId="118" totalsRowDxfId="117"/>
    <tableColumn id="21" xr3:uid="{DA49C64B-E424-4D64-80A7-BA97EEC3D0D1}" name="Indexverschil" totalsRowFunction="sum" dataDxfId="116" totalsRowDxfId="115">
      <calculatedColumnFormula>Table3[[#This Row],[Verzekerde Waarde]]-Table3[[#This Row],[Mutaties]]</calculatedColumnFormula>
    </tableColumn>
    <tableColumn id="16" xr3:uid="{25E13C69-EE0B-496F-B0A6-615909375448}" name="Verzekerde Waarde" totalsRowFunction="sum" dataDxfId="114" totalsRowDxfId="113"/>
    <tableColumn id="17" xr3:uid="{04C7BDE1-9D3C-4EC4-ADBC-51DCF266AA22}" name="Index nieuw" dataDxfId="112" totalsRowDxfId="111"/>
    <tableColumn id="18" xr3:uid="{448DB753-00BC-43DE-A940-D7A40A6DC875}" name="Mutaties" totalsRowFunction="sum" dataDxfId="110" totalsRowDxfId="109">
      <calculatedColumnFormula>T10+SUMIF(Table4[Subnummer],Table3[[#This Row],[Sub]],Table4[Som mutaties])</calculatedColumnFormula>
    </tableColumn>
    <tableColumn id="19" xr3:uid="{E2C7CD13-246E-4279-9E08-71DF2DD4543D}" name="Verz. Waarde Oud:" totalsRowFunction="sum" dataDxfId="108" totalsRowDxfId="107"/>
    <tableColumn id="20" xr3:uid="{127805A0-511B-445D-9C56-BF76B0B74610}" name="Index oud" dataDxfId="106" totalsRowDxfId="105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E8E302D-FAA8-4860-A74C-9E0E501060A6}" name="Table8" displayName="Table8" ref="A2:F13" totalsRowShown="0">
  <tableColumns count="6">
    <tableColumn id="1" xr3:uid="{425C3F9B-888C-41F2-B864-EC8453BCECCD}" name="Sub" dataDxfId="102"/>
    <tableColumn id="2" xr3:uid="{C808CC8C-B930-4060-8A04-348D8D6F41AE}" name="Soort interest">
      <calculatedColumnFormula>IFERROR(_xlfn.XLOOKUP(Table8[[#This Row],[Sub]],Table3[Sub],Table3[Verzekerde interest]),"-")</calculatedColumnFormula>
    </tableColumn>
    <tableColumn id="3" xr3:uid="{32421018-A694-46BE-AEAB-E4E993B915A5}" name="Taxateur"/>
    <tableColumn id="4" xr3:uid="{7D8C23E6-A111-4604-BE71-E81D202A5BD4}" name="Taxatiedatum"/>
    <tableColumn id="5" xr3:uid="{551951F5-8AC9-4CCF-BECF-1E59AB37760E}" name="Rapportnummer"/>
    <tableColumn id="6" xr3:uid="{9D13D5A9-22FF-40A4-9A6D-107489957FAC}" name="Vervalt op"/>
  </tableColumns>
  <tableStyleInfo name="TableStyleMedium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AA2467-2CCA-4AC8-98AF-8599DE482937}" name="Table1" displayName="Table1" ref="A12:F18" totalsRowCount="1" headerRowDxfId="101" totalsRowDxfId="98" headerRowBorderDxfId="100" tableBorderDxfId="99" totalsRowBorderDxfId="97">
  <tableColumns count="6">
    <tableColumn id="1" xr3:uid="{6686A93B-508A-4DCB-AAE3-4A9321E67559}" name="Verzekeraar" totalsRowLabel="Total" dataDxfId="96" totalsRowDxfId="95"/>
    <tableColumn id="2" xr3:uid="{97D40347-3AE7-4F1C-A7E9-4053C5E0ECFD}" name="Relatienummer" dataDxfId="94" totalsRowDxfId="93"/>
    <tableColumn id="3" xr3:uid="{E1D84ECA-B8DF-442A-9ED1-7EC144A6C221}" name="Aandeel" totalsRowFunction="sum" dataDxfId="92" totalsRowDxfId="91"/>
    <tableColumn id="4" xr3:uid="{9AE70F38-5F7F-4A1E-ADE9-B1F86CFFDB82}" name="Jaarpremie" totalsRowFunction="sum" dataDxfId="90" totalsRowDxfId="89">
      <calculatedColumnFormula>SUMIF(Table3[Certificaat],$B$11,#REF!)</calculatedColumnFormula>
    </tableColumn>
    <tableColumn id="5" xr3:uid="{C8DC530D-196F-4F06-AA42-3AEF531238CD}" name="Al geboekt met nota_x000a_" totalsRowFunction="sum" dataDxfId="88" totalsRowDxfId="87"/>
    <tableColumn id="6" xr3:uid="{48EDC8E9-7E64-461B-9FAC-FB0E9553B711}" name="Nog te boeken" totalsRowFunction="sum" dataDxfId="86" totalsRowDxfId="85"/>
  </tableColumns>
  <tableStyleInfo name="TableStyleMedium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7009779-FE40-4487-BE84-03FE442C5B8A}" name="Table4" displayName="Table4" ref="A8:AH13" totalsRowCount="1" headerRowDxfId="84" dataDxfId="83" totalsRowDxfId="81" tableBorderDxfId="82">
  <autoFilter ref="A8:AH12" xr:uid="{07009779-FE40-4487-BE84-03FE442C5B8A}"/>
  <sortState xmlns:xlrd2="http://schemas.microsoft.com/office/spreadsheetml/2017/richdata2" ref="A8:AH9">
    <sortCondition ref="D8:D12"/>
  </sortState>
  <tableColumns count="34">
    <tableColumn id="1" xr3:uid="{E829BB11-9544-46D3-83B7-C7220D3E6274}" name="Klant" totalsRowLabel="Totaal" dataDxfId="80" totalsRowDxfId="79">
      <calculatedColumnFormula>IFERROR(_xlfn.XLOOKUP(D9,Specificatie!C:C,Specificatie!A:A),"-")</calculatedColumnFormula>
    </tableColumn>
    <tableColumn id="2" xr3:uid="{667AAFC8-65C7-42B2-919F-E6B1E47706EF}" name="Omschrijving mutatie" dataDxfId="78" totalsRowDxfId="77"/>
    <tableColumn id="35" xr3:uid="{4AEE5333-4894-4B06-8579-37FFCF2525CB}" name="Certificaat" dataDxfId="76" totalsRowDxfId="75">
      <calculatedColumnFormula>IFERROR(_xlfn.XLOOKUP(Table4[[#This Row],[Subnummer]],Table3[Sub],Table3[Certificaat]),"-")</calculatedColumnFormula>
    </tableColumn>
    <tableColumn id="3" xr3:uid="{CF592FF5-35F6-4356-9CD5-06E54941D0B1}" name="Subnummer" dataDxfId="74" totalsRowDxfId="73"/>
    <tableColumn id="21" xr3:uid="{10BF1580-A960-4810-B9DA-B94B082B59CC}" name="Adres" dataDxfId="72" totalsRowDxfId="71">
      <calculatedColumnFormula>_xlfn.XLOOKUP(Table4[[#This Row],[Subnummer]],Table3[Sub],Table3[Adres],"Error",0,1)</calculatedColumnFormula>
    </tableColumn>
    <tableColumn id="4" xr3:uid="{64034314-8866-41BA-99E8-4FF01689406B}" name="Oud" totalsRowFunction="sum" dataDxfId="70" totalsRowDxfId="69">
      <calculatedColumnFormula>IFERROR(_xlfn.XLOOKUP(Table4[[#This Row],[Subnummer]],Table3[Sub],Table3[Verz. Waarde Oud:]),0)</calculatedColumnFormula>
    </tableColumn>
    <tableColumn id="5" xr3:uid="{620AEE7D-66A2-4F1D-A607-E56478BDE8EB}" name="Investering Nieuw" totalsRowFunction="sum" dataDxfId="68" totalsRowDxfId="67"/>
    <tableColumn id="6" xr3:uid="{DE0DE46B-0DDE-437C-8E25-36B068E01C2B}" name="Investering bestaand" totalsRowFunction="sum" dataDxfId="66" totalsRowDxfId="65"/>
    <tableColumn id="7" xr3:uid="{9B36F1F2-A439-4500-896A-6E8BF6F81E51}" name="Verlaging" totalsRowFunction="sum" dataDxfId="64" totalsRowDxfId="63"/>
    <tableColumn id="8" xr3:uid="{FF81AF7B-0259-4E66-B5D9-ECFA30432652}" name="Afvoer" totalsRowFunction="sum" dataDxfId="62" totalsRowDxfId="61"/>
    <tableColumn id="9" xr3:uid="{B6BD1092-5404-4869-8C59-FC9AA463ED6A}" name="Inclusief mutatie" totalsRowFunction="sum" dataDxfId="60" totalsRowDxfId="59">
      <calculatedColumnFormula>F9+G9+H9-I9-J9</calculatedColumnFormula>
    </tableColumn>
    <tableColumn id="10" xr3:uid="{BD8E3966-13F7-42D4-993C-92FE1C430FF3}" name="Som mutaties" totalsRowFunction="sum" dataDxfId="58" totalsRowDxfId="57">
      <calculatedColumnFormula>K9-F9</calculatedColumnFormula>
    </tableColumn>
    <tableColumn id="11" xr3:uid="{20DEF141-CD88-4342-A537-AFDFB517EFA9}" name="Mutatiedatum" dataDxfId="56" totalsRowDxfId="55"/>
    <tableColumn id="12" xr3:uid="{AFB3C57F-C39F-4FD8-8562-9140F30501DB}" name="Vervaldatum" dataDxfId="54" totalsRowDxfId="53"/>
    <tableColumn id="13" xr3:uid="{A6204F43-A2A4-49F5-A101-26FA0846855E}" name="Dagen" dataDxfId="52" totalsRowDxfId="51">
      <calculatedColumnFormula>N10-M9</calculatedColumnFormula>
    </tableColumn>
    <tableColumn id="14" xr3:uid="{AC67BCCF-5297-4253-8212-7F5222B981DA}" name="Dagen per jaar" dataDxfId="50" totalsRowDxfId="49"/>
    <tableColumn id="15" xr3:uid="{A023D2D9-17D1-4E91-B3E7-8153A91C72EF}" name="Sprake van CAD?" dataDxfId="48" totalsRowDxfId="47"/>
    <tableColumn id="16" xr3:uid="{34FCD074-1758-40AA-B151-374A81777B00}" name="Investering nieuw2" totalsRowFunction="sum" dataDxfId="46" totalsRowDxfId="45">
      <calculatedColumnFormula>G9*O9/P9</calculatedColumnFormula>
    </tableColumn>
    <tableColumn id="17" xr3:uid="{361D6950-84B1-4A04-B31D-B79182F444F0}" name="Investering bestaand2" totalsRowFunction="sum" dataDxfId="44" totalsRowDxfId="43">
      <calculatedColumnFormula array="1">_xlfn.IFS($Q9="Nee",H9*$O9/$P9,$Q9="Ja",H9*0.5)</calculatedColumnFormula>
    </tableColumn>
    <tableColumn id="18" xr3:uid="{B89A019B-B2E3-40D5-A639-F666B76F86C3}" name="Verlaging2" totalsRowFunction="sum" dataDxfId="42" totalsRowDxfId="41">
      <calculatedColumnFormula array="1">_xlfn.IFS($Q9="Nee",-(I9*$O9/$P9),$Q9="Ja",-(I9*0.5))</calculatedColumnFormula>
    </tableColumn>
    <tableColumn id="19" xr3:uid="{E4087D8E-E10F-4D15-919A-7A90DFB337AD}" name="Afvoer2" totalsRowFunction="sum" dataDxfId="40" totalsRowDxfId="39">
      <calculatedColumnFormula>-J9*O9/P9</calculatedColumnFormula>
    </tableColumn>
    <tableColumn id="20" xr3:uid="{3A456E59-DB29-45F8-81D9-9E1D98E2BAFE}" name="Totaal" totalsRowFunction="sum" dataDxfId="38" totalsRowDxfId="37">
      <calculatedColumnFormula>SUM(R9:U9)</calculatedColumnFormula>
    </tableColumn>
    <tableColumn id="39" xr3:uid="{7BBA7AF3-2E91-41B1-8312-75F8013837C9}" name="Verzekeraar 6" dataDxfId="36" totalsRowDxfId="35">
      <calculatedColumnFormula>IFERROR(_xlfn.XLOOKUP(Table4[[#This Row],[Subnummer]],Table3[Sub],#REF!),0)</calculatedColumnFormula>
    </tableColumn>
    <tableColumn id="38" xr3:uid="{73DDE497-F3F1-41C2-963B-AECFEB118F29}" name="Verzekeraar 7" dataDxfId="34" totalsRowDxfId="33">
      <calculatedColumnFormula>IFERROR(_xlfn.XLOOKUP(Table4[[#This Row],[Subnummer]],Table3[Sub],#REF!),0)</calculatedColumnFormula>
    </tableColumn>
    <tableColumn id="37" xr3:uid="{6C217F27-1D8A-4CF2-A30E-0C8A738F53C1}" name="Verzekeraar 8" dataDxfId="32" totalsRowDxfId="31">
      <calculatedColumnFormula>IFERROR(_xlfn.XLOOKUP(Table4[[#This Row],[Subnummer]],Table3[Sub],#REF!),0)</calculatedColumnFormula>
    </tableColumn>
    <tableColumn id="36" xr3:uid="{6476C64F-4762-431A-8A33-4C843BE1E683}" name="Verzekeraar 9" dataDxfId="30" totalsRowDxfId="29">
      <calculatedColumnFormula>IFERROR(_xlfn.XLOOKUP(Table4[[#This Row],[Subnummer]],Table3[Sub],#REF!),0)</calculatedColumnFormula>
    </tableColumn>
    <tableColumn id="26" xr3:uid="{73E032A1-8980-4F25-A9B0-121CEE22B23D}" name="Verzekeraar 10" dataDxfId="28" totalsRowDxfId="27">
      <calculatedColumnFormula>IFERROR(_xlfn.XLOOKUP(Table4[[#This Row],[Subnummer]],Table3[Sub],#REF!),0)</calculatedColumnFormula>
    </tableColumn>
    <tableColumn id="43" xr3:uid="{38E5304E-6A79-437E-B5F0-4D8B4B18FE11}" name="Verzekeraar 17" totalsRowFunction="sum" dataDxfId="26" totalsRowDxfId="25">
      <calculatedColumnFormula>$V9*W9/1000*W$7</calculatedColumnFormula>
    </tableColumn>
    <tableColumn id="42" xr3:uid="{04FBC3EA-0B56-45AB-BBBB-6BE0BD9A5156}" name="Verzekeraar 18" totalsRowFunction="sum" dataDxfId="24" totalsRowDxfId="23">
      <calculatedColumnFormula>$V9*X9/1000*X$7</calculatedColumnFormula>
    </tableColumn>
    <tableColumn id="41" xr3:uid="{3BD046B7-BE8D-486A-B8FF-57FC2C9DE1F3}" name="Verzekeraar 19" totalsRowFunction="sum" dataDxfId="22" totalsRowDxfId="21">
      <calculatedColumnFormula>$V9*Y9/1000*Y$7</calculatedColumnFormula>
    </tableColumn>
    <tableColumn id="40" xr3:uid="{590D50AB-A966-42C5-B0A4-F570E899EAA6}" name="Verzekeraar 20" totalsRowFunction="sum" dataDxfId="20" totalsRowDxfId="19">
      <calculatedColumnFormula>$V9*Z9/1000*Z$7</calculatedColumnFormula>
    </tableColumn>
    <tableColumn id="32" xr3:uid="{5AC6F62A-D522-4341-A3ED-81D0BDEA18B9}" name="Verzekeraar 21" totalsRowFunction="sum" dataDxfId="18" totalsRowDxfId="17">
      <calculatedColumnFormula>$V9*AA9/1000*AA$7</calculatedColumnFormula>
    </tableColumn>
    <tableColumn id="33" xr3:uid="{CD88B151-89E6-41D2-8A73-08D6256ACBAF}" name="Totaal2" totalsRowFunction="sum" dataDxfId="16" totalsRowDxfId="15">
      <calculatedColumnFormula>SUM(AB9:AF9)</calculatedColumnFormula>
    </tableColumn>
    <tableColumn id="34" xr3:uid="{E305A1B7-216A-4818-A0F4-60DA1A3E3DCB}" name="Boeking" dataDxfId="14" totalsRowDxfId="13">
      <calculatedColumnFormula array="1">_xlfn.IFS(AG9=0,"Nihil",AG9&gt;0,"Suppletie",AG9&lt;0,"Restitutie")</calculatedColumnFormula>
    </tableColumn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E40922-C02C-4F7D-92D7-106DDAF09DB4}" name="Table2" displayName="Table2" ref="A12:D18" totalsRowCount="1" headerRowDxfId="12" totalsRowDxfId="9" headerRowBorderDxfId="11" tableBorderDxfId="10" totalsRowBorderDxfId="8">
  <autoFilter ref="A12:D17" xr:uid="{A6E40922-C02C-4F7D-92D7-106DDAF09DB4}"/>
  <tableColumns count="4">
    <tableColumn id="1" xr3:uid="{1C2BDB45-46C6-4EEA-9AF3-34A4B3E43C0D}" name="Verzekeraar" totalsRowLabel="Total" dataDxfId="7" totalsRowDxfId="6"/>
    <tableColumn id="2" xr3:uid="{C9624625-27B1-4242-B58D-CD75E5449BFE}" name="Relatienummer" dataDxfId="5" totalsRowDxfId="4"/>
    <tableColumn id="3" xr3:uid="{A5E01D99-FB8F-4A17-8650-9A8A9486AAD1}" name="Aandeel" totalsRowFunction="sum" dataDxfId="3" totalsRowDxfId="2"/>
    <tableColumn id="4" xr3:uid="{A79BE9DE-9508-4B1D-BC2C-3FF3652F5C55}" name="Boeking/restitutie" totalsRowFunction="sum" dataDxfId="1" totalsRowDxfId="0">
      <calculatedColumnFormula>SUMIFS(#REF!,Table4[Mutatiedatum],$B8,Table4[Certificaat],$B11)</calculatedColumnFormula>
    </tableColumn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0625-246A-43CC-89A4-DCF9BF06B965}">
  <sheetPr codeName="Sheet1"/>
  <dimension ref="A1:J13"/>
  <sheetViews>
    <sheetView zoomScale="115" zoomScaleNormal="115" workbookViewId="0">
      <selection activeCell="A11" sqref="A11"/>
    </sheetView>
  </sheetViews>
  <sheetFormatPr defaultRowHeight="14.4" x14ac:dyDescent="0.3"/>
  <cols>
    <col min="1" max="1" width="17.5546875" bestFit="1" customWidth="1"/>
    <col min="2" max="2" width="18.5546875" bestFit="1" customWidth="1"/>
    <col min="3" max="3" width="36.33203125" customWidth="1"/>
    <col min="4" max="4" width="24.44140625" bestFit="1" customWidth="1"/>
    <col min="5" max="5" width="23.44140625" bestFit="1" customWidth="1"/>
    <col min="6" max="18" width="16" customWidth="1"/>
  </cols>
  <sheetData>
    <row r="1" spans="1:10" x14ac:dyDescent="0.3">
      <c r="A1" s="8" t="s">
        <v>0</v>
      </c>
      <c r="B1" s="9"/>
      <c r="C1" s="10"/>
      <c r="D1" s="2"/>
      <c r="E1" s="2"/>
      <c r="F1" s="2"/>
      <c r="G1" s="2"/>
      <c r="H1" s="2"/>
      <c r="I1" s="2"/>
      <c r="J1" s="2"/>
    </row>
    <row r="2" spans="1:10" x14ac:dyDescent="0.3">
      <c r="A2" s="11" t="s">
        <v>1</v>
      </c>
      <c r="B2" s="7" t="s">
        <v>123</v>
      </c>
      <c r="C2" s="12"/>
      <c r="D2" s="2"/>
      <c r="E2" s="2"/>
      <c r="F2" s="2"/>
      <c r="G2" s="2"/>
      <c r="H2" s="2"/>
      <c r="I2" s="2"/>
      <c r="J2" s="2"/>
    </row>
    <row r="3" spans="1:10" x14ac:dyDescent="0.3">
      <c r="A3" s="11" t="s">
        <v>2</v>
      </c>
      <c r="B3" s="7" t="s">
        <v>124</v>
      </c>
      <c r="C3" s="12"/>
      <c r="D3" s="2"/>
      <c r="E3" s="2"/>
      <c r="F3" s="2"/>
      <c r="G3" s="2"/>
      <c r="H3" s="2"/>
      <c r="I3" s="2"/>
      <c r="J3" s="2"/>
    </row>
    <row r="4" spans="1:10" x14ac:dyDescent="0.3">
      <c r="A4" s="11" t="s">
        <v>3</v>
      </c>
      <c r="B4" s="190">
        <v>648405501</v>
      </c>
      <c r="C4" s="12"/>
      <c r="D4" s="2"/>
      <c r="E4" s="2"/>
      <c r="F4" s="2"/>
      <c r="G4" s="2"/>
      <c r="H4" s="2"/>
      <c r="I4" s="2"/>
      <c r="J4" s="2"/>
    </row>
    <row r="5" spans="1:10" x14ac:dyDescent="0.3">
      <c r="A5" s="11" t="s">
        <v>4</v>
      </c>
      <c r="B5" s="7" t="s">
        <v>140</v>
      </c>
      <c r="C5" s="12"/>
      <c r="D5" s="2"/>
      <c r="E5" s="2"/>
      <c r="F5" s="2"/>
      <c r="G5" s="2"/>
      <c r="H5" s="2"/>
      <c r="I5" s="2"/>
      <c r="J5" s="2"/>
    </row>
    <row r="6" spans="1:10" x14ac:dyDescent="0.3">
      <c r="A6" s="13"/>
      <c r="B6" s="36" t="s">
        <v>5</v>
      </c>
      <c r="C6" s="37" t="s">
        <v>6</v>
      </c>
      <c r="D6" s="2"/>
      <c r="E6" s="2"/>
      <c r="F6" s="2"/>
      <c r="G6" s="2"/>
      <c r="H6" s="2"/>
      <c r="I6" s="2"/>
      <c r="J6" s="2"/>
    </row>
    <row r="7" spans="1:10" x14ac:dyDescent="0.3">
      <c r="A7" s="13" t="s">
        <v>7</v>
      </c>
      <c r="B7" s="38">
        <v>46023</v>
      </c>
      <c r="C7" s="39">
        <v>46388</v>
      </c>
      <c r="D7" s="2"/>
      <c r="E7" s="2"/>
      <c r="F7" s="2"/>
      <c r="G7" s="2"/>
      <c r="H7" s="2"/>
      <c r="I7" s="2"/>
      <c r="J7" s="2"/>
    </row>
    <row r="9" spans="1:10" x14ac:dyDescent="0.3">
      <c r="A9" s="186" t="s">
        <v>132</v>
      </c>
      <c r="B9" t="s">
        <v>8</v>
      </c>
      <c r="C9" s="192" t="s">
        <v>9</v>
      </c>
    </row>
    <row r="10" spans="1:10" x14ac:dyDescent="0.3">
      <c r="A10" s="187" t="s">
        <v>40</v>
      </c>
      <c r="B10" s="40">
        <v>186647000</v>
      </c>
      <c r="C10" s="40">
        <v>86512.750970000008</v>
      </c>
    </row>
    <row r="11" spans="1:10" x14ac:dyDescent="0.3">
      <c r="A11" s="187" t="s">
        <v>97</v>
      </c>
      <c r="B11" s="40">
        <v>39849000</v>
      </c>
      <c r="C11" s="40">
        <v>18470.409990000004</v>
      </c>
    </row>
    <row r="12" spans="1:10" x14ac:dyDescent="0.3">
      <c r="A12" s="187" t="s">
        <v>108</v>
      </c>
      <c r="B12" s="40">
        <v>8000000</v>
      </c>
      <c r="C12" s="40">
        <v>3708.0800000000004</v>
      </c>
    </row>
    <row r="13" spans="1:10" x14ac:dyDescent="0.3">
      <c r="A13" s="187" t="s">
        <v>59</v>
      </c>
      <c r="B13" s="40">
        <v>234496000</v>
      </c>
      <c r="C13" s="40">
        <v>108691.24096000001</v>
      </c>
    </row>
  </sheetData>
  <sheetProtection pivotTables="0"/>
  <pageMargins left="0.70866141732283472" right="0.70866141732283472" top="0.74803149606299213" bottom="0.74803149606299213" header="0.31496062992125984" footer="0.31496062992125984"/>
  <pageSetup paperSize="9" orientation="landscape" r:id="rId2"/>
  <headerFooter>
    <oddFooter>&amp;L&amp;F
Uniek nr e-ABS XXXXXXXXXXXXXXXXXXX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EB097-44BC-46C9-9D12-97A11A00B2C3}">
  <sheetPr codeName="Sheet2"/>
  <dimension ref="A1:U31"/>
  <sheetViews>
    <sheetView showGridLines="0" topLeftCell="C1" zoomScaleNormal="100" workbookViewId="0">
      <selection activeCell="J38" sqref="J38"/>
    </sheetView>
  </sheetViews>
  <sheetFormatPr defaultColWidth="16" defaultRowHeight="12.6" x14ac:dyDescent="0.3"/>
  <cols>
    <col min="1" max="1" width="13.33203125" style="17" hidden="1" customWidth="1"/>
    <col min="2" max="2" width="12.5546875" style="17" hidden="1" customWidth="1"/>
    <col min="3" max="3" width="7" style="22" bestFit="1" customWidth="1"/>
    <col min="4" max="4" width="23.44140625" style="22" bestFit="1" customWidth="1"/>
    <col min="5" max="5" width="14.33203125" style="22" hidden="1" customWidth="1"/>
    <col min="6" max="6" width="14.88671875" style="22" hidden="1" customWidth="1"/>
    <col min="7" max="7" width="26.6640625" style="22" hidden="1" customWidth="1"/>
    <col min="8" max="8" width="12.33203125" style="22" hidden="1" customWidth="1"/>
    <col min="9" max="9" width="12.5546875" style="22" bestFit="1" customWidth="1"/>
    <col min="10" max="10" width="17.33203125" style="17" customWidth="1"/>
    <col min="11" max="11" width="9.33203125" style="17" bestFit="1" customWidth="1"/>
    <col min="12" max="12" width="14.5546875" style="17" bestFit="1" customWidth="1"/>
    <col min="13" max="13" width="9" style="17" bestFit="1" customWidth="1"/>
    <col min="14" max="14" width="13.5546875" style="17" hidden="1" customWidth="1"/>
    <col min="15" max="15" width="18.44140625" style="17" hidden="1" customWidth="1"/>
    <col min="16" max="16" width="16" style="17" hidden="1" customWidth="1"/>
    <col min="17" max="17" width="18.44140625" style="17" bestFit="1" customWidth="1"/>
    <col min="18" max="18" width="12" style="17" bestFit="1" customWidth="1"/>
    <col min="19" max="19" width="18.44140625" style="17" hidden="1" customWidth="1"/>
    <col min="20" max="20" width="30" style="17" hidden="1" customWidth="1"/>
    <col min="21" max="21" width="12.44140625" style="23" hidden="1" customWidth="1"/>
    <col min="22" max="16384" width="16" style="17"/>
  </cols>
  <sheetData>
    <row r="1" spans="1:21" s="16" customFormat="1" ht="15.75" customHeight="1" x14ac:dyDescent="0.3">
      <c r="A1" s="26"/>
      <c r="B1" s="27"/>
      <c r="C1" s="27"/>
      <c r="D1" s="27" t="s">
        <v>10</v>
      </c>
      <c r="E1" s="27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9"/>
      <c r="S1" s="82" t="s">
        <v>11</v>
      </c>
      <c r="T1" s="30" t="s">
        <v>12</v>
      </c>
      <c r="U1" s="79"/>
    </row>
    <row r="2" spans="1:21" s="16" customFormat="1" ht="16.2" x14ac:dyDescent="0.3">
      <c r="A2" s="24"/>
      <c r="B2" s="25"/>
      <c r="C2" s="14"/>
      <c r="D2" s="25" t="s">
        <v>1</v>
      </c>
      <c r="E2" s="14"/>
      <c r="F2" s="14"/>
      <c r="G2" s="14"/>
      <c r="H2" s="14"/>
      <c r="I2" s="14"/>
      <c r="J2" s="14" t="str">
        <f>Overzicht!B2</f>
        <v>B0100135903</v>
      </c>
      <c r="K2" s="14"/>
      <c r="L2" s="14"/>
      <c r="M2" s="14"/>
      <c r="N2" s="14"/>
      <c r="O2" s="14"/>
      <c r="P2" s="14"/>
      <c r="Q2" s="14"/>
      <c r="R2" s="15"/>
      <c r="S2" s="83"/>
      <c r="T2" s="42" t="s">
        <v>139</v>
      </c>
      <c r="U2" s="80"/>
    </row>
    <row r="3" spans="1:21" s="16" customFormat="1" ht="16.2" x14ac:dyDescent="0.3">
      <c r="A3" s="24"/>
      <c r="B3" s="25"/>
      <c r="C3" s="14"/>
      <c r="D3" s="25" t="s">
        <v>2</v>
      </c>
      <c r="E3" s="14"/>
      <c r="F3" s="14"/>
      <c r="G3" s="14"/>
      <c r="H3" s="14"/>
      <c r="I3" s="14"/>
      <c r="J3" s="14" t="str">
        <f>Overzicht!B3</f>
        <v>Regionaal Opleidingen Centrum Nijmegen en Omstreken</v>
      </c>
      <c r="K3" s="14"/>
      <c r="L3" s="14"/>
      <c r="M3" s="14"/>
      <c r="N3" s="14"/>
      <c r="O3" s="14"/>
      <c r="P3" s="14"/>
      <c r="Q3" s="14"/>
      <c r="R3" s="15"/>
      <c r="S3" s="83"/>
      <c r="T3" s="81"/>
      <c r="U3" s="80"/>
    </row>
    <row r="4" spans="1:21" s="16" customFormat="1" ht="16.8" thickBot="1" x14ac:dyDescent="0.35">
      <c r="A4" s="24"/>
      <c r="B4" s="25"/>
      <c r="C4" s="14"/>
      <c r="D4" s="25" t="s">
        <v>3</v>
      </c>
      <c r="E4" s="159"/>
      <c r="F4" s="14"/>
      <c r="G4" s="14"/>
      <c r="H4" s="14"/>
      <c r="I4" s="14"/>
      <c r="J4" s="191">
        <f>Overzicht!B4</f>
        <v>648405501</v>
      </c>
      <c r="K4" s="14"/>
      <c r="L4" s="14"/>
      <c r="M4" s="14"/>
      <c r="N4" s="14"/>
      <c r="O4" s="14"/>
      <c r="P4" s="14"/>
      <c r="Q4" s="14"/>
      <c r="R4" s="15"/>
      <c r="S4" s="83"/>
      <c r="T4" s="81"/>
      <c r="U4" s="80"/>
    </row>
    <row r="5" spans="1:21" s="18" customFormat="1" x14ac:dyDescent="0.3">
      <c r="A5" s="142" t="s">
        <v>13</v>
      </c>
      <c r="B5" s="170" t="s">
        <v>14</v>
      </c>
      <c r="C5" s="173" t="s">
        <v>15</v>
      </c>
      <c r="D5" s="116" t="s">
        <v>16</v>
      </c>
      <c r="E5" s="116" t="s">
        <v>17</v>
      </c>
      <c r="F5" s="143" t="s">
        <v>18</v>
      </c>
      <c r="G5" s="143" t="s">
        <v>19</v>
      </c>
      <c r="H5" s="143" t="s">
        <v>20</v>
      </c>
      <c r="I5" s="143" t="s">
        <v>21</v>
      </c>
      <c r="J5" s="143" t="s">
        <v>22</v>
      </c>
      <c r="K5" s="116" t="s">
        <v>23</v>
      </c>
      <c r="L5" s="116" t="s">
        <v>24</v>
      </c>
      <c r="M5" s="174" t="s">
        <v>25</v>
      </c>
      <c r="N5" s="144" t="s">
        <v>26</v>
      </c>
      <c r="O5" s="145" t="s">
        <v>27</v>
      </c>
      <c r="P5" s="164" t="s">
        <v>128</v>
      </c>
      <c r="Q5" s="146" t="s">
        <v>8</v>
      </c>
      <c r="R5" s="145" t="s">
        <v>28</v>
      </c>
      <c r="S5" s="147" t="s">
        <v>8</v>
      </c>
      <c r="T5" s="147" t="s">
        <v>29</v>
      </c>
      <c r="U5" s="148" t="s">
        <v>30</v>
      </c>
    </row>
    <row r="6" spans="1:21" s="18" customFormat="1" x14ac:dyDescent="0.3">
      <c r="A6" s="41"/>
      <c r="B6" s="171"/>
      <c r="C6" s="175"/>
      <c r="D6" s="19"/>
      <c r="E6" s="19"/>
      <c r="F6" s="20"/>
      <c r="G6" s="20"/>
      <c r="H6" s="20"/>
      <c r="I6" s="20" t="s">
        <v>36</v>
      </c>
      <c r="J6" s="20"/>
      <c r="K6" s="19"/>
      <c r="L6" s="19"/>
      <c r="M6" s="176"/>
      <c r="N6" s="117"/>
      <c r="O6" s="118"/>
      <c r="P6" s="165"/>
      <c r="Q6" s="119"/>
      <c r="R6" s="118"/>
      <c r="S6" s="31" t="s">
        <v>37</v>
      </c>
      <c r="T6" s="31"/>
      <c r="U6" s="21"/>
    </row>
    <row r="7" spans="1:21" s="18" customFormat="1" x14ac:dyDescent="0.3">
      <c r="A7" s="41"/>
      <c r="B7" s="171"/>
      <c r="C7" s="175"/>
      <c r="D7" s="19"/>
      <c r="E7" s="19"/>
      <c r="F7" s="20"/>
      <c r="G7" s="20"/>
      <c r="H7" s="20"/>
      <c r="I7" s="20"/>
      <c r="J7" s="20"/>
      <c r="K7" s="19"/>
      <c r="L7" s="19"/>
      <c r="M7" s="176"/>
      <c r="N7" s="117"/>
      <c r="O7" s="118"/>
      <c r="P7" s="165"/>
      <c r="Q7" s="119"/>
      <c r="R7" s="118"/>
      <c r="S7" s="31"/>
      <c r="T7" s="31"/>
      <c r="U7" s="21"/>
    </row>
    <row r="8" spans="1:21" ht="13.2" thickBot="1" x14ac:dyDescent="0.35">
      <c r="A8" s="91"/>
      <c r="B8" s="172"/>
      <c r="C8" s="177"/>
      <c r="D8" s="178"/>
      <c r="E8" s="178"/>
      <c r="F8" s="179"/>
      <c r="G8" s="179"/>
      <c r="H8" s="179"/>
      <c r="I8" s="179"/>
      <c r="J8" s="179"/>
      <c r="K8" s="178"/>
      <c r="L8" s="178"/>
      <c r="M8" s="180"/>
      <c r="N8" s="120"/>
      <c r="O8" s="121"/>
      <c r="P8" s="166"/>
      <c r="Q8" s="122"/>
      <c r="R8" s="121"/>
      <c r="S8" s="92"/>
      <c r="T8" s="92"/>
      <c r="U8" s="93"/>
    </row>
    <row r="9" spans="1:21" ht="13.5" customHeight="1" x14ac:dyDescent="0.3">
      <c r="A9" s="149" t="s">
        <v>13</v>
      </c>
      <c r="B9" s="94" t="s">
        <v>14</v>
      </c>
      <c r="C9" s="95" t="s">
        <v>15</v>
      </c>
      <c r="D9" s="95" t="s">
        <v>16</v>
      </c>
      <c r="E9" s="95" t="s">
        <v>17</v>
      </c>
      <c r="F9" s="96" t="s">
        <v>18</v>
      </c>
      <c r="G9" s="96" t="s">
        <v>19</v>
      </c>
      <c r="H9" s="96" t="s">
        <v>20</v>
      </c>
      <c r="I9" s="96" t="s">
        <v>38</v>
      </c>
      <c r="J9" s="96" t="s">
        <v>22</v>
      </c>
      <c r="K9" s="95" t="s">
        <v>23</v>
      </c>
      <c r="L9" s="95" t="s">
        <v>24</v>
      </c>
      <c r="M9" s="18" t="s">
        <v>25</v>
      </c>
      <c r="N9" s="97" t="s">
        <v>26</v>
      </c>
      <c r="O9" s="98" t="s">
        <v>27</v>
      </c>
      <c r="P9" s="18" t="s">
        <v>128</v>
      </c>
      <c r="Q9" s="99" t="s">
        <v>39</v>
      </c>
      <c r="R9" s="98" t="s">
        <v>28</v>
      </c>
      <c r="S9" s="100" t="s">
        <v>11</v>
      </c>
      <c r="T9" s="101" t="s">
        <v>29</v>
      </c>
      <c r="U9" s="98" t="s">
        <v>30</v>
      </c>
    </row>
    <row r="10" spans="1:21" ht="13.5" customHeight="1" x14ac:dyDescent="0.3">
      <c r="A10" s="160"/>
      <c r="B10" s="123">
        <v>0</v>
      </c>
      <c r="C10" s="124">
        <v>1</v>
      </c>
      <c r="D10" s="123" t="s">
        <v>40</v>
      </c>
      <c r="E10" s="161"/>
      <c r="F10" s="161"/>
      <c r="G10" s="125"/>
      <c r="H10" s="125" t="s">
        <v>41</v>
      </c>
      <c r="I10" s="125" t="s">
        <v>94</v>
      </c>
      <c r="J10" s="125" t="s">
        <v>114</v>
      </c>
      <c r="K10" s="123" t="s">
        <v>129</v>
      </c>
      <c r="L10" s="123" t="s">
        <v>112</v>
      </c>
      <c r="M10" s="123" t="s">
        <v>127</v>
      </c>
      <c r="N10" s="126">
        <v>0</v>
      </c>
      <c r="O10" s="127">
        <f>IF(N10=0,Q10,(Q10+N10)/2)</f>
        <v>8347000</v>
      </c>
      <c r="P10" s="127">
        <f>Table3[[#This Row],[Verzekerde Waarde]]-Table3[[#This Row],[Mutaties]]</f>
        <v>0</v>
      </c>
      <c r="Q10" s="127">
        <f t="shared" ref="Q10:Q16" si="0">IF(R10=U10,S10,ROUNDUP(S10/U10*R10,-3))</f>
        <v>8347000</v>
      </c>
      <c r="R10" s="123">
        <v>138.1</v>
      </c>
      <c r="S10" s="127">
        <f>T10+SUMIF(Table4[Subnummer],Table3[[#This Row],[Sub]],Table4[Som mutaties])</f>
        <v>8347000</v>
      </c>
      <c r="T10" s="188">
        <v>8347000</v>
      </c>
      <c r="U10" s="123">
        <v>138.1</v>
      </c>
    </row>
    <row r="11" spans="1:21" ht="13.5" customHeight="1" x14ac:dyDescent="0.3">
      <c r="A11" s="160"/>
      <c r="B11" s="123">
        <v>0</v>
      </c>
      <c r="C11" s="124">
        <v>2</v>
      </c>
      <c r="D11" s="123" t="s">
        <v>97</v>
      </c>
      <c r="E11" s="123"/>
      <c r="F11" s="125"/>
      <c r="G11" s="125"/>
      <c r="H11" s="125" t="s">
        <v>41</v>
      </c>
      <c r="I11" s="125" t="s">
        <v>94</v>
      </c>
      <c r="J11" s="125"/>
      <c r="K11" s="123"/>
      <c r="L11" s="123" t="s">
        <v>112</v>
      </c>
      <c r="M11" s="123" t="s">
        <v>127</v>
      </c>
      <c r="N11" s="126">
        <v>0</v>
      </c>
      <c r="O11" s="127">
        <f t="shared" ref="O11" si="1">IF(N11=0,Q11,(Q11+N11)/2)</f>
        <v>2950000</v>
      </c>
      <c r="P11" s="127">
        <f>Table3[[#This Row],[Verzekerde Waarde]]-Table3[[#This Row],[Mutaties]]</f>
        <v>0</v>
      </c>
      <c r="Q11" s="127">
        <f t="shared" ref="Q11" si="2">IF(R11=U11,S11,ROUNDUP(S11/U11*R11,-3))</f>
        <v>2950000</v>
      </c>
      <c r="R11" s="189">
        <v>133.4</v>
      </c>
      <c r="S11" s="127">
        <f>T11+SUMIF(Table4[Subnummer],Table3[[#This Row],[Sub]],Table4[Som mutaties])</f>
        <v>2950000</v>
      </c>
      <c r="T11" s="188">
        <v>2950000</v>
      </c>
      <c r="U11" s="189">
        <v>133.4</v>
      </c>
    </row>
    <row r="12" spans="1:21" ht="13.5" customHeight="1" x14ac:dyDescent="0.3">
      <c r="A12" s="160"/>
      <c r="B12" s="123">
        <v>0</v>
      </c>
      <c r="C12" s="124">
        <v>3</v>
      </c>
      <c r="D12" s="123" t="s">
        <v>40</v>
      </c>
      <c r="E12" s="123"/>
      <c r="F12" s="125"/>
      <c r="G12" s="125"/>
      <c r="H12" s="125" t="s">
        <v>41</v>
      </c>
      <c r="I12" s="125" t="s">
        <v>94</v>
      </c>
      <c r="J12" s="125" t="s">
        <v>115</v>
      </c>
      <c r="K12" s="123"/>
      <c r="L12" s="123" t="s">
        <v>113</v>
      </c>
      <c r="M12" s="123" t="s">
        <v>127</v>
      </c>
      <c r="N12" s="126">
        <v>0</v>
      </c>
      <c r="O12" s="127">
        <f t="shared" ref="O12" si="3">IF(N12=0,Q12,(Q12+N12)/2)</f>
        <v>95223000</v>
      </c>
      <c r="P12" s="127">
        <f>Table3[[#This Row],[Verzekerde Waarde]]-Table3[[#This Row],[Mutaties]]</f>
        <v>0</v>
      </c>
      <c r="Q12" s="127">
        <f t="shared" ref="Q12" si="4">IF(R12=U12,S12,ROUNDUP(S12/U12*R12,-3))</f>
        <v>95223000</v>
      </c>
      <c r="R12" s="189">
        <v>138.1</v>
      </c>
      <c r="S12" s="127">
        <f>T12+SUMIF(Table4[Subnummer],Table3[[#This Row],[Sub]],Table4[Som mutaties])</f>
        <v>95223000</v>
      </c>
      <c r="T12" s="188">
        <v>95223000</v>
      </c>
      <c r="U12" s="189">
        <v>138.1</v>
      </c>
    </row>
    <row r="13" spans="1:21" ht="13.5" customHeight="1" x14ac:dyDescent="0.3">
      <c r="A13" s="160"/>
      <c r="B13" s="123">
        <v>0</v>
      </c>
      <c r="C13" s="124">
        <v>4</v>
      </c>
      <c r="D13" s="123" t="s">
        <v>97</v>
      </c>
      <c r="E13" s="123"/>
      <c r="F13" s="125"/>
      <c r="G13" s="125"/>
      <c r="H13" s="125" t="s">
        <v>41</v>
      </c>
      <c r="I13" s="125" t="s">
        <v>94</v>
      </c>
      <c r="J13" s="125"/>
      <c r="K13" s="123"/>
      <c r="L13" s="123" t="s">
        <v>113</v>
      </c>
      <c r="M13" s="123" t="s">
        <v>127</v>
      </c>
      <c r="N13" s="126">
        <v>0</v>
      </c>
      <c r="O13" s="127">
        <f t="shared" ref="O13:O16" si="5">IF(N13=0,Q13,(Q13+N13)/2)</f>
        <v>16675000</v>
      </c>
      <c r="P13" s="127">
        <f>Table3[[#This Row],[Verzekerde Waarde]]-Table3[[#This Row],[Mutaties]]</f>
        <v>0</v>
      </c>
      <c r="Q13" s="127">
        <f t="shared" si="0"/>
        <v>16675000</v>
      </c>
      <c r="R13" s="189">
        <v>133.4</v>
      </c>
      <c r="S13" s="127">
        <f>T13+SUMIF(Table4[Subnummer],Table3[[#This Row],[Sub]],Table4[Som mutaties])</f>
        <v>16675000</v>
      </c>
      <c r="T13" s="188">
        <v>16675000</v>
      </c>
      <c r="U13" s="189">
        <v>133.4</v>
      </c>
    </row>
    <row r="14" spans="1:21" ht="13.5" customHeight="1" x14ac:dyDescent="0.3">
      <c r="A14" s="160"/>
      <c r="B14" s="123">
        <v>0</v>
      </c>
      <c r="C14" s="124">
        <v>5</v>
      </c>
      <c r="D14" s="123" t="s">
        <v>40</v>
      </c>
      <c r="E14" s="123"/>
      <c r="F14" s="125"/>
      <c r="G14" s="125"/>
      <c r="H14" s="125" t="s">
        <v>41</v>
      </c>
      <c r="I14" s="125" t="s">
        <v>94</v>
      </c>
      <c r="J14" s="125" t="s">
        <v>116</v>
      </c>
      <c r="K14" s="123" t="s">
        <v>130</v>
      </c>
      <c r="L14" s="123" t="s">
        <v>113</v>
      </c>
      <c r="M14" s="123" t="s">
        <v>127</v>
      </c>
      <c r="N14" s="126">
        <v>0</v>
      </c>
      <c r="O14" s="127">
        <f t="shared" si="5"/>
        <v>6468000</v>
      </c>
      <c r="P14" s="127">
        <f>Table3[[#This Row],[Verzekerde Waarde]]-Table3[[#This Row],[Mutaties]]</f>
        <v>0</v>
      </c>
      <c r="Q14" s="127">
        <f t="shared" si="0"/>
        <v>6468000</v>
      </c>
      <c r="R14" s="189">
        <v>138.1</v>
      </c>
      <c r="S14" s="127">
        <f>T14+SUMIF(Table4[Subnummer],Table3[[#This Row],[Sub]],Table4[Som mutaties])</f>
        <v>6468000</v>
      </c>
      <c r="T14" s="188">
        <v>6468000</v>
      </c>
      <c r="U14" s="189">
        <v>138.1</v>
      </c>
    </row>
    <row r="15" spans="1:21" ht="13.5" customHeight="1" x14ac:dyDescent="0.3">
      <c r="A15" s="160"/>
      <c r="B15" s="123">
        <v>0</v>
      </c>
      <c r="C15" s="124">
        <v>6</v>
      </c>
      <c r="D15" s="123" t="s">
        <v>97</v>
      </c>
      <c r="E15" s="123"/>
      <c r="F15" s="125"/>
      <c r="G15" s="125"/>
      <c r="H15" s="125" t="s">
        <v>41</v>
      </c>
      <c r="I15" s="125" t="s">
        <v>94</v>
      </c>
      <c r="J15" s="125"/>
      <c r="K15" s="123"/>
      <c r="L15" s="123" t="s">
        <v>113</v>
      </c>
      <c r="M15" s="123" t="s">
        <v>127</v>
      </c>
      <c r="N15" s="126">
        <v>0</v>
      </c>
      <c r="O15" s="127">
        <f t="shared" si="5"/>
        <v>3808000</v>
      </c>
      <c r="P15" s="127">
        <f>Table3[[#This Row],[Verzekerde Waarde]]-Table3[[#This Row],[Mutaties]]</f>
        <v>0</v>
      </c>
      <c r="Q15" s="127">
        <f t="shared" si="0"/>
        <v>3808000</v>
      </c>
      <c r="R15" s="189">
        <v>133.4</v>
      </c>
      <c r="S15" s="127">
        <f>T15+SUMIF(Table4[Subnummer],Table3[[#This Row],[Sub]],Table4[Som mutaties])</f>
        <v>3808000</v>
      </c>
      <c r="T15" s="188">
        <v>3808000</v>
      </c>
      <c r="U15" s="189">
        <v>133.4</v>
      </c>
    </row>
    <row r="16" spans="1:21" ht="13.5" customHeight="1" x14ac:dyDescent="0.3">
      <c r="A16" s="160"/>
      <c r="B16" s="123">
        <v>0</v>
      </c>
      <c r="C16" s="124">
        <v>7</v>
      </c>
      <c r="D16" s="123" t="s">
        <v>40</v>
      </c>
      <c r="E16" s="123"/>
      <c r="F16" s="125"/>
      <c r="G16" s="125"/>
      <c r="H16" s="125" t="s">
        <v>41</v>
      </c>
      <c r="I16" s="125" t="s">
        <v>94</v>
      </c>
      <c r="J16" s="125" t="s">
        <v>117</v>
      </c>
      <c r="K16" s="123" t="s">
        <v>131</v>
      </c>
      <c r="L16" s="123" t="s">
        <v>113</v>
      </c>
      <c r="M16" s="123" t="s">
        <v>127</v>
      </c>
      <c r="N16" s="126">
        <v>0</v>
      </c>
      <c r="O16" s="127">
        <f t="shared" si="5"/>
        <v>12012000</v>
      </c>
      <c r="P16" s="127">
        <f>Table3[[#This Row],[Verzekerde Waarde]]-Table3[[#This Row],[Mutaties]]</f>
        <v>0</v>
      </c>
      <c r="Q16" s="127">
        <f t="shared" si="0"/>
        <v>12012000</v>
      </c>
      <c r="R16" s="189">
        <v>138.1</v>
      </c>
      <c r="S16" s="127">
        <f>T16+SUMIF(Table4[Subnummer],Table3[[#This Row],[Sub]],Table4[Som mutaties])</f>
        <v>12012000</v>
      </c>
      <c r="T16" s="188">
        <v>12012000</v>
      </c>
      <c r="U16" s="189">
        <v>138.1</v>
      </c>
    </row>
    <row r="17" spans="1:21" ht="13.5" customHeight="1" x14ac:dyDescent="0.3">
      <c r="A17" s="160"/>
      <c r="B17" s="123">
        <v>0</v>
      </c>
      <c r="C17" s="124">
        <v>8</v>
      </c>
      <c r="D17" s="123" t="s">
        <v>97</v>
      </c>
      <c r="E17" s="123"/>
      <c r="F17" s="125"/>
      <c r="G17" s="125"/>
      <c r="H17" s="125" t="s">
        <v>41</v>
      </c>
      <c r="I17" s="125" t="s">
        <v>94</v>
      </c>
      <c r="J17" s="125"/>
      <c r="K17" s="123"/>
      <c r="L17" s="123" t="s">
        <v>113</v>
      </c>
      <c r="M17" s="123" t="s">
        <v>127</v>
      </c>
      <c r="N17" s="126">
        <v>0</v>
      </c>
      <c r="O17" s="127">
        <f t="shared" ref="O17:O18" si="6">IF(N17=0,Q17,(Q17+N17)/2)</f>
        <v>3106000</v>
      </c>
      <c r="P17" s="127">
        <f>Table3[[#This Row],[Verzekerde Waarde]]-Table3[[#This Row],[Mutaties]]</f>
        <v>0</v>
      </c>
      <c r="Q17" s="127">
        <f t="shared" ref="Q17:Q18" si="7">IF(R17=U17,S17,ROUNDUP(S17/U17*R17,-3))</f>
        <v>3106000</v>
      </c>
      <c r="R17" s="189">
        <v>133.4</v>
      </c>
      <c r="S17" s="127">
        <f>T17+SUMIF(Table4[Subnummer],Table3[[#This Row],[Sub]],Table4[Som mutaties])</f>
        <v>3106000</v>
      </c>
      <c r="T17" s="188">
        <v>3106000</v>
      </c>
      <c r="U17" s="189">
        <v>133.4</v>
      </c>
    </row>
    <row r="18" spans="1:21" ht="13.5" customHeight="1" x14ac:dyDescent="0.3">
      <c r="A18" s="160"/>
      <c r="B18" s="123">
        <v>0</v>
      </c>
      <c r="C18" s="124">
        <v>9</v>
      </c>
      <c r="D18" s="123" t="s">
        <v>40</v>
      </c>
      <c r="E18" s="123"/>
      <c r="F18" s="125"/>
      <c r="G18" s="125"/>
      <c r="H18" s="125" t="s">
        <v>41</v>
      </c>
      <c r="I18" s="125" t="s">
        <v>94</v>
      </c>
      <c r="J18" s="125" t="s">
        <v>118</v>
      </c>
      <c r="K18" s="123"/>
      <c r="L18" s="123" t="s">
        <v>113</v>
      </c>
      <c r="M18" s="123" t="s">
        <v>127</v>
      </c>
      <c r="N18" s="126">
        <v>0</v>
      </c>
      <c r="O18" s="127">
        <f t="shared" si="6"/>
        <v>64597000</v>
      </c>
      <c r="P18" s="127">
        <f>Table3[[#This Row],[Verzekerde Waarde]]-Table3[[#This Row],[Mutaties]]</f>
        <v>0</v>
      </c>
      <c r="Q18" s="127">
        <f t="shared" si="7"/>
        <v>64597000</v>
      </c>
      <c r="R18" s="189">
        <v>138.1</v>
      </c>
      <c r="S18" s="127">
        <f>T18+SUMIF(Table4[Subnummer],Table3[[#This Row],[Sub]],Table4[Som mutaties])</f>
        <v>64597000</v>
      </c>
      <c r="T18" s="188">
        <v>64597000</v>
      </c>
      <c r="U18" s="189">
        <v>138.1</v>
      </c>
    </row>
    <row r="19" spans="1:21" ht="13.5" customHeight="1" x14ac:dyDescent="0.3">
      <c r="A19" s="160"/>
      <c r="B19" s="123">
        <v>0</v>
      </c>
      <c r="C19" s="124">
        <v>10</v>
      </c>
      <c r="D19" s="123" t="s">
        <v>97</v>
      </c>
      <c r="E19" s="123"/>
      <c r="F19" s="125"/>
      <c r="G19" s="125"/>
      <c r="H19" s="125" t="s">
        <v>41</v>
      </c>
      <c r="I19" s="125" t="s">
        <v>94</v>
      </c>
      <c r="J19" s="125"/>
      <c r="K19" s="123"/>
      <c r="L19" s="123" t="s">
        <v>113</v>
      </c>
      <c r="M19" s="123" t="s">
        <v>127</v>
      </c>
      <c r="N19" s="126">
        <v>0</v>
      </c>
      <c r="O19" s="127">
        <f t="shared" ref="O19:O20" si="8">IF(N19=0,Q19,(Q19+N19)/2)</f>
        <v>12869000</v>
      </c>
      <c r="P19" s="127">
        <f>Table3[[#This Row],[Verzekerde Waarde]]-Table3[[#This Row],[Mutaties]]</f>
        <v>0</v>
      </c>
      <c r="Q19" s="127">
        <f t="shared" ref="Q19:Q20" si="9">IF(R19=U19,S19,ROUNDUP(S19/U19*R19,-3))</f>
        <v>12869000</v>
      </c>
      <c r="R19" s="189">
        <v>133.4</v>
      </c>
      <c r="S19" s="127">
        <f>T19+SUMIF(Table4[Subnummer],Table3[[#This Row],[Sub]],Table4[Som mutaties])</f>
        <v>12869000</v>
      </c>
      <c r="T19" s="188">
        <v>12869000</v>
      </c>
      <c r="U19" s="189">
        <v>133.4</v>
      </c>
    </row>
    <row r="20" spans="1:21" ht="13.5" customHeight="1" x14ac:dyDescent="0.3">
      <c r="A20" s="160"/>
      <c r="B20" s="123">
        <v>0</v>
      </c>
      <c r="C20" s="124">
        <v>11</v>
      </c>
      <c r="D20" s="123" t="s">
        <v>97</v>
      </c>
      <c r="E20" s="123"/>
      <c r="F20" s="125"/>
      <c r="G20" s="125"/>
      <c r="H20" s="125" t="s">
        <v>41</v>
      </c>
      <c r="I20" s="125" t="s">
        <v>94</v>
      </c>
      <c r="J20" s="125" t="s">
        <v>133</v>
      </c>
      <c r="K20" s="123"/>
      <c r="L20" s="123" t="s">
        <v>113</v>
      </c>
      <c r="M20" s="123" t="s">
        <v>127</v>
      </c>
      <c r="N20" s="126">
        <v>0</v>
      </c>
      <c r="O20" s="127">
        <f t="shared" si="8"/>
        <v>441000</v>
      </c>
      <c r="P20" s="127">
        <f>Table3[[#This Row],[Verzekerde Waarde]]-Table3[[#This Row],[Mutaties]]</f>
        <v>0</v>
      </c>
      <c r="Q20" s="127">
        <f t="shared" si="9"/>
        <v>441000</v>
      </c>
      <c r="R20" s="189">
        <v>133.4</v>
      </c>
      <c r="S20" s="127">
        <f>T20+SUMIF(Table4[Subnummer],Table3[[#This Row],[Sub]],Table4[Som mutaties])</f>
        <v>441000</v>
      </c>
      <c r="T20" s="188">
        <v>441000</v>
      </c>
      <c r="U20" s="189">
        <v>133.4</v>
      </c>
    </row>
    <row r="21" spans="1:21" ht="13.5" customHeight="1" thickBot="1" x14ac:dyDescent="0.35">
      <c r="A21" s="150" t="s">
        <v>42</v>
      </c>
      <c r="B21" s="151"/>
      <c r="C21" s="152"/>
      <c r="D21" s="153"/>
      <c r="E21" s="153"/>
      <c r="F21" s="154"/>
      <c r="G21" s="154"/>
      <c r="H21" s="154"/>
      <c r="I21" s="154"/>
      <c r="J21" s="154"/>
      <c r="K21" s="153"/>
      <c r="L21" s="153"/>
      <c r="M21" s="155"/>
      <c r="N21" s="156">
        <f>SUBTOTAL(109,Table3[Vorkbedrag])</f>
        <v>0</v>
      </c>
      <c r="O21" s="156">
        <f>SUBTOTAL(109,Table3[Premiegrondslag])</f>
        <v>226496000</v>
      </c>
      <c r="P21" s="156">
        <f>SUBTOTAL(109,Table3[Indexverschil])</f>
        <v>0</v>
      </c>
      <c r="Q21" s="156">
        <f>SUBTOTAL(109,Table3[Verzekerde Waarde])</f>
        <v>226496000</v>
      </c>
      <c r="R21" s="157"/>
      <c r="S21" s="158">
        <f>SUBTOTAL(109,Table3[Mutaties])</f>
        <v>226496000</v>
      </c>
      <c r="T21" s="156">
        <f>SUBTOTAL(109,Table3[Verz. Waarde Oud:])</f>
        <v>226496000</v>
      </c>
      <c r="U21" s="157"/>
    </row>
    <row r="25" spans="1:21" x14ac:dyDescent="0.3">
      <c r="Q25" s="163"/>
      <c r="S25" s="163"/>
    </row>
    <row r="26" spans="1:21" x14ac:dyDescent="0.3">
      <c r="S26" s="163"/>
    </row>
    <row r="27" spans="1:21" x14ac:dyDescent="0.3">
      <c r="P27" s="163"/>
      <c r="Q27" s="163"/>
      <c r="R27" s="163"/>
    </row>
    <row r="28" spans="1:21" x14ac:dyDescent="0.3">
      <c r="Q28" s="163"/>
    </row>
    <row r="31" spans="1:21" hidden="1" x14ac:dyDescent="0.3">
      <c r="Q31" s="163">
        <f>SUM(Table3[[#Totals],[Verzekerde Waarde]]-Table3[[#Totals],[Mutaties]])</f>
        <v>0</v>
      </c>
    </row>
  </sheetData>
  <sheetProtection formatCells="0" formatRows="0" insertRows="0" deleteRows="0"/>
  <phoneticPr fontId="5" type="noConversion"/>
  <dataValidations count="3">
    <dataValidation type="list" allowBlank="1" showInputMessage="1" showErrorMessage="1" sqref="D10:D20" xr:uid="{01120292-CFD5-4024-9285-AB3464112197}">
      <formula1>Interest</formula1>
    </dataValidation>
    <dataValidation type="list" allowBlank="1" showInputMessage="1" showErrorMessage="1" sqref="H10:H20" xr:uid="{A46D4949-E34B-4AC6-B17A-C4158B4C1F1F}">
      <formula1>Bouwaard</formula1>
    </dataValidation>
    <dataValidation type="list" allowBlank="1" showInputMessage="1" showErrorMessage="1" sqref="I10:I20" xr:uid="{A2AA30C1-EDD4-4BB8-9B89-7DAD80FA1F1F}">
      <formula1>Taxatie</formula1>
    </dataValidation>
  </dataValidations>
  <pageMargins left="0.23622047244094491" right="0.23622047244094491" top="0.74803149606299213" bottom="0.74803149606299213" header="0.31496062992125984" footer="0.31496062992125984"/>
  <pageSetup paperSize="9" scale="90" orientation="landscape" r:id="rId1"/>
  <headerFooter>
    <oddFooter>&amp;L&amp;F
Uniek nr e-ABS XXXXXXXXXXXXXXXXXXX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A77B-CA43-41E5-8C27-BBC72617EFE7}">
  <sheetPr codeName="Sheet3"/>
  <dimension ref="A1:F13"/>
  <sheetViews>
    <sheetView tabSelected="1" workbookViewId="0">
      <selection activeCell="E10" sqref="E10"/>
    </sheetView>
  </sheetViews>
  <sheetFormatPr defaultRowHeight="14.4" x14ac:dyDescent="0.3"/>
  <cols>
    <col min="1" max="1" width="20" bestFit="1" customWidth="1"/>
    <col min="2" max="2" width="16.5546875" bestFit="1" customWidth="1"/>
    <col min="3" max="3" width="8.6640625" bestFit="1" customWidth="1"/>
    <col min="4" max="4" width="13.33203125" bestFit="1" customWidth="1"/>
    <col min="5" max="5" width="15.6640625" bestFit="1" customWidth="1"/>
    <col min="6" max="6" width="10.44140625" bestFit="1" customWidth="1"/>
  </cols>
  <sheetData>
    <row r="1" spans="1:6" x14ac:dyDescent="0.3">
      <c r="A1" t="s">
        <v>43</v>
      </c>
    </row>
    <row r="2" spans="1:6" x14ac:dyDescent="0.3">
      <c r="A2" t="s">
        <v>15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x14ac:dyDescent="0.3">
      <c r="A3" s="193">
        <v>1</v>
      </c>
      <c r="B3" t="s">
        <v>40</v>
      </c>
      <c r="C3" t="s">
        <v>119</v>
      </c>
      <c r="D3" s="128">
        <v>44392</v>
      </c>
      <c r="E3" t="s">
        <v>120</v>
      </c>
      <c r="F3" s="128">
        <v>46583</v>
      </c>
    </row>
    <row r="4" spans="1:6" x14ac:dyDescent="0.3">
      <c r="A4" s="193">
        <v>2</v>
      </c>
      <c r="B4" t="s">
        <v>97</v>
      </c>
      <c r="C4" t="s">
        <v>119</v>
      </c>
      <c r="D4" s="128">
        <v>45693</v>
      </c>
      <c r="E4" t="s">
        <v>135</v>
      </c>
      <c r="F4" s="128">
        <v>46788</v>
      </c>
    </row>
    <row r="5" spans="1:6" x14ac:dyDescent="0.3">
      <c r="A5" s="193">
        <v>3</v>
      </c>
      <c r="B5" t="str">
        <f>IFERROR(_xlfn.XLOOKUP(Table8[[#This Row],[Sub]],Table3[Sub],Table3[Verzekerde interest]),"-")</f>
        <v>Gebouwen</v>
      </c>
      <c r="C5" t="s">
        <v>119</v>
      </c>
      <c r="D5" s="128">
        <v>45012</v>
      </c>
      <c r="E5" t="s">
        <v>125</v>
      </c>
      <c r="F5" s="128">
        <v>47204</v>
      </c>
    </row>
    <row r="6" spans="1:6" x14ac:dyDescent="0.3">
      <c r="A6" s="193">
        <v>4</v>
      </c>
      <c r="B6" t="str">
        <f>IFERROR(_xlfn.XLOOKUP(Table8[[#This Row],[Sub]],Table3[Sub],Table3[Verzekerde interest]),"-")</f>
        <v>Bedrijfsuitrusting</v>
      </c>
      <c r="C6" t="s">
        <v>119</v>
      </c>
      <c r="D6" s="128">
        <v>45715</v>
      </c>
      <c r="E6" s="128" t="s">
        <v>134</v>
      </c>
      <c r="F6" s="128">
        <v>46810</v>
      </c>
    </row>
    <row r="7" spans="1:6" x14ac:dyDescent="0.3">
      <c r="A7" s="193">
        <v>5</v>
      </c>
      <c r="B7" t="str">
        <f>IFERROR(_xlfn.XLOOKUP(Table8[[#This Row],[Sub]],Table3[Sub],Table3[Verzekerde interest]),"-")</f>
        <v>Gebouwen</v>
      </c>
      <c r="C7" t="s">
        <v>119</v>
      </c>
      <c r="D7" s="128">
        <v>44392</v>
      </c>
      <c r="E7" t="s">
        <v>121</v>
      </c>
      <c r="F7" s="128">
        <v>46583</v>
      </c>
    </row>
    <row r="8" spans="1:6" x14ac:dyDescent="0.3">
      <c r="A8" s="193">
        <v>6</v>
      </c>
      <c r="B8" t="str">
        <f>IFERROR(_xlfn.XLOOKUP(Table8[[#This Row],[Sub]],Table3[Sub],Table3[Verzekerde interest]),"-")</f>
        <v>Bedrijfsuitrusting</v>
      </c>
      <c r="C8" t="s">
        <v>119</v>
      </c>
      <c r="D8" s="128">
        <v>45702</v>
      </c>
      <c r="E8" s="128" t="s">
        <v>141</v>
      </c>
      <c r="F8" s="128">
        <v>46797</v>
      </c>
    </row>
    <row r="9" spans="1:6" x14ac:dyDescent="0.3">
      <c r="A9" s="193">
        <v>7</v>
      </c>
      <c r="B9" t="str">
        <f>IFERROR(_xlfn.XLOOKUP(Table8[[#This Row],[Sub]],Table3[Sub],Table3[Verzekerde interest]),"-")</f>
        <v>Gebouwen</v>
      </c>
      <c r="C9" t="s">
        <v>119</v>
      </c>
      <c r="D9" s="128">
        <v>44392</v>
      </c>
      <c r="E9" t="s">
        <v>122</v>
      </c>
      <c r="F9" s="128">
        <v>46583</v>
      </c>
    </row>
    <row r="10" spans="1:6" x14ac:dyDescent="0.3">
      <c r="A10" s="193">
        <v>8</v>
      </c>
      <c r="B10" t="str">
        <f>IFERROR(_xlfn.XLOOKUP(Table8[[#This Row],[Sub]],Table3[Sub],Table3[Verzekerde interest]),"-")</f>
        <v>Bedrijfsuitrusting</v>
      </c>
      <c r="C10" t="s">
        <v>119</v>
      </c>
      <c r="D10" s="128">
        <v>45742</v>
      </c>
      <c r="E10" t="s">
        <v>142</v>
      </c>
      <c r="F10" s="128">
        <v>46838</v>
      </c>
    </row>
    <row r="11" spans="1:6" x14ac:dyDescent="0.3">
      <c r="A11" s="193">
        <v>9</v>
      </c>
      <c r="B11" t="str">
        <f>IFERROR(_xlfn.XLOOKUP(Table8[[#This Row],[Sub]],Table3[Sub],Table3[Verzekerde interest]),"-")</f>
        <v>Gebouwen</v>
      </c>
      <c r="C11" t="s">
        <v>119</v>
      </c>
      <c r="D11" s="128">
        <v>45012</v>
      </c>
      <c r="E11" t="s">
        <v>126</v>
      </c>
      <c r="F11" s="128">
        <v>47204</v>
      </c>
    </row>
    <row r="12" spans="1:6" x14ac:dyDescent="0.3">
      <c r="A12" s="193">
        <v>10</v>
      </c>
      <c r="B12" t="str">
        <f>IFERROR(_xlfn.XLOOKUP(Table8[[#This Row],[Sub]],Table3[Sub],Table3[Verzekerde interest]),"-")</f>
        <v>Bedrijfsuitrusting</v>
      </c>
      <c r="C12" t="s">
        <v>119</v>
      </c>
      <c r="D12" s="128">
        <v>45702</v>
      </c>
      <c r="E12" s="128" t="s">
        <v>137</v>
      </c>
      <c r="F12" s="128">
        <v>46797</v>
      </c>
    </row>
    <row r="13" spans="1:6" x14ac:dyDescent="0.3">
      <c r="A13" s="193">
        <v>11</v>
      </c>
      <c r="B13" t="str">
        <f>IFERROR(_xlfn.XLOOKUP(Table8[[#This Row],[Sub]],Table3[Sub],Table3[Verzekerde interest]),"-")</f>
        <v>Bedrijfsuitrusting</v>
      </c>
      <c r="C13" t="s">
        <v>119</v>
      </c>
      <c r="D13" s="128">
        <v>45702</v>
      </c>
      <c r="E13" s="128" t="s">
        <v>136</v>
      </c>
      <c r="F13" s="128">
        <v>46797</v>
      </c>
    </row>
  </sheetData>
  <phoneticPr fontId="5" type="noConversion"/>
  <dataValidations count="1">
    <dataValidation type="list" allowBlank="1" showInputMessage="1" showErrorMessage="1" sqref="B3:B13" xr:uid="{35E0CAF5-70B5-4885-AD2B-3E90160A17FD}">
      <formula1>Interest</formula1>
    </dataValidation>
  </dataValidations>
  <pageMargins left="0.70866141732283472" right="0.70866141732283472" top="0.74803149606299213" bottom="0.74803149606299213" header="0.31496062992125984" footer="0.31496062992125984"/>
  <pageSetup orientation="landscape" r:id="rId1"/>
  <ignoredErrors>
    <ignoredError sqref="B3:B4" calculatedColumn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2096-F122-4979-B8DD-F18F20F45C12}">
  <sheetPr codeName="Sheet5"/>
  <dimension ref="A1:I18"/>
  <sheetViews>
    <sheetView showGridLines="0" zoomScaleNormal="100" workbookViewId="0">
      <selection activeCell="C12" sqref="C12"/>
    </sheetView>
  </sheetViews>
  <sheetFormatPr defaultColWidth="23.109375" defaultRowHeight="13.8" x14ac:dyDescent="0.3"/>
  <cols>
    <col min="1" max="1" width="28" style="4" bestFit="1" customWidth="1"/>
    <col min="2" max="2" width="18.44140625" style="4" customWidth="1"/>
    <col min="3" max="4" width="17.33203125" style="4" bestFit="1" customWidth="1"/>
    <col min="5" max="5" width="27.109375" style="4" hidden="1" customWidth="1"/>
    <col min="6" max="6" width="18" style="4" customWidth="1"/>
    <col min="7" max="8" width="17.33203125" style="4" bestFit="1" customWidth="1"/>
    <col min="9" max="12" width="23.109375" style="4" customWidth="1"/>
    <col min="13" max="16384" width="23.109375" style="4"/>
  </cols>
  <sheetData>
    <row r="1" spans="1:9" s="3" customFormat="1" x14ac:dyDescent="0.3">
      <c r="A1" s="3" t="s">
        <v>81</v>
      </c>
    </row>
    <row r="2" spans="1:9" s="3" customFormat="1" x14ac:dyDescent="0.3">
      <c r="A2" s="3" t="str">
        <f>Overzicht!B2</f>
        <v>B0100135903</v>
      </c>
    </row>
    <row r="3" spans="1:9" s="3" customFormat="1" x14ac:dyDescent="0.3">
      <c r="A3" s="3" t="str">
        <f>Overzicht!B3</f>
        <v>Regionaal Opleidingen Centrum Nijmegen en Omstreken</v>
      </c>
    </row>
    <row r="4" spans="1:9" x14ac:dyDescent="0.3">
      <c r="A4" s="3">
        <f>Overzicht!B4</f>
        <v>648405501</v>
      </c>
      <c r="B4" s="3"/>
    </row>
    <row r="5" spans="1:9" x14ac:dyDescent="0.3">
      <c r="A5" s="3"/>
      <c r="B5" s="3"/>
    </row>
    <row r="7" spans="1:9" x14ac:dyDescent="0.3">
      <c r="A7" s="5" t="s">
        <v>82</v>
      </c>
      <c r="B7" s="5" t="s">
        <v>83</v>
      </c>
      <c r="C7" s="33"/>
      <c r="D7" s="33"/>
    </row>
    <row r="8" spans="1:9" x14ac:dyDescent="0.3">
      <c r="A8" s="34" t="s">
        <v>84</v>
      </c>
      <c r="B8" s="35">
        <f>Overzicht!B7</f>
        <v>46023</v>
      </c>
    </row>
    <row r="9" spans="1:9" x14ac:dyDescent="0.3">
      <c r="A9" s="34" t="s">
        <v>6</v>
      </c>
      <c r="B9" s="35">
        <f>Overzicht!C7</f>
        <v>46388</v>
      </c>
    </row>
    <row r="11" spans="1:9" hidden="1" x14ac:dyDescent="0.3">
      <c r="A11" s="4" t="s">
        <v>14</v>
      </c>
      <c r="B11" s="4">
        <v>0</v>
      </c>
      <c r="I11" s="6"/>
    </row>
    <row r="12" spans="1:9" ht="27.6" x14ac:dyDescent="0.3">
      <c r="A12" s="88" t="s">
        <v>85</v>
      </c>
      <c r="B12" s="89" t="s">
        <v>86</v>
      </c>
      <c r="C12" s="89" t="s">
        <v>87</v>
      </c>
      <c r="D12" s="89" t="s">
        <v>9</v>
      </c>
      <c r="E12" s="169" t="s">
        <v>138</v>
      </c>
      <c r="F12" s="90" t="s">
        <v>88</v>
      </c>
    </row>
    <row r="13" spans="1:9" x14ac:dyDescent="0.3">
      <c r="A13" s="86" t="e">
        <f>Specificatie!#REF!</f>
        <v>#REF!</v>
      </c>
      <c r="B13" s="84" t="e">
        <f>Specificatie!#REF!</f>
        <v>#REF!</v>
      </c>
      <c r="C13" s="110" t="e">
        <f>Specificatie!#REF!</f>
        <v>#REF!</v>
      </c>
      <c r="D13" s="85" t="e">
        <f>SUMIF(Table3[Certificaat],$B11,#REF!)</f>
        <v>#REF!</v>
      </c>
      <c r="E13" s="85"/>
      <c r="F13" s="87" t="e">
        <f>D13-E13</f>
        <v>#REF!</v>
      </c>
    </row>
    <row r="14" spans="1:9" x14ac:dyDescent="0.3">
      <c r="A14" s="86" t="e">
        <f>Specificatie!#REF!</f>
        <v>#REF!</v>
      </c>
      <c r="B14" s="84" t="e">
        <f>Specificatie!#REF!</f>
        <v>#REF!</v>
      </c>
      <c r="C14" s="110" t="e">
        <f>Specificatie!#REF!</f>
        <v>#REF!</v>
      </c>
      <c r="D14" s="85" t="e">
        <f>SUMIF(Table3[Certificaat],$B11,#REF!)</f>
        <v>#REF!</v>
      </c>
      <c r="E14" s="85"/>
      <c r="F14" s="87" t="e">
        <f t="shared" ref="F14:F17" si="0">D14-E14</f>
        <v>#REF!</v>
      </c>
    </row>
    <row r="15" spans="1:9" x14ac:dyDescent="0.3">
      <c r="A15" s="86" t="e">
        <f>Specificatie!#REF!</f>
        <v>#REF!</v>
      </c>
      <c r="B15" s="84" t="e">
        <f>Specificatie!#REF!</f>
        <v>#REF!</v>
      </c>
      <c r="C15" s="110" t="e">
        <f>Specificatie!#REF!</f>
        <v>#REF!</v>
      </c>
      <c r="D15" s="85" t="e">
        <f>SUMIF(Table3[Certificaat],$B11,#REF!)</f>
        <v>#REF!</v>
      </c>
      <c r="E15" s="85"/>
      <c r="F15" s="87" t="e">
        <f t="shared" si="0"/>
        <v>#REF!</v>
      </c>
    </row>
    <row r="16" spans="1:9" x14ac:dyDescent="0.3">
      <c r="A16" s="86" t="e">
        <f>Specificatie!#REF!</f>
        <v>#REF!</v>
      </c>
      <c r="B16" s="84" t="e">
        <f>Specificatie!#REF!</f>
        <v>#REF!</v>
      </c>
      <c r="C16" s="110" t="e">
        <f>Specificatie!#REF!</f>
        <v>#REF!</v>
      </c>
      <c r="D16" s="85" t="e">
        <f>SUMIF(Table3[Certificaat],$B11,#REF!)</f>
        <v>#REF!</v>
      </c>
      <c r="E16" s="85"/>
      <c r="F16" s="87" t="e">
        <f t="shared" si="0"/>
        <v>#REF!</v>
      </c>
    </row>
    <row r="17" spans="1:6" x14ac:dyDescent="0.3">
      <c r="A17" s="86" t="e">
        <f>Specificatie!#REF!</f>
        <v>#REF!</v>
      </c>
      <c r="B17" s="84" t="e">
        <f>Specificatie!#REF!</f>
        <v>#REF!</v>
      </c>
      <c r="C17" s="110" t="e">
        <f>Specificatie!#REF!</f>
        <v>#REF!</v>
      </c>
      <c r="D17" s="85" t="e">
        <f>SUMIF(Table3[Certificaat],$B11,#REF!)</f>
        <v>#REF!</v>
      </c>
      <c r="E17" s="85"/>
      <c r="F17" s="87" t="e">
        <f t="shared" si="0"/>
        <v>#REF!</v>
      </c>
    </row>
    <row r="18" spans="1:6" x14ac:dyDescent="0.3">
      <c r="A18" s="111" t="s">
        <v>42</v>
      </c>
      <c r="B18" s="112"/>
      <c r="C18" s="114" t="e">
        <f>SUBTOTAL(109,Table1[Aandeel])</f>
        <v>#REF!</v>
      </c>
      <c r="D18" s="115" t="e">
        <f>SUBTOTAL(109,Table1[Jaarpremie])</f>
        <v>#REF!</v>
      </c>
      <c r="E18" s="115">
        <f>SUBTOTAL(109,Table1[Al geboekt met nota
])</f>
        <v>0</v>
      </c>
      <c r="F18" s="115" t="e">
        <f>SUBTOTAL(109,Table1[Nog te boeken])</f>
        <v>#REF!</v>
      </c>
    </row>
  </sheetData>
  <printOptions horizontalCentered="1"/>
  <pageMargins left="0" right="0.11811023622047245" top="0.74803149606299213" bottom="0.74803149606299213" header="0.31496062992125984" footer="0.31496062992125984"/>
  <pageSetup orientation="landscape" r:id="rId1"/>
  <headerFooter>
    <oddFooter>&amp;L&amp;F
Uniek nr e-ABS XXXXXXXXXXXXXXXXXXX</oddFooter>
  </headerFooter>
  <ignoredErrors>
    <ignoredError sqref="D17 D14:D16" calculatedColumn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9570-CFC6-457E-96CC-23459DF77E6F}">
  <sheetPr codeName="Sheet4"/>
  <dimension ref="A1:AH18"/>
  <sheetViews>
    <sheetView zoomScale="85" zoomScaleNormal="85" workbookViewId="0">
      <selection activeCell="H20" sqref="H20"/>
    </sheetView>
  </sheetViews>
  <sheetFormatPr defaultColWidth="9.109375" defaultRowHeight="14.4" x14ac:dyDescent="0.3"/>
  <cols>
    <col min="1" max="1" width="18.88671875" style="48" bestFit="1" customWidth="1"/>
    <col min="2" max="2" width="36.44140625" style="48" customWidth="1"/>
    <col min="3" max="3" width="13.33203125" style="48" bestFit="1" customWidth="1"/>
    <col min="4" max="4" width="17.33203125" style="48" customWidth="1"/>
    <col min="5" max="5" width="17.33203125" style="48" hidden="1" customWidth="1"/>
    <col min="6" max="6" width="16.44140625" style="48" bestFit="1" customWidth="1"/>
    <col min="7" max="7" width="14.88671875" style="48" hidden="1" customWidth="1"/>
    <col min="8" max="8" width="15.44140625" style="48" bestFit="1" customWidth="1"/>
    <col min="9" max="9" width="14.6640625" style="48" bestFit="1" customWidth="1"/>
    <col min="10" max="10" width="12.6640625" style="48" hidden="1" customWidth="1"/>
    <col min="11" max="11" width="15.6640625" style="48" bestFit="1" customWidth="1"/>
    <col min="12" max="12" width="15.88671875" style="48" customWidth="1"/>
    <col min="13" max="13" width="14" style="48" bestFit="1" customWidth="1"/>
    <col min="14" max="14" width="12.44140625" style="48" bestFit="1" customWidth="1"/>
    <col min="15" max="15" width="12" style="48" customWidth="1"/>
    <col min="16" max="16" width="13.88671875" style="48" bestFit="1" customWidth="1"/>
    <col min="17" max="17" width="15.88671875" style="48" bestFit="1" customWidth="1"/>
    <col min="18" max="18" width="20.109375" style="48" hidden="1" customWidth="1"/>
    <col min="19" max="20" width="20.109375" style="48" customWidth="1"/>
    <col min="21" max="21" width="20.109375" style="48" hidden="1" customWidth="1"/>
    <col min="22" max="22" width="20.109375" customWidth="1"/>
    <col min="23" max="32" width="13.33203125" style="48" customWidth="1"/>
    <col min="33" max="34" width="12" style="48" customWidth="1"/>
    <col min="35" max="16384" width="9.109375" style="48"/>
  </cols>
  <sheetData>
    <row r="1" spans="1:34" x14ac:dyDescent="0.3">
      <c r="A1" s="43" t="s">
        <v>49</v>
      </c>
      <c r="B1" s="44"/>
      <c r="C1" s="44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4"/>
      <c r="W1" s="44"/>
      <c r="X1" s="44"/>
      <c r="Y1" s="44"/>
      <c r="Z1" s="44"/>
      <c r="AA1" s="45"/>
      <c r="AB1" s="45"/>
      <c r="AC1" s="45"/>
      <c r="AD1" s="45"/>
      <c r="AE1" s="45"/>
      <c r="AF1" s="45"/>
      <c r="AG1" s="46"/>
      <c r="AH1" s="47"/>
    </row>
    <row r="2" spans="1:34" x14ac:dyDescent="0.3">
      <c r="A2" s="13" t="str">
        <f>Overzicht!A2</f>
        <v>Polisnummer</v>
      </c>
      <c r="B2" s="46" t="str">
        <f>Overzicht!B2</f>
        <v>B0100135903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7"/>
    </row>
    <row r="3" spans="1:34" x14ac:dyDescent="0.3">
      <c r="A3" s="13" t="str">
        <f>Overzicht!A3</f>
        <v>Verzekeringsnemer</v>
      </c>
      <c r="B3" s="46" t="str">
        <f>Overzicht!B3</f>
        <v>Regionaal Opleidingen Centrum Nijmegen en Omstreken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7"/>
    </row>
    <row r="4" spans="1:34" ht="15" thickBot="1" x14ac:dyDescent="0.35">
      <c r="A4" s="13" t="str">
        <f>Overzicht!A4</f>
        <v>VNAB-nummer</v>
      </c>
      <c r="B4" s="46">
        <f>Overzicht!B4</f>
        <v>648405501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7"/>
    </row>
    <row r="5" spans="1:34" ht="15" thickBot="1" x14ac:dyDescent="0.35">
      <c r="A5" s="49" t="s">
        <v>50</v>
      </c>
      <c r="B5" s="50" t="s">
        <v>51</v>
      </c>
      <c r="C5" s="50" t="s">
        <v>14</v>
      </c>
      <c r="D5" s="50" t="s">
        <v>15</v>
      </c>
      <c r="E5" s="50"/>
      <c r="F5" s="194" t="s">
        <v>52</v>
      </c>
      <c r="G5" s="194"/>
      <c r="H5" s="194"/>
      <c r="I5" s="194"/>
      <c r="J5" s="194"/>
      <c r="K5" s="194"/>
      <c r="L5" s="194"/>
      <c r="M5" s="106" t="s">
        <v>53</v>
      </c>
      <c r="N5" s="51" t="s">
        <v>54</v>
      </c>
      <c r="O5" s="51" t="s">
        <v>55</v>
      </c>
      <c r="P5" s="51" t="s">
        <v>56</v>
      </c>
      <c r="Q5" s="107" t="s">
        <v>57</v>
      </c>
      <c r="R5" s="195" t="s">
        <v>58</v>
      </c>
      <c r="S5" s="196"/>
      <c r="T5" s="196"/>
      <c r="U5" s="196"/>
      <c r="V5" s="197"/>
      <c r="W5" s="198"/>
      <c r="X5" s="198"/>
      <c r="Y5" s="198"/>
      <c r="Z5" s="198"/>
      <c r="AA5" s="199"/>
      <c r="AB5" s="200"/>
      <c r="AC5" s="200"/>
      <c r="AD5" s="200"/>
      <c r="AE5" s="200"/>
      <c r="AF5" s="200"/>
      <c r="AG5" s="200"/>
      <c r="AH5" s="201"/>
    </row>
    <row r="6" spans="1:34" x14ac:dyDescent="0.3">
      <c r="A6" s="52"/>
      <c r="B6" s="53"/>
      <c r="C6" s="53"/>
      <c r="D6" s="53"/>
      <c r="E6" s="53"/>
      <c r="F6" s="54"/>
      <c r="G6" s="54"/>
      <c r="H6" s="54"/>
      <c r="I6" s="54"/>
      <c r="J6" s="54"/>
      <c r="K6" s="54"/>
      <c r="L6" s="102"/>
      <c r="M6" s="108"/>
      <c r="N6" s="55"/>
      <c r="O6" s="55"/>
      <c r="P6" s="55"/>
      <c r="Q6" s="109"/>
      <c r="R6" s="59"/>
      <c r="S6" s="56"/>
      <c r="T6" s="56"/>
      <c r="U6" s="56"/>
      <c r="V6" s="57"/>
      <c r="W6" s="56" t="e">
        <f>Specificatie!#REF!</f>
        <v>#REF!</v>
      </c>
      <c r="X6" s="56" t="e">
        <f>Specificatie!#REF!</f>
        <v>#REF!</v>
      </c>
      <c r="Y6" s="56" t="e">
        <f>Specificatie!#REF!</f>
        <v>#REF!</v>
      </c>
      <c r="Z6" s="56" t="e">
        <f>Specificatie!#REF!</f>
        <v>#REF!</v>
      </c>
      <c r="AA6" s="56" t="e">
        <f>Specificatie!#REF!</f>
        <v>#REF!</v>
      </c>
      <c r="AB6" s="59" t="e">
        <f>Specificatie!#REF!</f>
        <v>#REF!</v>
      </c>
      <c r="AC6" s="59" t="e">
        <f>Specificatie!#REF!</f>
        <v>#REF!</v>
      </c>
      <c r="AD6" s="59" t="e">
        <f>Specificatie!#REF!</f>
        <v>#REF!</v>
      </c>
      <c r="AE6" s="59" t="e">
        <f>Specificatie!#REF!</f>
        <v>#REF!</v>
      </c>
      <c r="AF6" s="59" t="e">
        <f>Specificatie!#REF!</f>
        <v>#REF!</v>
      </c>
      <c r="AG6" s="56"/>
      <c r="AH6" s="58"/>
    </row>
    <row r="7" spans="1:34" x14ac:dyDescent="0.3">
      <c r="A7" s="60"/>
      <c r="B7" s="61"/>
      <c r="C7" s="61"/>
      <c r="D7" s="62"/>
      <c r="E7" s="62"/>
      <c r="F7" s="61"/>
      <c r="G7" s="62"/>
      <c r="H7" s="62"/>
      <c r="I7" s="62"/>
      <c r="J7" s="62"/>
      <c r="K7" s="61"/>
      <c r="L7" s="103"/>
      <c r="M7" s="60"/>
      <c r="N7" s="63"/>
      <c r="O7" s="63"/>
      <c r="P7" s="63"/>
      <c r="Q7" s="66"/>
      <c r="R7" s="104"/>
      <c r="S7" s="62"/>
      <c r="T7" s="62"/>
      <c r="U7" s="62"/>
      <c r="V7" s="64"/>
      <c r="W7" s="65" t="e">
        <f>Specificatie!#REF!</f>
        <v>#REF!</v>
      </c>
      <c r="X7" s="65" t="e">
        <f>Specificatie!#REF!</f>
        <v>#REF!</v>
      </c>
      <c r="Y7" s="65" t="e">
        <f>Specificatie!#REF!</f>
        <v>#REF!</v>
      </c>
      <c r="Z7" s="65" t="e">
        <f>Specificatie!#REF!</f>
        <v>#REF!</v>
      </c>
      <c r="AA7" s="65" t="e">
        <f>Specificatie!#REF!</f>
        <v>#REF!</v>
      </c>
      <c r="AB7" s="162" t="e">
        <f>Specificatie!#REF!</f>
        <v>#REF!</v>
      </c>
      <c r="AC7" s="162" t="e">
        <f>Specificatie!#REF!</f>
        <v>#REF!</v>
      </c>
      <c r="AD7" s="162" t="e">
        <f>Specificatie!#REF!</f>
        <v>#REF!</v>
      </c>
      <c r="AE7" s="162" t="e">
        <f>Specificatie!#REF!</f>
        <v>#REF!</v>
      </c>
      <c r="AF7" s="162" t="e">
        <f>Specificatie!#REF!</f>
        <v>#REF!</v>
      </c>
      <c r="AG7" s="63" t="s">
        <v>59</v>
      </c>
      <c r="AH7" s="66"/>
    </row>
    <row r="8" spans="1:34" ht="27.6" x14ac:dyDescent="0.3">
      <c r="A8" s="67" t="s">
        <v>50</v>
      </c>
      <c r="B8" s="129" t="s">
        <v>60</v>
      </c>
      <c r="C8" s="129" t="s">
        <v>14</v>
      </c>
      <c r="D8" s="68" t="s">
        <v>61</v>
      </c>
      <c r="E8" s="105" t="s">
        <v>22</v>
      </c>
      <c r="F8" s="69" t="s">
        <v>62</v>
      </c>
      <c r="G8" s="68" t="s">
        <v>63</v>
      </c>
      <c r="H8" s="68" t="s">
        <v>64</v>
      </c>
      <c r="I8" s="68" t="s">
        <v>65</v>
      </c>
      <c r="J8" s="68" t="s">
        <v>66</v>
      </c>
      <c r="K8" s="68" t="s">
        <v>67</v>
      </c>
      <c r="L8" s="70" t="s">
        <v>68</v>
      </c>
      <c r="M8" s="67" t="s">
        <v>53</v>
      </c>
      <c r="N8" s="71" t="s">
        <v>54</v>
      </c>
      <c r="O8" s="71" t="s">
        <v>55</v>
      </c>
      <c r="P8" s="71" t="s">
        <v>56</v>
      </c>
      <c r="Q8" s="75" t="s">
        <v>57</v>
      </c>
      <c r="R8" s="105" t="s">
        <v>69</v>
      </c>
      <c r="S8" s="68" t="s">
        <v>70</v>
      </c>
      <c r="T8" s="68" t="s">
        <v>71</v>
      </c>
      <c r="U8" s="68" t="s">
        <v>72</v>
      </c>
      <c r="V8" s="72" t="s">
        <v>59</v>
      </c>
      <c r="W8" s="73" t="s">
        <v>31</v>
      </c>
      <c r="X8" s="73" t="s">
        <v>32</v>
      </c>
      <c r="Y8" s="73" t="s">
        <v>33</v>
      </c>
      <c r="Z8" s="73" t="s">
        <v>34</v>
      </c>
      <c r="AA8" s="73" t="s">
        <v>35</v>
      </c>
      <c r="AB8" s="74" t="s">
        <v>73</v>
      </c>
      <c r="AC8" s="74" t="s">
        <v>74</v>
      </c>
      <c r="AD8" s="74" t="s">
        <v>75</v>
      </c>
      <c r="AE8" s="74" t="s">
        <v>76</v>
      </c>
      <c r="AF8" s="74" t="s">
        <v>77</v>
      </c>
      <c r="AG8" s="71" t="s">
        <v>78</v>
      </c>
      <c r="AH8" s="75" t="s">
        <v>79</v>
      </c>
    </row>
    <row r="9" spans="1:34" x14ac:dyDescent="0.3">
      <c r="A9" s="134" t="str">
        <f>IFERROR(_xlfn.XLOOKUP(D9,Table3[Sub],Table3[Verzekerde]),"-")</f>
        <v>-</v>
      </c>
      <c r="B9" s="130"/>
      <c r="C9" s="130" t="str">
        <f>IFERROR(_xlfn.XLOOKUP(Table4[[#This Row],[Subnummer]],Table3[Sub],Table3[Certificaat]),"-")</f>
        <v>-</v>
      </c>
      <c r="D9" s="136">
        <v>0</v>
      </c>
      <c r="E9" s="167" t="str">
        <f>_xlfn.XLOOKUP(Table4[[#This Row],[Subnummer]],Table3[Sub],Table3[Adres],"Error",0,1)</f>
        <v>Error</v>
      </c>
      <c r="F9" s="137">
        <f>IFERROR(_xlfn.XLOOKUP(Table4[[#This Row],[Subnummer]],Table3[Sub],Table3[Verz. Waarde Oud:]),0)</f>
        <v>0</v>
      </c>
      <c r="G9" s="131">
        <v>0</v>
      </c>
      <c r="H9" s="131">
        <v>0</v>
      </c>
      <c r="I9" s="131">
        <v>0</v>
      </c>
      <c r="J9" s="131">
        <v>0</v>
      </c>
      <c r="K9" s="131">
        <f t="shared" ref="K9:K12" si="0">F9+G9+H9-I9-J9</f>
        <v>0</v>
      </c>
      <c r="L9" s="138">
        <f t="shared" ref="L9:L12" si="1">K9-F9</f>
        <v>0</v>
      </c>
      <c r="M9" s="132">
        <v>45145</v>
      </c>
      <c r="N9" s="132">
        <v>45292</v>
      </c>
      <c r="O9" s="130">
        <f t="shared" ref="O9:O12" si="2">N9-M9</f>
        <v>147</v>
      </c>
      <c r="P9" s="130">
        <v>365</v>
      </c>
      <c r="Q9" s="135" t="s">
        <v>80</v>
      </c>
      <c r="R9" s="139">
        <f t="shared" ref="R9:R12" si="3">G9*O9/P9</f>
        <v>0</v>
      </c>
      <c r="S9" s="131" cm="1">
        <f t="array" ref="S9">_xlfn.IFS($Q9="Nee",H9*$O9/$P9,$Q9="Ja",H9*0.5)</f>
        <v>0</v>
      </c>
      <c r="T9" s="131" cm="1">
        <f t="array" ref="T9">_xlfn.IFS($Q9="Nee",-(I9*$O9/$P9),$Q9="Ja",-(I9*0.5))</f>
        <v>0</v>
      </c>
      <c r="U9" s="131">
        <f t="shared" ref="U9" si="4">-J9*O9/P9</f>
        <v>0</v>
      </c>
      <c r="V9" s="140">
        <f t="shared" ref="V9:V12" si="5">SUM(R9:U9)</f>
        <v>0</v>
      </c>
      <c r="W9" s="133">
        <f>IFERROR(_xlfn.XLOOKUP(Table4[[#This Row],[Subnummer]],Table3[Sub],#REF!),0)</f>
        <v>0</v>
      </c>
      <c r="X9" s="133">
        <f>IFERROR(_xlfn.XLOOKUP(Table4[[#This Row],[Subnummer]],Table3[Sub],#REF!),0)</f>
        <v>0</v>
      </c>
      <c r="Y9" s="133">
        <f>IFERROR(_xlfn.XLOOKUP(Table4[[#This Row],[Subnummer]],Table3[Sub],#REF!),0)</f>
        <v>0</v>
      </c>
      <c r="Z9" s="133">
        <f>IFERROR(_xlfn.XLOOKUP(Table4[[#This Row],[Subnummer]],Table3[Sub],#REF!),0)</f>
        <v>0</v>
      </c>
      <c r="AA9" s="133">
        <f>IFERROR(_xlfn.XLOOKUP(Table4[[#This Row],[Subnummer]],Table3[Sub],#REF!),0)</f>
        <v>0</v>
      </c>
      <c r="AB9" s="141" t="e">
        <f t="shared" ref="AB9:AF12" si="6">$V9*W9/1000*W$7</f>
        <v>#REF!</v>
      </c>
      <c r="AC9" s="141" t="e">
        <f t="shared" si="6"/>
        <v>#REF!</v>
      </c>
      <c r="AD9" s="141" t="e">
        <f t="shared" si="6"/>
        <v>#REF!</v>
      </c>
      <c r="AE9" s="141" t="e">
        <f t="shared" si="6"/>
        <v>#REF!</v>
      </c>
      <c r="AF9" s="141" t="e">
        <f t="shared" si="6"/>
        <v>#REF!</v>
      </c>
      <c r="AG9" s="131" t="e">
        <f t="shared" ref="AG9:AG12" si="7">SUM(AB9:AF9)</f>
        <v>#REF!</v>
      </c>
      <c r="AH9" s="135" t="e" cm="1">
        <f t="array" ref="AH9">_xlfn.IFS(AG9=0,"Nihil",AG9&gt;0,"Suppletie",AG9&lt;0,"Restitutie")</f>
        <v>#REF!</v>
      </c>
    </row>
    <row r="10" spans="1:34" x14ac:dyDescent="0.3">
      <c r="A10" s="134" t="str">
        <f>IFERROR(_xlfn.XLOOKUP(D10,Table3[Sub],Table3[Verzekerde]),"-")</f>
        <v>-</v>
      </c>
      <c r="B10" s="130"/>
      <c r="C10" s="130" t="str">
        <f>IFERROR(_xlfn.XLOOKUP(Table4[[#This Row],[Subnummer]],Table3[Sub],Table3[Certificaat]),"-")</f>
        <v>-</v>
      </c>
      <c r="D10" s="136">
        <v>0</v>
      </c>
      <c r="E10" s="167" t="str">
        <f>_xlfn.XLOOKUP(Table4[[#This Row],[Subnummer]],Table3[Sub],Table3[Adres],"Error",0,1)</f>
        <v>Error</v>
      </c>
      <c r="F10" s="137">
        <f>IFERROR(_xlfn.XLOOKUP(Table4[[#This Row],[Subnummer]],Table3[Sub],Table3[Verz. Waarde Oud:]),0)</f>
        <v>0</v>
      </c>
      <c r="G10" s="131">
        <v>0</v>
      </c>
      <c r="H10" s="131">
        <v>0</v>
      </c>
      <c r="I10" s="131">
        <v>0</v>
      </c>
      <c r="J10" s="131">
        <v>0</v>
      </c>
      <c r="K10" s="131">
        <f t="shared" si="0"/>
        <v>0</v>
      </c>
      <c r="L10" s="138">
        <f t="shared" si="1"/>
        <v>0</v>
      </c>
      <c r="M10" s="132">
        <v>45146</v>
      </c>
      <c r="N10" s="132">
        <v>45292</v>
      </c>
      <c r="O10" s="130">
        <f t="shared" si="2"/>
        <v>146</v>
      </c>
      <c r="P10" s="130">
        <v>365</v>
      </c>
      <c r="Q10" s="135" t="s">
        <v>80</v>
      </c>
      <c r="R10" s="139">
        <f t="shared" si="3"/>
        <v>0</v>
      </c>
      <c r="S10" s="131" cm="1">
        <f t="array" ref="S10">_xlfn.IFS($Q10="Nee",H10*$O10/$P10,$Q10="Ja",H10*0.5)</f>
        <v>0</v>
      </c>
      <c r="T10" s="131" cm="1">
        <f t="array" ref="T10">_xlfn.IFS($Q10="Nee",-(I10*$O10/$P10),$Q10="Ja",-(I10*0.5))</f>
        <v>0</v>
      </c>
      <c r="U10" s="131">
        <f>-J10*O10/P10</f>
        <v>0</v>
      </c>
      <c r="V10" s="140">
        <f t="shared" si="5"/>
        <v>0</v>
      </c>
      <c r="W10" s="133">
        <f>IFERROR(_xlfn.XLOOKUP(Table4[[#This Row],[Subnummer]],Table3[Sub],#REF!),0)</f>
        <v>0</v>
      </c>
      <c r="X10" s="133">
        <f>IFERROR(_xlfn.XLOOKUP(Table4[[#This Row],[Subnummer]],Table3[Sub],#REF!),0)</f>
        <v>0</v>
      </c>
      <c r="Y10" s="133">
        <f>IFERROR(_xlfn.XLOOKUP(Table4[[#This Row],[Subnummer]],Table3[Sub],#REF!),0)</f>
        <v>0</v>
      </c>
      <c r="Z10" s="133">
        <f>IFERROR(_xlfn.XLOOKUP(Table4[[#This Row],[Subnummer]],Table3[Sub],#REF!),0)</f>
        <v>0</v>
      </c>
      <c r="AA10" s="133">
        <f>IFERROR(_xlfn.XLOOKUP(Table4[[#This Row],[Subnummer]],Table3[Sub],#REF!),0)</f>
        <v>0</v>
      </c>
      <c r="AB10" s="141" t="e">
        <f t="shared" si="6"/>
        <v>#REF!</v>
      </c>
      <c r="AC10" s="141" t="e">
        <f t="shared" si="6"/>
        <v>#REF!</v>
      </c>
      <c r="AD10" s="141" t="e">
        <f t="shared" si="6"/>
        <v>#REF!</v>
      </c>
      <c r="AE10" s="141" t="e">
        <f t="shared" si="6"/>
        <v>#REF!</v>
      </c>
      <c r="AF10" s="141" t="e">
        <f t="shared" si="6"/>
        <v>#REF!</v>
      </c>
      <c r="AG10" s="131" t="e">
        <f t="shared" si="7"/>
        <v>#REF!</v>
      </c>
      <c r="AH10" s="135" t="e" cm="1">
        <f t="array" ref="AH10">_xlfn.IFS(AG10=0,"Nihil",AG10&gt;0,"Suppletie",AG10&lt;0,"Restitutie")</f>
        <v>#REF!</v>
      </c>
    </row>
    <row r="11" spans="1:34" x14ac:dyDescent="0.3">
      <c r="A11" s="134" t="str">
        <f>IFERROR(_xlfn.XLOOKUP(D11,Table3[Sub],Table3[Verzekerde]),"-")</f>
        <v>-</v>
      </c>
      <c r="B11" s="130"/>
      <c r="C11" s="130" t="str">
        <f>IFERROR(_xlfn.XLOOKUP(Table4[[#This Row],[Subnummer]],Table3[Sub],Table3[Certificaat]),"-")</f>
        <v>-</v>
      </c>
      <c r="D11" s="136">
        <v>0</v>
      </c>
      <c r="E11" s="167" t="str">
        <f>_xlfn.XLOOKUP(Table4[[#This Row],[Subnummer]],Table3[Sub],Table3[Adres],"Error",0,1)</f>
        <v>Error</v>
      </c>
      <c r="F11" s="137">
        <f>IFERROR(_xlfn.XLOOKUP(Table4[[#This Row],[Subnummer]],Table3[Sub],Table3[Verz. Waarde Oud:]),0)</f>
        <v>0</v>
      </c>
      <c r="G11" s="131">
        <v>0</v>
      </c>
      <c r="H11" s="131">
        <v>0</v>
      </c>
      <c r="I11" s="131">
        <v>0</v>
      </c>
      <c r="J11" s="131">
        <v>0</v>
      </c>
      <c r="K11" s="131">
        <f t="shared" ref="K11" si="8">F11+G11+H11-I11-J11</f>
        <v>0</v>
      </c>
      <c r="L11" s="138">
        <f t="shared" ref="L11" si="9">K11-F11</f>
        <v>0</v>
      </c>
      <c r="M11" s="132">
        <v>45147</v>
      </c>
      <c r="N11" s="132">
        <v>45292</v>
      </c>
      <c r="O11" s="130">
        <f t="shared" ref="O11" si="10">N11-M11</f>
        <v>145</v>
      </c>
      <c r="P11" s="130">
        <v>365</v>
      </c>
      <c r="Q11" s="135" t="s">
        <v>80</v>
      </c>
      <c r="R11" s="139">
        <f t="shared" ref="R11" si="11">G11*O11/P11</f>
        <v>0</v>
      </c>
      <c r="S11" s="131" cm="1">
        <f t="array" ref="S11">_xlfn.IFS($Q11="Nee",H11*$O11/$P11,$Q11="Ja",H11*0.5)</f>
        <v>0</v>
      </c>
      <c r="T11" s="131" cm="1">
        <f t="array" ref="T11">_xlfn.IFS($Q11="Nee",-(I11*$O11/$P11),$Q11="Ja",-(I11*0.5))</f>
        <v>0</v>
      </c>
      <c r="U11" s="131">
        <f>-J11*O11/P11</f>
        <v>0</v>
      </c>
      <c r="V11" s="140">
        <f t="shared" ref="V11" si="12">SUM(R11:U11)</f>
        <v>0</v>
      </c>
      <c r="W11" s="133">
        <f>IFERROR(_xlfn.XLOOKUP(Table4[[#This Row],[Subnummer]],Table3[Sub],#REF!),0)</f>
        <v>0</v>
      </c>
      <c r="X11" s="133">
        <f>IFERROR(_xlfn.XLOOKUP(Table4[[#This Row],[Subnummer]],Table3[Sub],#REF!),0)</f>
        <v>0</v>
      </c>
      <c r="Y11" s="133">
        <f>IFERROR(_xlfn.XLOOKUP(Table4[[#This Row],[Subnummer]],Table3[Sub],#REF!),0)</f>
        <v>0</v>
      </c>
      <c r="Z11" s="133">
        <f>IFERROR(_xlfn.XLOOKUP(Table4[[#This Row],[Subnummer]],Table3[Sub],#REF!),0)</f>
        <v>0</v>
      </c>
      <c r="AA11" s="133">
        <f>IFERROR(_xlfn.XLOOKUP(Table4[[#This Row],[Subnummer]],Table3[Sub],#REF!),0)</f>
        <v>0</v>
      </c>
      <c r="AB11" s="141" t="e">
        <f t="shared" ref="AB11" si="13">$V11*W11/1000*W$7</f>
        <v>#REF!</v>
      </c>
      <c r="AC11" s="141" t="e">
        <f t="shared" ref="AC11" si="14">$V11*X11/1000*X$7</f>
        <v>#REF!</v>
      </c>
      <c r="AD11" s="141" t="e">
        <f t="shared" ref="AD11" si="15">$V11*Y11/1000*Y$7</f>
        <v>#REF!</v>
      </c>
      <c r="AE11" s="141" t="e">
        <f t="shared" ref="AE11" si="16">$V11*Z11/1000*Z$7</f>
        <v>#REF!</v>
      </c>
      <c r="AF11" s="141" t="e">
        <f t="shared" ref="AF11" si="17">$V11*AA11/1000*AA$7</f>
        <v>#REF!</v>
      </c>
      <c r="AG11" s="131" t="e">
        <f t="shared" si="7"/>
        <v>#REF!</v>
      </c>
      <c r="AH11" s="135" t="e" cm="1">
        <f t="array" ref="AH11">_xlfn.IFS(AG11=0,"Nihil",AG11&gt;0,"Suppletie",AG11&lt;0,"Restitutie")</f>
        <v>#REF!</v>
      </c>
    </row>
    <row r="12" spans="1:34" x14ac:dyDescent="0.3">
      <c r="A12" s="134" t="str">
        <f>IFERROR(_xlfn.XLOOKUP(D12,Table3[Sub],Table3[Verzekerde]),"-")</f>
        <v>-</v>
      </c>
      <c r="B12" s="130"/>
      <c r="C12" s="130" t="str">
        <f>IFERROR(_xlfn.XLOOKUP(Table4[[#This Row],[Subnummer]],Table3[Sub],Table3[Certificaat]),"-")</f>
        <v>-</v>
      </c>
      <c r="D12" s="136">
        <v>0</v>
      </c>
      <c r="E12" s="167" t="str">
        <f>_xlfn.XLOOKUP(Table4[[#This Row],[Subnummer]],Table3[Sub],Table3[Adres],"Error",0,1)</f>
        <v>Error</v>
      </c>
      <c r="F12" s="137">
        <f>IFERROR(_xlfn.XLOOKUP(Table4[[#This Row],[Subnummer]],Table3[Sub],Table3[Verz. Waarde Oud:]),0)</f>
        <v>0</v>
      </c>
      <c r="G12" s="131">
        <v>0</v>
      </c>
      <c r="H12" s="131">
        <v>0</v>
      </c>
      <c r="I12" s="131">
        <v>0</v>
      </c>
      <c r="J12" s="131">
        <v>0</v>
      </c>
      <c r="K12" s="131">
        <f t="shared" si="0"/>
        <v>0</v>
      </c>
      <c r="L12" s="138">
        <f t="shared" si="1"/>
        <v>0</v>
      </c>
      <c r="M12" s="132">
        <v>45148</v>
      </c>
      <c r="N12" s="132">
        <v>45292</v>
      </c>
      <c r="O12" s="130">
        <f t="shared" si="2"/>
        <v>144</v>
      </c>
      <c r="P12" s="130">
        <v>365</v>
      </c>
      <c r="Q12" s="135" t="s">
        <v>80</v>
      </c>
      <c r="R12" s="139">
        <f t="shared" si="3"/>
        <v>0</v>
      </c>
      <c r="S12" s="131" cm="1">
        <f t="array" ref="S12">_xlfn.IFS($Q12="Nee",H12*$O12/$P12,$Q12="Ja",H12*0.5)</f>
        <v>0</v>
      </c>
      <c r="T12" s="131" cm="1">
        <f t="array" ref="T12">_xlfn.IFS($Q12="Nee",-(I12*$O12/$P12),$Q12="Ja",-(I12*0.5))</f>
        <v>0</v>
      </c>
      <c r="U12" s="131">
        <f>-J12*O12/P12</f>
        <v>0</v>
      </c>
      <c r="V12" s="140">
        <f t="shared" si="5"/>
        <v>0</v>
      </c>
      <c r="W12" s="133">
        <f>IFERROR(_xlfn.XLOOKUP(Table4[[#This Row],[Subnummer]],Table3[Sub],#REF!),0)</f>
        <v>0</v>
      </c>
      <c r="X12" s="133">
        <f>IFERROR(_xlfn.XLOOKUP(Table4[[#This Row],[Subnummer]],Table3[Sub],#REF!),0)</f>
        <v>0</v>
      </c>
      <c r="Y12" s="133">
        <f>IFERROR(_xlfn.XLOOKUP(Table4[[#This Row],[Subnummer]],Table3[Sub],#REF!),0)</f>
        <v>0</v>
      </c>
      <c r="Z12" s="133">
        <f>IFERROR(_xlfn.XLOOKUP(Table4[[#This Row],[Subnummer]],Table3[Sub],#REF!),0)</f>
        <v>0</v>
      </c>
      <c r="AA12" s="133">
        <f>IFERROR(_xlfn.XLOOKUP(Table4[[#This Row],[Subnummer]],Table3[Sub],#REF!),0)</f>
        <v>0</v>
      </c>
      <c r="AB12" s="141" t="e">
        <f t="shared" si="6"/>
        <v>#REF!</v>
      </c>
      <c r="AC12" s="141" t="e">
        <f t="shared" si="6"/>
        <v>#REF!</v>
      </c>
      <c r="AD12" s="141" t="e">
        <f t="shared" si="6"/>
        <v>#REF!</v>
      </c>
      <c r="AE12" s="141" t="e">
        <f t="shared" si="6"/>
        <v>#REF!</v>
      </c>
      <c r="AF12" s="141" t="e">
        <f t="shared" si="6"/>
        <v>#REF!</v>
      </c>
      <c r="AG12" s="131" t="e">
        <f t="shared" si="7"/>
        <v>#REF!</v>
      </c>
      <c r="AH12" s="135" t="e" cm="1">
        <f t="array" ref="AH12">_xlfn.IFS(AG12=0,"Nihil",AG12&gt;0,"Suppletie",AG12&lt;0,"Restitutie")</f>
        <v>#REF!</v>
      </c>
    </row>
    <row r="13" spans="1:34" ht="15" thickBot="1" x14ac:dyDescent="0.35">
      <c r="A13" s="181" t="s">
        <v>59</v>
      </c>
      <c r="B13" s="181"/>
      <c r="C13" s="181"/>
      <c r="D13" s="182"/>
      <c r="E13" s="182"/>
      <c r="F13" s="76">
        <f>SUBTOTAL(109,Table4[Oud])</f>
        <v>0</v>
      </c>
      <c r="G13" s="76">
        <f>SUBTOTAL(109,Table4[Investering Nieuw])</f>
        <v>0</v>
      </c>
      <c r="H13" s="76">
        <f>SUBTOTAL(109,Table4[Investering bestaand])</f>
        <v>0</v>
      </c>
      <c r="I13" s="76">
        <f>SUBTOTAL(109,Table4[Verlaging])</f>
        <v>0</v>
      </c>
      <c r="J13" s="76">
        <f>SUBTOTAL(109,Table4[Afvoer])</f>
        <v>0</v>
      </c>
      <c r="K13" s="76">
        <f>SUBTOTAL(109,Table4[Inclusief mutatie])</f>
        <v>0</v>
      </c>
      <c r="L13" s="76">
        <f>SUBTOTAL(109,Table4[Som mutaties])</f>
        <v>0</v>
      </c>
      <c r="M13" s="181"/>
      <c r="N13" s="182"/>
      <c r="O13" s="182"/>
      <c r="P13" s="182"/>
      <c r="Q13" s="185"/>
      <c r="R13" s="77">
        <f>SUBTOTAL(109,Table4[Investering nieuw2])</f>
        <v>0</v>
      </c>
      <c r="S13" s="76">
        <f>SUBTOTAL(109,Table4[Investering bestaand2])</f>
        <v>0</v>
      </c>
      <c r="T13" s="76">
        <f>SUBTOTAL(109,Table4[Verlaging2])</f>
        <v>0</v>
      </c>
      <c r="U13" s="76">
        <f>SUBTOTAL(109,Table4[Afvoer2])</f>
        <v>0</v>
      </c>
      <c r="V13" s="76">
        <f>SUBTOTAL(109,Table4[Totaal])</f>
        <v>0</v>
      </c>
      <c r="W13" s="183"/>
      <c r="X13" s="183"/>
      <c r="Y13" s="183"/>
      <c r="Z13" s="183"/>
      <c r="AA13" s="184"/>
      <c r="AB13" s="77" t="e">
        <f>SUBTOTAL(109,Table4[Verzekeraar 17])</f>
        <v>#REF!</v>
      </c>
      <c r="AC13" s="77" t="e">
        <f>SUBTOTAL(109,Table4[Verzekeraar 18])</f>
        <v>#REF!</v>
      </c>
      <c r="AD13" s="77" t="e">
        <f>SUBTOTAL(109,Table4[Verzekeraar 19])</f>
        <v>#REF!</v>
      </c>
      <c r="AE13" s="77" t="e">
        <f>SUBTOTAL(109,Table4[Verzekeraar 20])</f>
        <v>#REF!</v>
      </c>
      <c r="AF13" s="77" t="e">
        <f>SUBTOTAL(109,Table4[Verzekeraar 21])</f>
        <v>#REF!</v>
      </c>
      <c r="AG13" s="77" t="e">
        <f>SUBTOTAL(109,Table4[Totaal2])</f>
        <v>#REF!</v>
      </c>
      <c r="AH13" s="185"/>
    </row>
    <row r="15" spans="1:34" x14ac:dyDescent="0.3">
      <c r="I15" s="168"/>
    </row>
    <row r="16" spans="1:34" x14ac:dyDescent="0.3">
      <c r="D16" s="78"/>
      <c r="E16" s="78"/>
    </row>
    <row r="18" spans="11:11" x14ac:dyDescent="0.3">
      <c r="K18" s="163"/>
    </row>
  </sheetData>
  <sheetProtection formatColumns="0" insertRows="0" deleteRows="0"/>
  <mergeCells count="4">
    <mergeCell ref="F5:L5"/>
    <mergeCell ref="R5:V5"/>
    <mergeCell ref="W5:AA5"/>
    <mergeCell ref="AB5:AH5"/>
  </mergeCells>
  <phoneticPr fontId="5" type="noConversion"/>
  <dataValidations count="1">
    <dataValidation type="list" allowBlank="1" showInputMessage="1" showErrorMessage="1" sqref="Q9:Q12" xr:uid="{64D9E925-208A-4155-956D-CBEDFFFC7C3A}">
      <formula1>CAD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&amp;L&amp;F
Uniek nr e-ABS XXXXXXXXXXXXXXXXXXX</oddFooter>
  </headerFooter>
  <colBreaks count="1" manualBreakCount="1">
    <brk id="12" max="1048575" man="1"/>
  </colBreaks>
  <ignoredErrors>
    <ignoredError sqref="A12 A9" calculatedColumn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46BBD-BDCB-4C13-829A-532461D6730A}">
  <sheetPr codeName="Sheet6">
    <pageSetUpPr fitToPage="1"/>
  </sheetPr>
  <dimension ref="A1:D18"/>
  <sheetViews>
    <sheetView showGridLines="0" zoomScaleNormal="100" workbookViewId="0">
      <selection activeCell="B14" sqref="B14"/>
    </sheetView>
  </sheetViews>
  <sheetFormatPr defaultColWidth="23.109375" defaultRowHeight="13.8" x14ac:dyDescent="0.3"/>
  <cols>
    <col min="1" max="1" width="28" style="4" bestFit="1" customWidth="1"/>
    <col min="2" max="2" width="18.44140625" style="4" customWidth="1"/>
    <col min="3" max="3" width="17.33203125" style="4" bestFit="1" customWidth="1"/>
    <col min="4" max="4" width="21.33203125" style="4" customWidth="1"/>
    <col min="5" max="5" width="18.6640625" style="4" customWidth="1"/>
    <col min="6" max="16384" width="23.109375" style="4"/>
  </cols>
  <sheetData>
    <row r="1" spans="1:4" s="3" customFormat="1" x14ac:dyDescent="0.3">
      <c r="A1" s="3" t="s">
        <v>89</v>
      </c>
    </row>
    <row r="2" spans="1:4" s="3" customFormat="1" x14ac:dyDescent="0.3">
      <c r="A2" s="3" t="str">
        <f>Overzicht!B2</f>
        <v>B0100135903</v>
      </c>
    </row>
    <row r="3" spans="1:4" s="3" customFormat="1" x14ac:dyDescent="0.3">
      <c r="A3" s="3" t="str">
        <f>Overzicht!B3</f>
        <v>Regionaal Opleidingen Centrum Nijmegen en Omstreken</v>
      </c>
    </row>
    <row r="4" spans="1:4" x14ac:dyDescent="0.3">
      <c r="A4" s="3">
        <f>Overzicht!B4</f>
        <v>648405501</v>
      </c>
      <c r="B4" s="3"/>
    </row>
    <row r="5" spans="1:4" x14ac:dyDescent="0.3">
      <c r="A5" s="3"/>
      <c r="B5" s="3"/>
    </row>
    <row r="7" spans="1:4" x14ac:dyDescent="0.3">
      <c r="A7" s="5" t="s">
        <v>82</v>
      </c>
      <c r="B7" s="5" t="s">
        <v>83</v>
      </c>
      <c r="C7" s="33"/>
      <c r="D7" s="33"/>
    </row>
    <row r="8" spans="1:4" x14ac:dyDescent="0.3">
      <c r="A8" s="34" t="s">
        <v>5</v>
      </c>
      <c r="B8" s="35">
        <v>45597</v>
      </c>
    </row>
    <row r="9" spans="1:4" x14ac:dyDescent="0.3">
      <c r="A9" s="34" t="s">
        <v>6</v>
      </c>
      <c r="B9" s="35">
        <v>45658</v>
      </c>
    </row>
    <row r="11" spans="1:4" x14ac:dyDescent="0.3">
      <c r="A11" s="4" t="s">
        <v>14</v>
      </c>
      <c r="B11" s="4">
        <v>0</v>
      </c>
    </row>
    <row r="12" spans="1:4" x14ac:dyDescent="0.3">
      <c r="A12" s="88" t="s">
        <v>85</v>
      </c>
      <c r="B12" s="89" t="s">
        <v>86</v>
      </c>
      <c r="C12" s="89" t="s">
        <v>87</v>
      </c>
      <c r="D12" s="90" t="s">
        <v>90</v>
      </c>
    </row>
    <row r="13" spans="1:4" x14ac:dyDescent="0.3">
      <c r="A13" s="86" t="e">
        <f>Specificatie!#REF!</f>
        <v>#REF!</v>
      </c>
      <c r="B13" s="84" t="e">
        <f>Specificatie!#REF!</f>
        <v>#REF!</v>
      </c>
      <c r="C13" s="110" t="e">
        <f>Specificatie!#REF!</f>
        <v>#REF!</v>
      </c>
      <c r="D13" s="87">
        <f>SUMIFS(Table4[Verzekeraar 17],Table4[Mutatiedatum],$B8,Table4[Certificaat],$B11)</f>
        <v>0</v>
      </c>
    </row>
    <row r="14" spans="1:4" x14ac:dyDescent="0.3">
      <c r="A14" s="86" t="e">
        <f>Specificatie!#REF!</f>
        <v>#REF!</v>
      </c>
      <c r="B14" s="84" t="e">
        <f>Specificatie!#REF!</f>
        <v>#REF!</v>
      </c>
      <c r="C14" s="110" t="e">
        <f>Specificatie!#REF!</f>
        <v>#REF!</v>
      </c>
      <c r="D14" s="87">
        <f>SUMIFS(Table4[Verzekeraar 18],Table4[Mutatiedatum],$B8,Table4[Certificaat],$B11)</f>
        <v>0</v>
      </c>
    </row>
    <row r="15" spans="1:4" x14ac:dyDescent="0.3">
      <c r="A15" s="86" t="e">
        <f>Specificatie!#REF!</f>
        <v>#REF!</v>
      </c>
      <c r="B15" s="84" t="e">
        <f>Specificatie!#REF!</f>
        <v>#REF!</v>
      </c>
      <c r="C15" s="110" t="e">
        <f>Specificatie!#REF!</f>
        <v>#REF!</v>
      </c>
      <c r="D15" s="87">
        <f>SUMIFS(Table4[Verzekeraar 19],Table4[Mutatiedatum],$B8,Table4[Certificaat],$B11)</f>
        <v>0</v>
      </c>
    </row>
    <row r="16" spans="1:4" x14ac:dyDescent="0.3">
      <c r="A16" s="86" t="e">
        <f>Specificatie!#REF!</f>
        <v>#REF!</v>
      </c>
      <c r="B16" s="84" t="e">
        <f>Specificatie!#REF!</f>
        <v>#REF!</v>
      </c>
      <c r="C16" s="110" t="e">
        <f>Specificatie!#REF!</f>
        <v>#REF!</v>
      </c>
      <c r="D16" s="87">
        <f>SUMIFS(Table4[Verzekeraar 20],Table4[Mutatiedatum],$B8,Table4[Certificaat],$B11)</f>
        <v>0</v>
      </c>
    </row>
    <row r="17" spans="1:4" x14ac:dyDescent="0.3">
      <c r="A17" s="86" t="e">
        <f>Specificatie!#REF!</f>
        <v>#REF!</v>
      </c>
      <c r="B17" s="84" t="e">
        <f>Specificatie!#REF!</f>
        <v>#REF!</v>
      </c>
      <c r="C17" s="110" t="e">
        <f>Specificatie!#REF!</f>
        <v>#REF!</v>
      </c>
      <c r="D17" s="87">
        <f>SUMIFS(Table4[Verzekeraar 21],Table4[Mutatiedatum],$B8,Table4[Certificaat],$B11)</f>
        <v>0</v>
      </c>
    </row>
    <row r="18" spans="1:4" x14ac:dyDescent="0.3">
      <c r="A18" s="111" t="s">
        <v>42</v>
      </c>
      <c r="B18" s="112"/>
      <c r="C18" s="114" t="e">
        <f>SUBTOTAL(109,Table2[Aandeel])</f>
        <v>#REF!</v>
      </c>
      <c r="D18" s="113">
        <f>SUBTOTAL(109,Table2[Boeking/restitutie])</f>
        <v>0</v>
      </c>
    </row>
  </sheetData>
  <printOptions horizontalCentered="1"/>
  <pageMargins left="0" right="0.11811023622047245" top="0.74803149606299213" bottom="0.74803149606299213" header="0.31496062992125984" footer="0.31496062992125984"/>
  <pageSetup orientation="landscape" r:id="rId1"/>
  <headerFooter>
    <oddFooter>&amp;L&amp;F
Uniek nr e-ABS XXXXXXXXXXXXXXXXXXX</oddFooter>
  </headerFooter>
  <ignoredErrors>
    <ignoredError sqref="D13:D17" calculatedColumn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A4A44-A812-4F49-957D-CE376EF762B5}">
  <sheetPr codeName="Sheet7"/>
  <dimension ref="A1:D16"/>
  <sheetViews>
    <sheetView workbookViewId="0">
      <selection activeCell="C12" sqref="C12"/>
    </sheetView>
  </sheetViews>
  <sheetFormatPr defaultRowHeight="14.4" x14ac:dyDescent="0.3"/>
  <cols>
    <col min="1" max="1" width="30.33203125" customWidth="1"/>
    <col min="2" max="2" width="20.33203125" bestFit="1" customWidth="1"/>
  </cols>
  <sheetData>
    <row r="1" spans="1:4" x14ac:dyDescent="0.3">
      <c r="A1" s="1" t="s">
        <v>91</v>
      </c>
      <c r="B1" s="1" t="s">
        <v>20</v>
      </c>
      <c r="C1" s="1" t="s">
        <v>92</v>
      </c>
      <c r="D1" s="1" t="s">
        <v>93</v>
      </c>
    </row>
    <row r="2" spans="1:4" x14ac:dyDescent="0.3">
      <c r="A2" s="32" t="s">
        <v>41</v>
      </c>
      <c r="B2" s="32" t="s">
        <v>41</v>
      </c>
      <c r="C2" t="s">
        <v>94</v>
      </c>
      <c r="D2" s="32" t="s">
        <v>41</v>
      </c>
    </row>
    <row r="3" spans="1:4" x14ac:dyDescent="0.3">
      <c r="A3" t="s">
        <v>95</v>
      </c>
      <c r="B3" t="s">
        <v>96</v>
      </c>
      <c r="C3" t="s">
        <v>80</v>
      </c>
      <c r="D3" t="s">
        <v>94</v>
      </c>
    </row>
    <row r="4" spans="1:4" x14ac:dyDescent="0.3">
      <c r="A4" t="s">
        <v>97</v>
      </c>
      <c r="B4" t="s">
        <v>98</v>
      </c>
      <c r="D4" t="s">
        <v>80</v>
      </c>
    </row>
    <row r="5" spans="1:4" x14ac:dyDescent="0.3">
      <c r="A5" t="s">
        <v>99</v>
      </c>
      <c r="B5" t="s">
        <v>100</v>
      </c>
    </row>
    <row r="6" spans="1:4" x14ac:dyDescent="0.3">
      <c r="A6" t="s">
        <v>101</v>
      </c>
      <c r="B6" t="s">
        <v>102</v>
      </c>
    </row>
    <row r="7" spans="1:4" x14ac:dyDescent="0.3">
      <c r="A7" t="s">
        <v>103</v>
      </c>
    </row>
    <row r="8" spans="1:4" x14ac:dyDescent="0.3">
      <c r="A8" t="s">
        <v>40</v>
      </c>
    </row>
    <row r="9" spans="1:4" x14ac:dyDescent="0.3">
      <c r="A9" t="s">
        <v>104</v>
      </c>
    </row>
    <row r="10" spans="1:4" x14ac:dyDescent="0.3">
      <c r="A10" t="s">
        <v>105</v>
      </c>
    </row>
    <row r="11" spans="1:4" x14ac:dyDescent="0.3">
      <c r="A11" t="s">
        <v>106</v>
      </c>
    </row>
    <row r="12" spans="1:4" x14ac:dyDescent="0.3">
      <c r="A12" t="s">
        <v>107</v>
      </c>
    </row>
    <row r="13" spans="1:4" x14ac:dyDescent="0.3">
      <c r="A13" t="s">
        <v>108</v>
      </c>
    </row>
    <row r="14" spans="1:4" x14ac:dyDescent="0.3">
      <c r="A14" t="s">
        <v>109</v>
      </c>
    </row>
    <row r="15" spans="1:4" x14ac:dyDescent="0.3">
      <c r="A15" t="s">
        <v>110</v>
      </c>
    </row>
    <row r="16" spans="1:4" x14ac:dyDescent="0.3">
      <c r="A16" t="s">
        <v>111</v>
      </c>
    </row>
  </sheetData>
  <sortState xmlns:xlrd2="http://schemas.microsoft.com/office/spreadsheetml/2017/richdata2" ref="A3:A17">
    <sortCondition ref="A3:A17"/>
  </sortState>
  <pageMargins left="0.7" right="0.7" top="0.75" bottom="0.75" header="0.3" footer="0.3"/>
  <pageSetup paperSize="9"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2362D23840384AA44F195D95F9E0FB" ma:contentTypeVersion="10" ma:contentTypeDescription="Create a new document." ma:contentTypeScope="" ma:versionID="d313bd36494f7e7115fce37fb728cbb0">
  <xsd:schema xmlns:xsd="http://www.w3.org/2001/XMLSchema" xmlns:xs="http://www.w3.org/2001/XMLSchema" xmlns:p="http://schemas.microsoft.com/office/2006/metadata/properties" xmlns:ns2="38304d66-90c6-4335-b1c9-5b3984399988" xmlns:ns3="41d8d177-be5a-477d-be00-e01547a293a3" targetNamespace="http://schemas.microsoft.com/office/2006/metadata/properties" ma:root="true" ma:fieldsID="4d5efe2d74536367d40b5617b8f09945" ns2:_="" ns3:_="">
    <xsd:import namespace="38304d66-90c6-4335-b1c9-5b3984399988"/>
    <xsd:import namespace="41d8d177-be5a-477d-be00-e01547a29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04d66-90c6-4335-b1c9-5b3984399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1fdf30fe-1347-464b-aacb-c31a0be721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8d177-be5a-477d-be00-e01547a293a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941151a-63b3-4332-b62e-f2b7c2e016f0}" ma:internalName="TaxCatchAll" ma:showField="CatchAllData" ma:web="41d8d177-be5a-477d-be00-e01547a29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titus xmlns="http://schemas.titus.com/TitusProperties/">
  <TitusGUID xmlns="">50961e41-9d75-4c1e-a956-caca048a9681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304d66-90c6-4335-b1c9-5b3984399988">
      <Terms xmlns="http://schemas.microsoft.com/office/infopath/2007/PartnerControls"/>
    </lcf76f155ced4ddcb4097134ff3c332f>
    <TaxCatchAll xmlns="41d8d177-be5a-477d-be00-e01547a293a3" xsi:nil="true"/>
  </documentManagement>
</p:properties>
</file>

<file path=customXml/itemProps1.xml><?xml version="1.0" encoding="utf-8"?>
<ds:datastoreItem xmlns:ds="http://schemas.openxmlformats.org/officeDocument/2006/customXml" ds:itemID="{AF696BB9-AB99-4C23-8D5C-9E6D16F961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04d66-90c6-4335-b1c9-5b3984399988"/>
    <ds:schemaRef ds:uri="41d8d177-be5a-477d-be00-e01547a293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A90AF1-C6C1-4A03-B107-F4CF6345010A}">
  <ds:schemaRefs>
    <ds:schemaRef ds:uri="http://schemas.titus.com/TitusProperties/"/>
    <ds:schemaRef ds:uri=""/>
  </ds:schemaRefs>
</ds:datastoreItem>
</file>

<file path=customXml/itemProps3.xml><?xml version="1.0" encoding="utf-8"?>
<ds:datastoreItem xmlns:ds="http://schemas.openxmlformats.org/officeDocument/2006/customXml" ds:itemID="{54E56B9C-DAB9-4075-8DE6-12EF5B4A860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A3C7FDF-D4C7-40F7-8F63-C8D7D6EC81B0}">
  <ds:schemaRefs>
    <ds:schemaRef ds:uri="http://schemas.microsoft.com/office/2006/metadata/properties"/>
    <ds:schemaRef ds:uri="http://schemas.microsoft.com/office/infopath/2007/PartnerControls"/>
    <ds:schemaRef ds:uri="38304d66-90c6-4335-b1c9-5b3984399988"/>
    <ds:schemaRef ds:uri="41d8d177-be5a-477d-be00-e01547a293a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Overzicht</vt:lpstr>
      <vt:lpstr>Specificatie</vt:lpstr>
      <vt:lpstr>Taxaties</vt:lpstr>
      <vt:lpstr>Verrekening Jaarpremie</vt:lpstr>
      <vt:lpstr>Mutaties</vt:lpstr>
      <vt:lpstr>Verrekening Pro Rata-CAD</vt:lpstr>
      <vt:lpstr>Data</vt:lpstr>
      <vt:lpstr>Bouwaard</vt:lpstr>
      <vt:lpstr>CAD</vt:lpstr>
      <vt:lpstr>Interest</vt:lpstr>
      <vt:lpstr>Specificatie!Print_Area</vt:lpstr>
      <vt:lpstr>Taxatie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van Doornewaard</dc:creator>
  <cp:keywords/>
  <dc:description/>
  <cp:lastModifiedBy>Casper van Belzen</cp:lastModifiedBy>
  <cp:revision/>
  <cp:lastPrinted>2026-04-03T07:41:56Z</cp:lastPrinted>
  <dcterms:created xsi:type="dcterms:W3CDTF">2019-07-21T11:45:44Z</dcterms:created>
  <dcterms:modified xsi:type="dcterms:W3CDTF">2026-07-02T11:30:07Z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0x010100072362D23840384AA44F195D95F9E0FB</vt:lpwstr>
  </property>
  <property fmtid="{D5CDD505-2E9C-101B-9397-08002B2CF9AE}" pid="3" name="TitusGUID">
    <vt:lpwstr>50961e41-9d75-4c1e-a956-caca048a9681</vt:lpwstr>
  </property>
  <property fmtid="{D5CDD505-2E9C-101B-9397-08002B2CF9AE}" pid="4" name="AonClassification">
    <vt:lpwstr>ADC_class_200</vt:lpwstr>
  </property>
  <property fmtid="{D5CDD505-2E9C-101B-9397-08002B2CF9AE}" pid="5" name="MediaServiceImageTags">
    <vt:lpwstr/>
  </property>
  <property fmtid="{D5CDD505-2E9C-101B-9397-08002B2CF9AE}" pid="6" name="MSIP_Label_9043f10a-881e-4653-a55e-02ca2cc829dc_Enabled">
    <vt:lpwstr>true</vt:lpwstr>
  </property>
  <property fmtid="{D5CDD505-2E9C-101B-9397-08002B2CF9AE}" pid="7" name="MSIP_Label_9043f10a-881e-4653-a55e-02ca2cc829dc_SetDate">
    <vt:lpwstr>2024-05-27T11:41:58Z</vt:lpwstr>
  </property>
  <property fmtid="{D5CDD505-2E9C-101B-9397-08002B2CF9AE}" pid="8" name="MSIP_Label_9043f10a-881e-4653-a55e-02ca2cc829dc_Method">
    <vt:lpwstr>Standard</vt:lpwstr>
  </property>
  <property fmtid="{D5CDD505-2E9C-101B-9397-08002B2CF9AE}" pid="9" name="MSIP_Label_9043f10a-881e-4653-a55e-02ca2cc829dc_Name">
    <vt:lpwstr>ADC_class_200</vt:lpwstr>
  </property>
  <property fmtid="{D5CDD505-2E9C-101B-9397-08002B2CF9AE}" pid="10" name="MSIP_Label_9043f10a-881e-4653-a55e-02ca2cc829dc_SiteId">
    <vt:lpwstr>94cfddbc-0627-494a-ad7a-29aea3aea832</vt:lpwstr>
  </property>
  <property fmtid="{D5CDD505-2E9C-101B-9397-08002B2CF9AE}" pid="11" name="MSIP_Label_9043f10a-881e-4653-a55e-02ca2cc829dc_ActionId">
    <vt:lpwstr>f556b273-3bc1-43f4-a3bf-e3e130e19a0a</vt:lpwstr>
  </property>
  <property fmtid="{D5CDD505-2E9C-101B-9397-08002B2CF9AE}" pid="12" name="MSIP_Label_9043f10a-881e-4653-a55e-02ca2cc829dc_ContentBits">
    <vt:lpwstr>0</vt:lpwstr>
  </property>
</Properties>
</file>