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ecclesianl.sharepoint.com/sites/SalesMarketing/Gedeelde documenten/General/Aanbestedingen/2026/IJsselstein, brand/NvI/"/>
    </mc:Choice>
  </mc:AlternateContent>
  <xr:revisionPtr revIDLastSave="0" documentId="8_{77ECEB56-1E21-4B3E-894D-5C9D22F1B1A3}" xr6:coauthVersionLast="47" xr6:coauthVersionMax="47" xr10:uidLastSave="{00000000-0000-0000-0000-000000000000}"/>
  <bookViews>
    <workbookView xWindow="-28920" yWindow="30" windowWidth="29040" windowHeight="15720" xr2:uid="{00000000-000D-0000-FFFF-FFFF00000000}"/>
  </bookViews>
  <sheets>
    <sheet name="Index per 01-01-2026" sheetId="5" r:id="rId1"/>
    <sheet name="ADC 2025" sheetId="6" r:id="rId2"/>
  </sheets>
  <externalReferences>
    <externalReference r:id="rId3"/>
  </externalReferences>
  <definedNames>
    <definedName name="_xlnm._FilterDatabase" localSheetId="0" hidden="1">'Index per 01-01-2026'!$A$1:$AC$63</definedName>
    <definedName name="_xlnm.Print_Area" localSheetId="0">'Index per 01-01-2026'!$A$1:$AC$63</definedName>
    <definedName name="_xlnm.Print_Titles" localSheetId="0">'Index per 01-01-2026'!$1:$3</definedName>
    <definedName name="ign">[1]Info!$B$8</definedName>
    <definedName name="igo">[1]Info!$B$9</definedName>
    <definedName name="iin">[1]Info!$B$10</definedName>
    <definedName name="iio">[1]Info!$B$11</definedName>
    <definedName name="PremieGM">[1]Info!$B$3</definedName>
    <definedName name="PremieOW">[1]Info!$B$4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60" i="5" l="1"/>
  <c r="W6" i="5"/>
  <c r="W7" i="5"/>
  <c r="W8" i="5"/>
  <c r="W9" i="5"/>
  <c r="W10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W28" i="5"/>
  <c r="W29" i="5"/>
  <c r="W30" i="5"/>
  <c r="W31" i="5"/>
  <c r="W32" i="5"/>
  <c r="W33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W51" i="5"/>
  <c r="W52" i="5"/>
  <c r="W53" i="5"/>
  <c r="W54" i="5"/>
  <c r="W55" i="5"/>
  <c r="W56" i="5"/>
  <c r="W57" i="5"/>
  <c r="W58" i="5"/>
  <c r="W59" i="5"/>
  <c r="W5" i="5"/>
  <c r="V60" i="5"/>
  <c r="V17" i="5"/>
  <c r="V18" i="5"/>
  <c r="V19" i="5"/>
  <c r="V20" i="5"/>
  <c r="V21" i="5"/>
  <c r="V22" i="5"/>
  <c r="V23" i="5"/>
  <c r="V24" i="5"/>
  <c r="V25" i="5"/>
  <c r="V26" i="5"/>
  <c r="V27" i="5"/>
  <c r="V28" i="5"/>
  <c r="V29" i="5"/>
  <c r="V30" i="5"/>
  <c r="V31" i="5"/>
  <c r="V32" i="5"/>
  <c r="V33" i="5"/>
  <c r="V34" i="5"/>
  <c r="V35" i="5"/>
  <c r="V36" i="5"/>
  <c r="V37" i="5"/>
  <c r="V38" i="5"/>
  <c r="V39" i="5"/>
  <c r="V40" i="5"/>
  <c r="V41" i="5"/>
  <c r="V42" i="5"/>
  <c r="V43" i="5"/>
  <c r="V44" i="5"/>
  <c r="V45" i="5"/>
  <c r="V46" i="5"/>
  <c r="V47" i="5"/>
  <c r="V48" i="5"/>
  <c r="V49" i="5"/>
  <c r="V50" i="5"/>
  <c r="V51" i="5"/>
  <c r="V52" i="5"/>
  <c r="V53" i="5"/>
  <c r="V54" i="5"/>
  <c r="V55" i="5"/>
  <c r="V56" i="5"/>
  <c r="V57" i="5"/>
  <c r="V58" i="5"/>
  <c r="V59" i="5"/>
  <c r="V6" i="5"/>
  <c r="V7" i="5"/>
  <c r="V8" i="5"/>
  <c r="V9" i="5"/>
  <c r="V10" i="5"/>
  <c r="V11" i="5"/>
  <c r="V12" i="5"/>
  <c r="V13" i="5"/>
  <c r="V14" i="5"/>
  <c r="V15" i="5"/>
  <c r="V16" i="5"/>
  <c r="V5" i="5"/>
  <c r="P5" i="5"/>
  <c r="C17" i="6" l="1"/>
  <c r="H13" i="6"/>
  <c r="F13" i="6"/>
  <c r="G13" i="6"/>
  <c r="E13" i="6"/>
  <c r="I60" i="5" l="1"/>
  <c r="Z59" i="5"/>
  <c r="Y59" i="5" s="1"/>
  <c r="X59" i="5" s="1"/>
  <c r="U59" i="5" s="1"/>
  <c r="AC58" i="5"/>
  <c r="AA58" i="5" s="1"/>
  <c r="Z58" i="5" s="1"/>
  <c r="Y58" i="5" s="1"/>
  <c r="X58" i="5" s="1"/>
  <c r="U58" i="5" s="1"/>
  <c r="N58" i="5"/>
  <c r="O58" i="5" s="1"/>
  <c r="AB58" i="5" s="1"/>
  <c r="T58" i="5" s="1"/>
  <c r="S58" i="5" s="1"/>
  <c r="R58" i="5" s="1"/>
  <c r="Q58" i="5" s="1"/>
  <c r="P58" i="5" s="1"/>
  <c r="L58" i="5"/>
  <c r="AC57" i="5"/>
  <c r="AA57" i="5" s="1"/>
  <c r="Z57" i="5" s="1"/>
  <c r="Y57" i="5" s="1"/>
  <c r="X57" i="5" s="1"/>
  <c r="U57" i="5" s="1"/>
  <c r="N57" i="5"/>
  <c r="O57" i="5" s="1"/>
  <c r="AB57" i="5" s="1"/>
  <c r="T57" i="5" s="1"/>
  <c r="S57" i="5" s="1"/>
  <c r="R57" i="5" s="1"/>
  <c r="Q57" i="5" s="1"/>
  <c r="P57" i="5" s="1"/>
  <c r="AC56" i="5"/>
  <c r="AA56" i="5" s="1"/>
  <c r="Z56" i="5" s="1"/>
  <c r="Y56" i="5" s="1"/>
  <c r="X56" i="5" s="1"/>
  <c r="U56" i="5" s="1"/>
  <c r="O56" i="5"/>
  <c r="AB56" i="5" s="1"/>
  <c r="T56" i="5" s="1"/>
  <c r="S56" i="5" s="1"/>
  <c r="R56" i="5" s="1"/>
  <c r="Q56" i="5" s="1"/>
  <c r="P56" i="5" s="1"/>
  <c r="L56" i="5"/>
  <c r="M56" i="5" s="1"/>
  <c r="AA55" i="5"/>
  <c r="Z55" i="5" s="1"/>
  <c r="Y55" i="5" s="1"/>
  <c r="X55" i="5" s="1"/>
  <c r="U55" i="5" s="1"/>
  <c r="N55" i="5"/>
  <c r="O55" i="5" s="1"/>
  <c r="AB55" i="5" s="1"/>
  <c r="T55" i="5" s="1"/>
  <c r="S55" i="5" s="1"/>
  <c r="R55" i="5" s="1"/>
  <c r="Q55" i="5" s="1"/>
  <c r="P55" i="5" s="1"/>
  <c r="K55" i="5"/>
  <c r="L55" i="5" s="1"/>
  <c r="AC54" i="5"/>
  <c r="AA54" i="5" s="1"/>
  <c r="Z54" i="5" s="1"/>
  <c r="Y54" i="5" s="1"/>
  <c r="X54" i="5" s="1"/>
  <c r="U54" i="5" s="1"/>
  <c r="O54" i="5"/>
  <c r="AB54" i="5" s="1"/>
  <c r="T54" i="5" s="1"/>
  <c r="S54" i="5" s="1"/>
  <c r="R54" i="5" s="1"/>
  <c r="Q54" i="5" s="1"/>
  <c r="P54" i="5" s="1"/>
  <c r="L54" i="5"/>
  <c r="M54" i="5" s="1"/>
  <c r="AC53" i="5"/>
  <c r="AA53" i="5" s="1"/>
  <c r="Z53" i="5" s="1"/>
  <c r="Y53" i="5" s="1"/>
  <c r="X53" i="5" s="1"/>
  <c r="U53" i="5" s="1"/>
  <c r="N53" i="5"/>
  <c r="O53" i="5" s="1"/>
  <c r="AB53" i="5" s="1"/>
  <c r="T53" i="5" s="1"/>
  <c r="S53" i="5" s="1"/>
  <c r="R53" i="5" s="1"/>
  <c r="Q53" i="5" s="1"/>
  <c r="P53" i="5" s="1"/>
  <c r="L53" i="5"/>
  <c r="AA52" i="5"/>
  <c r="Z52" i="5" s="1"/>
  <c r="Y52" i="5" s="1"/>
  <c r="X52" i="5" s="1"/>
  <c r="U52" i="5" s="1"/>
  <c r="N52" i="5"/>
  <c r="O52" i="5" s="1"/>
  <c r="AB52" i="5" s="1"/>
  <c r="T52" i="5" s="1"/>
  <c r="S52" i="5" s="1"/>
  <c r="R52" i="5" s="1"/>
  <c r="Q52" i="5" s="1"/>
  <c r="P52" i="5" s="1"/>
  <c r="K52" i="5"/>
  <c r="L52" i="5" s="1"/>
  <c r="Y51" i="5"/>
  <c r="X51" i="5" s="1"/>
  <c r="U51" i="5" s="1"/>
  <c r="R51" i="5"/>
  <c r="Q51" i="5" s="1"/>
  <c r="P51" i="5" s="1"/>
  <c r="AA50" i="5"/>
  <c r="Z50" i="5" s="1"/>
  <c r="Y50" i="5" s="1"/>
  <c r="X50" i="5" s="1"/>
  <c r="U50" i="5" s="1"/>
  <c r="N50" i="5"/>
  <c r="O50" i="5" s="1"/>
  <c r="AB50" i="5" s="1"/>
  <c r="T50" i="5" s="1"/>
  <c r="S50" i="5" s="1"/>
  <c r="R50" i="5" s="1"/>
  <c r="Q50" i="5" s="1"/>
  <c r="K50" i="5"/>
  <c r="L50" i="5" s="1"/>
  <c r="AC49" i="5"/>
  <c r="AA49" i="5" s="1"/>
  <c r="Z49" i="5" s="1"/>
  <c r="Y49" i="5" s="1"/>
  <c r="X49" i="5" s="1"/>
  <c r="N49" i="5"/>
  <c r="O49" i="5" s="1"/>
  <c r="AB49" i="5" s="1"/>
  <c r="L49" i="5"/>
  <c r="AC48" i="5"/>
  <c r="AA48" i="5" s="1"/>
  <c r="Z48" i="5" s="1"/>
  <c r="Y48" i="5" s="1"/>
  <c r="X48" i="5" s="1"/>
  <c r="U48" i="5" s="1"/>
  <c r="L48" i="5"/>
  <c r="M48" i="5" s="1"/>
  <c r="N48" i="5" s="1"/>
  <c r="O48" i="5" s="1"/>
  <c r="AB48" i="5" s="1"/>
  <c r="T48" i="5" s="1"/>
  <c r="S48" i="5" s="1"/>
  <c r="R48" i="5" s="1"/>
  <c r="Q48" i="5" s="1"/>
  <c r="P48" i="5" s="1"/>
  <c r="AC47" i="5"/>
  <c r="AA47" i="5" s="1"/>
  <c r="Z47" i="5" s="1"/>
  <c r="Y47" i="5" s="1"/>
  <c r="X47" i="5" s="1"/>
  <c r="U47" i="5" s="1"/>
  <c r="L47" i="5"/>
  <c r="M47" i="5" s="1"/>
  <c r="N47" i="5" s="1"/>
  <c r="O47" i="5" s="1"/>
  <c r="AB47" i="5" s="1"/>
  <c r="T47" i="5" s="1"/>
  <c r="S47" i="5" s="1"/>
  <c r="R47" i="5" s="1"/>
  <c r="Q47" i="5" s="1"/>
  <c r="P47" i="5" s="1"/>
  <c r="AC46" i="5"/>
  <c r="AA46" i="5" s="1"/>
  <c r="Z46" i="5" s="1"/>
  <c r="Y46" i="5" s="1"/>
  <c r="X46" i="5" s="1"/>
  <c r="U46" i="5" s="1"/>
  <c r="L46" i="5"/>
  <c r="M46" i="5" s="1"/>
  <c r="N46" i="5" s="1"/>
  <c r="O46" i="5" s="1"/>
  <c r="AB46" i="5" s="1"/>
  <c r="T46" i="5" s="1"/>
  <c r="S46" i="5" s="1"/>
  <c r="R46" i="5" s="1"/>
  <c r="Q46" i="5" s="1"/>
  <c r="P46" i="5" s="1"/>
  <c r="AC45" i="5"/>
  <c r="AA45" i="5" s="1"/>
  <c r="Z45" i="5" s="1"/>
  <c r="Y45" i="5" s="1"/>
  <c r="X45" i="5" s="1"/>
  <c r="U45" i="5" s="1"/>
  <c r="L45" i="5"/>
  <c r="M45" i="5" s="1"/>
  <c r="N45" i="5" s="1"/>
  <c r="O45" i="5" s="1"/>
  <c r="AB45" i="5" s="1"/>
  <c r="T45" i="5" s="1"/>
  <c r="S45" i="5" s="1"/>
  <c r="R45" i="5" s="1"/>
  <c r="Q45" i="5" s="1"/>
  <c r="P45" i="5" s="1"/>
  <c r="AA44" i="5"/>
  <c r="Z44" i="5" s="1"/>
  <c r="Y44" i="5" s="1"/>
  <c r="X44" i="5" s="1"/>
  <c r="U44" i="5" s="1"/>
  <c r="N44" i="5"/>
  <c r="O44" i="5" s="1"/>
  <c r="AB44" i="5" s="1"/>
  <c r="T44" i="5" s="1"/>
  <c r="S44" i="5" s="1"/>
  <c r="R44" i="5" s="1"/>
  <c r="Q44" i="5" s="1"/>
  <c r="P44" i="5" s="1"/>
  <c r="K44" i="5"/>
  <c r="L44" i="5" s="1"/>
  <c r="AA43" i="5"/>
  <c r="Z43" i="5" s="1"/>
  <c r="Y43" i="5" s="1"/>
  <c r="X43" i="5" s="1"/>
  <c r="U43" i="5" s="1"/>
  <c r="N43" i="5"/>
  <c r="O43" i="5" s="1"/>
  <c r="AB43" i="5" s="1"/>
  <c r="T43" i="5" s="1"/>
  <c r="S43" i="5" s="1"/>
  <c r="R43" i="5" s="1"/>
  <c r="Q43" i="5" s="1"/>
  <c r="P43" i="5" s="1"/>
  <c r="K43" i="5"/>
  <c r="L43" i="5" s="1"/>
  <c r="AA42" i="5"/>
  <c r="Z42" i="5" s="1"/>
  <c r="Y42" i="5" s="1"/>
  <c r="X42" i="5" s="1"/>
  <c r="U42" i="5" s="1"/>
  <c r="N42" i="5"/>
  <c r="O42" i="5" s="1"/>
  <c r="AB42" i="5" s="1"/>
  <c r="T42" i="5" s="1"/>
  <c r="S42" i="5" s="1"/>
  <c r="R42" i="5" s="1"/>
  <c r="Q42" i="5" s="1"/>
  <c r="P42" i="5" s="1"/>
  <c r="K42" i="5"/>
  <c r="L42" i="5" s="1"/>
  <c r="AC41" i="5"/>
  <c r="AA41" i="5" s="1"/>
  <c r="Z41" i="5" s="1"/>
  <c r="Y41" i="5" s="1"/>
  <c r="X41" i="5" s="1"/>
  <c r="U41" i="5" s="1"/>
  <c r="O41" i="5"/>
  <c r="AB41" i="5" s="1"/>
  <c r="T41" i="5" s="1"/>
  <c r="S41" i="5" s="1"/>
  <c r="R41" i="5" s="1"/>
  <c r="Q41" i="5" s="1"/>
  <c r="P41" i="5" s="1"/>
  <c r="L41" i="5"/>
  <c r="M41" i="5" s="1"/>
  <c r="AC40" i="5"/>
  <c r="AA40" i="5" s="1"/>
  <c r="Z40" i="5" s="1"/>
  <c r="Y40" i="5" s="1"/>
  <c r="X40" i="5" s="1"/>
  <c r="U40" i="5" s="1"/>
  <c r="N40" i="5"/>
  <c r="O40" i="5" s="1"/>
  <c r="AB40" i="5" s="1"/>
  <c r="T40" i="5" s="1"/>
  <c r="S40" i="5" s="1"/>
  <c r="R40" i="5" s="1"/>
  <c r="Q40" i="5" s="1"/>
  <c r="P40" i="5" s="1"/>
  <c r="L40" i="5"/>
  <c r="AA39" i="5"/>
  <c r="Z39" i="5" s="1"/>
  <c r="Y39" i="5" s="1"/>
  <c r="X39" i="5" s="1"/>
  <c r="U39" i="5" s="1"/>
  <c r="N39" i="5"/>
  <c r="O39" i="5" s="1"/>
  <c r="AB39" i="5" s="1"/>
  <c r="T39" i="5" s="1"/>
  <c r="S39" i="5" s="1"/>
  <c r="R39" i="5" s="1"/>
  <c r="Q39" i="5" s="1"/>
  <c r="P39" i="5" s="1"/>
  <c r="K39" i="5"/>
  <c r="L39" i="5" s="1"/>
  <c r="AC38" i="5"/>
  <c r="AA38" i="5" s="1"/>
  <c r="Z38" i="5" s="1"/>
  <c r="Y38" i="5" s="1"/>
  <c r="X38" i="5" s="1"/>
  <c r="U38" i="5" s="1"/>
  <c r="N38" i="5"/>
  <c r="O38" i="5" s="1"/>
  <c r="AB38" i="5" s="1"/>
  <c r="T38" i="5" s="1"/>
  <c r="S38" i="5" s="1"/>
  <c r="R38" i="5" s="1"/>
  <c r="Q38" i="5" s="1"/>
  <c r="P38" i="5" s="1"/>
  <c r="L38" i="5"/>
  <c r="AA37" i="5"/>
  <c r="Z37" i="5" s="1"/>
  <c r="Y37" i="5" s="1"/>
  <c r="X37" i="5" s="1"/>
  <c r="U37" i="5" s="1"/>
  <c r="O37" i="5"/>
  <c r="AB37" i="5" s="1"/>
  <c r="T37" i="5" s="1"/>
  <c r="S37" i="5" s="1"/>
  <c r="R37" i="5" s="1"/>
  <c r="Q37" i="5" s="1"/>
  <c r="P37" i="5" s="1"/>
  <c r="L37" i="5"/>
  <c r="M37" i="5" s="1"/>
  <c r="AA36" i="5"/>
  <c r="Z36" i="5" s="1"/>
  <c r="Y36" i="5" s="1"/>
  <c r="X36" i="5" s="1"/>
  <c r="U36" i="5" s="1"/>
  <c r="O36" i="5"/>
  <c r="AB36" i="5" s="1"/>
  <c r="T36" i="5" s="1"/>
  <c r="S36" i="5" s="1"/>
  <c r="R36" i="5" s="1"/>
  <c r="Q36" i="5" s="1"/>
  <c r="P36" i="5" s="1"/>
  <c r="K36" i="5"/>
  <c r="L36" i="5" s="1"/>
  <c r="M36" i="5" s="1"/>
  <c r="AC35" i="5"/>
  <c r="AA35" i="5" s="1"/>
  <c r="Z35" i="5" s="1"/>
  <c r="Y35" i="5" s="1"/>
  <c r="X35" i="5" s="1"/>
  <c r="U35" i="5" s="1"/>
  <c r="N35" i="5"/>
  <c r="O35" i="5" s="1"/>
  <c r="AB35" i="5" s="1"/>
  <c r="T35" i="5" s="1"/>
  <c r="S35" i="5" s="1"/>
  <c r="R35" i="5" s="1"/>
  <c r="Q35" i="5" s="1"/>
  <c r="P35" i="5" s="1"/>
  <c r="K35" i="5"/>
  <c r="L35" i="5" s="1"/>
  <c r="AC34" i="5"/>
  <c r="AA34" i="5" s="1"/>
  <c r="Z34" i="5" s="1"/>
  <c r="Y34" i="5" s="1"/>
  <c r="X34" i="5" s="1"/>
  <c r="U34" i="5" s="1"/>
  <c r="N34" i="5"/>
  <c r="O34" i="5" s="1"/>
  <c r="AB34" i="5" s="1"/>
  <c r="T34" i="5" s="1"/>
  <c r="S34" i="5" s="1"/>
  <c r="R34" i="5" s="1"/>
  <c r="Q34" i="5" s="1"/>
  <c r="P34" i="5" s="1"/>
  <c r="L34" i="5"/>
  <c r="AA33" i="5"/>
  <c r="Z33" i="5" s="1"/>
  <c r="Y33" i="5" s="1"/>
  <c r="X33" i="5" s="1"/>
  <c r="U33" i="5" s="1"/>
  <c r="N33" i="5"/>
  <c r="O33" i="5" s="1"/>
  <c r="AB33" i="5" s="1"/>
  <c r="T33" i="5" s="1"/>
  <c r="S33" i="5" s="1"/>
  <c r="R33" i="5" s="1"/>
  <c r="Q33" i="5" s="1"/>
  <c r="P33" i="5" s="1"/>
  <c r="K33" i="5"/>
  <c r="L33" i="5" s="1"/>
  <c r="AC32" i="5"/>
  <c r="AA32" i="5" s="1"/>
  <c r="Z32" i="5" s="1"/>
  <c r="Y32" i="5" s="1"/>
  <c r="X32" i="5" s="1"/>
  <c r="U32" i="5" s="1"/>
  <c r="N32" i="5"/>
  <c r="O32" i="5" s="1"/>
  <c r="AB32" i="5" s="1"/>
  <c r="T32" i="5" s="1"/>
  <c r="S32" i="5" s="1"/>
  <c r="R32" i="5" s="1"/>
  <c r="Q32" i="5" s="1"/>
  <c r="P32" i="5" s="1"/>
  <c r="L32" i="5"/>
  <c r="AC31" i="5"/>
  <c r="AA31" i="5" s="1"/>
  <c r="Z31" i="5" s="1"/>
  <c r="Y31" i="5" s="1"/>
  <c r="X31" i="5" s="1"/>
  <c r="N31" i="5"/>
  <c r="O31" i="5" s="1"/>
  <c r="AB31" i="5" s="1"/>
  <c r="K31" i="5"/>
  <c r="L31" i="5" s="1"/>
  <c r="AC30" i="5"/>
  <c r="AA30" i="5" s="1"/>
  <c r="Z30" i="5" s="1"/>
  <c r="Y30" i="5" s="1"/>
  <c r="X30" i="5" s="1"/>
  <c r="U30" i="5" s="1"/>
  <c r="N30" i="5"/>
  <c r="O30" i="5" s="1"/>
  <c r="AB30" i="5" s="1"/>
  <c r="T30" i="5" s="1"/>
  <c r="S30" i="5" s="1"/>
  <c r="R30" i="5" s="1"/>
  <c r="Q30" i="5" s="1"/>
  <c r="P30" i="5" s="1"/>
  <c r="L30" i="5"/>
  <c r="AC29" i="5"/>
  <c r="Y29" i="5"/>
  <c r="X29" i="5" s="1"/>
  <c r="U29" i="5" s="1"/>
  <c r="S29" i="5"/>
  <c r="R29" i="5" s="1"/>
  <c r="Q29" i="5" s="1"/>
  <c r="P29" i="5" s="1"/>
  <c r="N29" i="5"/>
  <c r="O29" i="5" s="1"/>
  <c r="AB29" i="5" s="1"/>
  <c r="L29" i="5"/>
  <c r="AA28" i="5"/>
  <c r="Z28" i="5" s="1"/>
  <c r="Y28" i="5" s="1"/>
  <c r="X28" i="5" s="1"/>
  <c r="U28" i="5" s="1"/>
  <c r="N28" i="5"/>
  <c r="O28" i="5" s="1"/>
  <c r="AB28" i="5" s="1"/>
  <c r="T28" i="5" s="1"/>
  <c r="S28" i="5" s="1"/>
  <c r="R28" i="5" s="1"/>
  <c r="Q28" i="5" s="1"/>
  <c r="P28" i="5" s="1"/>
  <c r="L28" i="5"/>
  <c r="AA27" i="5"/>
  <c r="Z27" i="5" s="1"/>
  <c r="Y27" i="5" s="1"/>
  <c r="X27" i="5" s="1"/>
  <c r="U27" i="5" s="1"/>
  <c r="N27" i="5"/>
  <c r="O27" i="5" s="1"/>
  <c r="AB27" i="5" s="1"/>
  <c r="T27" i="5" s="1"/>
  <c r="S27" i="5" s="1"/>
  <c r="R27" i="5" s="1"/>
  <c r="Q27" i="5" s="1"/>
  <c r="P27" i="5" s="1"/>
  <c r="K27" i="5"/>
  <c r="L27" i="5" s="1"/>
  <c r="AC26" i="5"/>
  <c r="AA26" i="5" s="1"/>
  <c r="Z26" i="5" s="1"/>
  <c r="Y26" i="5" s="1"/>
  <c r="X26" i="5" s="1"/>
  <c r="U26" i="5" s="1"/>
  <c r="N26" i="5"/>
  <c r="O26" i="5" s="1"/>
  <c r="AB26" i="5" s="1"/>
  <c r="T26" i="5" s="1"/>
  <c r="S26" i="5" s="1"/>
  <c r="R26" i="5" s="1"/>
  <c r="Q26" i="5" s="1"/>
  <c r="P26" i="5" s="1"/>
  <c r="L26" i="5"/>
  <c r="AA25" i="5"/>
  <c r="Z25" i="5" s="1"/>
  <c r="Y25" i="5" s="1"/>
  <c r="X25" i="5" s="1"/>
  <c r="U25" i="5" s="1"/>
  <c r="N25" i="5"/>
  <c r="O25" i="5" s="1"/>
  <c r="AB25" i="5" s="1"/>
  <c r="T25" i="5" s="1"/>
  <c r="S25" i="5" s="1"/>
  <c r="R25" i="5" s="1"/>
  <c r="Q25" i="5" s="1"/>
  <c r="P25" i="5" s="1"/>
  <c r="K25" i="5"/>
  <c r="L25" i="5" s="1"/>
  <c r="AC24" i="5"/>
  <c r="AA24" i="5" s="1"/>
  <c r="Z24" i="5" s="1"/>
  <c r="Y24" i="5" s="1"/>
  <c r="X24" i="5" s="1"/>
  <c r="U24" i="5" s="1"/>
  <c r="N24" i="5"/>
  <c r="O24" i="5" s="1"/>
  <c r="AB24" i="5" s="1"/>
  <c r="T24" i="5" s="1"/>
  <c r="S24" i="5" s="1"/>
  <c r="R24" i="5" s="1"/>
  <c r="Q24" i="5" s="1"/>
  <c r="P24" i="5" s="1"/>
  <c r="L24" i="5"/>
  <c r="AA23" i="5"/>
  <c r="Z23" i="5" s="1"/>
  <c r="Y23" i="5" s="1"/>
  <c r="X23" i="5" s="1"/>
  <c r="U23" i="5" s="1"/>
  <c r="L23" i="5"/>
  <c r="M23" i="5" s="1"/>
  <c r="N23" i="5" s="1"/>
  <c r="O23" i="5" s="1"/>
  <c r="AB23" i="5" s="1"/>
  <c r="T23" i="5" s="1"/>
  <c r="S23" i="5" s="1"/>
  <c r="R23" i="5" s="1"/>
  <c r="Q23" i="5" s="1"/>
  <c r="P23" i="5" s="1"/>
  <c r="AA22" i="5"/>
  <c r="Z22" i="5" s="1"/>
  <c r="Y22" i="5" s="1"/>
  <c r="X22" i="5" s="1"/>
  <c r="U22" i="5" s="1"/>
  <c r="L22" i="5"/>
  <c r="M22" i="5" s="1"/>
  <c r="N22" i="5" s="1"/>
  <c r="O22" i="5" s="1"/>
  <c r="AB22" i="5" s="1"/>
  <c r="T22" i="5" s="1"/>
  <c r="S22" i="5" s="1"/>
  <c r="R22" i="5" s="1"/>
  <c r="Q22" i="5" s="1"/>
  <c r="P22" i="5" s="1"/>
  <c r="AC21" i="5"/>
  <c r="AA21" i="5" s="1"/>
  <c r="Z21" i="5" s="1"/>
  <c r="Y21" i="5" s="1"/>
  <c r="X21" i="5" s="1"/>
  <c r="U21" i="5" s="1"/>
  <c r="N21" i="5"/>
  <c r="O21" i="5" s="1"/>
  <c r="AB21" i="5" s="1"/>
  <c r="T21" i="5" s="1"/>
  <c r="S21" i="5" s="1"/>
  <c r="R21" i="5" s="1"/>
  <c r="Q21" i="5" s="1"/>
  <c r="P21" i="5" s="1"/>
  <c r="L21" i="5"/>
  <c r="AC20" i="5"/>
  <c r="AA20" i="5" s="1"/>
  <c r="Z20" i="5" s="1"/>
  <c r="Y20" i="5" s="1"/>
  <c r="X20" i="5" s="1"/>
  <c r="U20" i="5" s="1"/>
  <c r="N20" i="5"/>
  <c r="O20" i="5" s="1"/>
  <c r="AB20" i="5" s="1"/>
  <c r="T20" i="5" s="1"/>
  <c r="S20" i="5" s="1"/>
  <c r="R20" i="5" s="1"/>
  <c r="Q20" i="5" s="1"/>
  <c r="P20" i="5" s="1"/>
  <c r="L20" i="5"/>
  <c r="AC19" i="5"/>
  <c r="AA19" i="5" s="1"/>
  <c r="Z19" i="5" s="1"/>
  <c r="Y19" i="5" s="1"/>
  <c r="X19" i="5" s="1"/>
  <c r="U19" i="5" s="1"/>
  <c r="N19" i="5"/>
  <c r="O19" i="5" s="1"/>
  <c r="AB19" i="5" s="1"/>
  <c r="T19" i="5" s="1"/>
  <c r="S19" i="5" s="1"/>
  <c r="R19" i="5" s="1"/>
  <c r="Q19" i="5" s="1"/>
  <c r="P19" i="5" s="1"/>
  <c r="L19" i="5"/>
  <c r="AC18" i="5"/>
  <c r="AA18" i="5" s="1"/>
  <c r="Z18" i="5" s="1"/>
  <c r="Y18" i="5" s="1"/>
  <c r="X18" i="5" s="1"/>
  <c r="U18" i="5" s="1"/>
  <c r="N18" i="5"/>
  <c r="O18" i="5" s="1"/>
  <c r="AB18" i="5" s="1"/>
  <c r="T18" i="5" s="1"/>
  <c r="S18" i="5" s="1"/>
  <c r="R18" i="5" s="1"/>
  <c r="Q18" i="5" s="1"/>
  <c r="P18" i="5" s="1"/>
  <c r="L18" i="5"/>
  <c r="AA17" i="5"/>
  <c r="Z17" i="5" s="1"/>
  <c r="Y17" i="5" s="1"/>
  <c r="X17" i="5" s="1"/>
  <c r="U17" i="5" s="1"/>
  <c r="N17" i="5"/>
  <c r="O17" i="5" s="1"/>
  <c r="AB17" i="5" s="1"/>
  <c r="T17" i="5" s="1"/>
  <c r="S17" i="5" s="1"/>
  <c r="R17" i="5" s="1"/>
  <c r="Q17" i="5" s="1"/>
  <c r="P17" i="5" s="1"/>
  <c r="K17" i="5"/>
  <c r="L17" i="5" s="1"/>
  <c r="AA16" i="5"/>
  <c r="Z16" i="5" s="1"/>
  <c r="Y16" i="5" s="1"/>
  <c r="X16" i="5" s="1"/>
  <c r="U16" i="5" s="1"/>
  <c r="N16" i="5"/>
  <c r="O16" i="5" s="1"/>
  <c r="AB16" i="5" s="1"/>
  <c r="T16" i="5" s="1"/>
  <c r="S16" i="5" s="1"/>
  <c r="R16" i="5" s="1"/>
  <c r="Q16" i="5" s="1"/>
  <c r="P16" i="5" s="1"/>
  <c r="K16" i="5"/>
  <c r="L16" i="5" s="1"/>
  <c r="AA15" i="5"/>
  <c r="Z15" i="5" s="1"/>
  <c r="Y15" i="5" s="1"/>
  <c r="X15" i="5" s="1"/>
  <c r="U15" i="5" s="1"/>
  <c r="N15" i="5"/>
  <c r="O15" i="5" s="1"/>
  <c r="AB15" i="5" s="1"/>
  <c r="T15" i="5" s="1"/>
  <c r="S15" i="5" s="1"/>
  <c r="R15" i="5" s="1"/>
  <c r="Q15" i="5" s="1"/>
  <c r="P15" i="5" s="1"/>
  <c r="K15" i="5"/>
  <c r="L15" i="5" s="1"/>
  <c r="AA14" i="5"/>
  <c r="Z14" i="5" s="1"/>
  <c r="Y14" i="5" s="1"/>
  <c r="X14" i="5" s="1"/>
  <c r="U14" i="5" s="1"/>
  <c r="O14" i="5"/>
  <c r="AB14" i="5" s="1"/>
  <c r="T14" i="5" s="1"/>
  <c r="S14" i="5" s="1"/>
  <c r="R14" i="5" s="1"/>
  <c r="Q14" i="5" s="1"/>
  <c r="P14" i="5" s="1"/>
  <c r="AA13" i="5"/>
  <c r="Z13" i="5" s="1"/>
  <c r="Y13" i="5" s="1"/>
  <c r="X13" i="5" s="1"/>
  <c r="U13" i="5" s="1"/>
  <c r="N13" i="5"/>
  <c r="O13" i="5" s="1"/>
  <c r="AB13" i="5" s="1"/>
  <c r="T13" i="5" s="1"/>
  <c r="S13" i="5" s="1"/>
  <c r="R13" i="5" s="1"/>
  <c r="Q13" i="5" s="1"/>
  <c r="P13" i="5" s="1"/>
  <c r="K13" i="5"/>
  <c r="L13" i="5" s="1"/>
  <c r="AA12" i="5"/>
  <c r="Z12" i="5" s="1"/>
  <c r="Y12" i="5" s="1"/>
  <c r="X12" i="5" s="1"/>
  <c r="U12" i="5" s="1"/>
  <c r="N12" i="5"/>
  <c r="O12" i="5" s="1"/>
  <c r="AB12" i="5" s="1"/>
  <c r="T12" i="5" s="1"/>
  <c r="S12" i="5" s="1"/>
  <c r="R12" i="5" s="1"/>
  <c r="Q12" i="5" s="1"/>
  <c r="P12" i="5" s="1"/>
  <c r="K12" i="5"/>
  <c r="L12" i="5" s="1"/>
  <c r="AC11" i="5"/>
  <c r="AA11" i="5" s="1"/>
  <c r="Z11" i="5" s="1"/>
  <c r="Y11" i="5" s="1"/>
  <c r="X11" i="5" s="1"/>
  <c r="U11" i="5" s="1"/>
  <c r="L11" i="5"/>
  <c r="M11" i="5" s="1"/>
  <c r="N11" i="5" s="1"/>
  <c r="O11" i="5" s="1"/>
  <c r="AB11" i="5" s="1"/>
  <c r="T11" i="5" s="1"/>
  <c r="S11" i="5" s="1"/>
  <c r="R11" i="5" s="1"/>
  <c r="Q11" i="5" s="1"/>
  <c r="P11" i="5" s="1"/>
  <c r="AA10" i="5"/>
  <c r="Z10" i="5" s="1"/>
  <c r="Y10" i="5" s="1"/>
  <c r="X10" i="5" s="1"/>
  <c r="U10" i="5" s="1"/>
  <c r="N10" i="5"/>
  <c r="O10" i="5" s="1"/>
  <c r="AB10" i="5" s="1"/>
  <c r="T10" i="5" s="1"/>
  <c r="S10" i="5" s="1"/>
  <c r="R10" i="5" s="1"/>
  <c r="Q10" i="5" s="1"/>
  <c r="P10" i="5" s="1"/>
  <c r="K10" i="5"/>
  <c r="L10" i="5" s="1"/>
  <c r="AA9" i="5"/>
  <c r="Z9" i="5" s="1"/>
  <c r="Y9" i="5" s="1"/>
  <c r="X9" i="5" s="1"/>
  <c r="U9" i="5" s="1"/>
  <c r="O9" i="5"/>
  <c r="AB9" i="5" s="1"/>
  <c r="T9" i="5" s="1"/>
  <c r="S9" i="5" s="1"/>
  <c r="R9" i="5" s="1"/>
  <c r="Q9" i="5" s="1"/>
  <c r="P9" i="5" s="1"/>
  <c r="AC8" i="5"/>
  <c r="AA8" i="5" s="1"/>
  <c r="Z8" i="5" s="1"/>
  <c r="Y8" i="5" s="1"/>
  <c r="X8" i="5" s="1"/>
  <c r="U8" i="5" s="1"/>
  <c r="N8" i="5"/>
  <c r="O8" i="5" s="1"/>
  <c r="AB8" i="5" s="1"/>
  <c r="T8" i="5" s="1"/>
  <c r="S8" i="5" s="1"/>
  <c r="R8" i="5" s="1"/>
  <c r="Q8" i="5" s="1"/>
  <c r="P8" i="5" s="1"/>
  <c r="L8" i="5"/>
  <c r="AC7" i="5"/>
  <c r="AA7" i="5" s="1"/>
  <c r="Z7" i="5" s="1"/>
  <c r="Y7" i="5" s="1"/>
  <c r="X7" i="5" s="1"/>
  <c r="U7" i="5" s="1"/>
  <c r="N7" i="5"/>
  <c r="O7" i="5" s="1"/>
  <c r="AB7" i="5" s="1"/>
  <c r="T7" i="5" s="1"/>
  <c r="S7" i="5" s="1"/>
  <c r="R7" i="5" s="1"/>
  <c r="Q7" i="5" s="1"/>
  <c r="P7" i="5" s="1"/>
  <c r="L7" i="5"/>
  <c r="AA6" i="5"/>
  <c r="Z6" i="5" s="1"/>
  <c r="Y6" i="5" s="1"/>
  <c r="X6" i="5" s="1"/>
  <c r="U6" i="5" s="1"/>
  <c r="N6" i="5"/>
  <c r="O6" i="5" s="1"/>
  <c r="AB6" i="5" s="1"/>
  <c r="T6" i="5" s="1"/>
  <c r="S6" i="5" s="1"/>
  <c r="R6" i="5" s="1"/>
  <c r="Q6" i="5" s="1"/>
  <c r="P6" i="5" s="1"/>
  <c r="L6" i="5"/>
  <c r="AC5" i="5"/>
  <c r="N5" i="5"/>
  <c r="O5" i="5" s="1"/>
  <c r="L5" i="5"/>
  <c r="O60" i="5" l="1"/>
  <c r="AB5" i="5"/>
  <c r="AC60" i="5"/>
  <c r="L60" i="5"/>
  <c r="M60" i="5"/>
  <c r="N60" i="5"/>
  <c r="K60" i="5"/>
  <c r="AA5" i="5"/>
  <c r="AB60" i="5" l="1"/>
  <c r="AC63" i="5" s="1"/>
  <c r="T5" i="5"/>
  <c r="AA60" i="5"/>
  <c r="Z5" i="5"/>
  <c r="Y5" i="5" l="1"/>
  <c r="Z60" i="5"/>
  <c r="T60" i="5"/>
  <c r="S5" i="5"/>
  <c r="Y60" i="5" l="1"/>
  <c r="X5" i="5"/>
  <c r="S60" i="5"/>
  <c r="R5" i="5"/>
  <c r="X60" i="5" l="1"/>
  <c r="U5" i="5"/>
  <c r="U60" i="5" s="1"/>
  <c r="R60" i="5"/>
  <c r="AA63" i="5" s="1"/>
  <c r="Q5" i="5"/>
  <c r="Q60" i="5" l="1"/>
  <c r="Q63" i="5" s="1"/>
  <c r="P60" i="5" l="1"/>
  <c r="P63" i="5" s="1"/>
</calcChain>
</file>

<file path=xl/sharedStrings.xml><?xml version="1.0" encoding="utf-8"?>
<sst xmlns="http://schemas.openxmlformats.org/spreadsheetml/2006/main" count="566" uniqueCount="206">
  <si>
    <t>Adres</t>
  </si>
  <si>
    <t>Postcode</t>
  </si>
  <si>
    <t>Plaats</t>
  </si>
  <si>
    <t>Bouwaard</t>
  </si>
  <si>
    <t>Bestemming</t>
  </si>
  <si>
    <t>Getaxeerd</t>
  </si>
  <si>
    <t>onderdeel</t>
  </si>
  <si>
    <t>Belang</t>
  </si>
  <si>
    <t>Som nieuw</t>
  </si>
  <si>
    <t>Verzekerde som</t>
  </si>
  <si>
    <t xml:space="preserve">Verzekerde som </t>
  </si>
  <si>
    <t>Inbraakmeldinstallatie</t>
  </si>
  <si>
    <t>Brandmeldinstallatie</t>
  </si>
  <si>
    <t>Sprinklerinstallatie</t>
  </si>
  <si>
    <t>Zonnepanelen</t>
  </si>
  <si>
    <t>Scope 12 keuring zonnepanelen</t>
  </si>
  <si>
    <t>gebouwen</t>
  </si>
  <si>
    <t xml:space="preserve">gebouwen </t>
  </si>
  <si>
    <t>inventaris</t>
  </si>
  <si>
    <t>indexcijfer 121,0</t>
  </si>
  <si>
    <t>indexcijfer 123,1</t>
  </si>
  <si>
    <t>indexcijfer 125,8</t>
  </si>
  <si>
    <t>indexcijfer 134,2</t>
  </si>
  <si>
    <t>Per 01-01-2025</t>
  </si>
  <si>
    <t>per 01-01-2024, indexcijfer Q4-2023 125,2</t>
  </si>
  <si>
    <t>per 01-01-2023
indexcijfer 124</t>
  </si>
  <si>
    <t>per 01-01-2022
indexcijfer 113,9</t>
  </si>
  <si>
    <t>per 01-01-2021
indexcijfer 108</t>
  </si>
  <si>
    <t xml:space="preserve">Per 01-01-2025. </t>
  </si>
  <si>
    <t>Per 1-1-2026</t>
  </si>
  <si>
    <t>per 01-01-2024, indexcijfer Q4-2023, 123,3</t>
  </si>
  <si>
    <t>per 01-01-2023 indexcijfer 122</t>
  </si>
  <si>
    <t>per 01-01-2022 indexcijfer 109,2</t>
  </si>
  <si>
    <t>per 01-01-2021 indexcijfer 103,5</t>
  </si>
  <si>
    <t>per 01-01-2020
indexcijfer 144,3</t>
  </si>
  <si>
    <t>MUTATIE 01-01-2026</t>
  </si>
  <si>
    <t>Aalbersestr 2-4</t>
  </si>
  <si>
    <t>3404 JS</t>
  </si>
  <si>
    <t>IJsselstein</t>
  </si>
  <si>
    <t>Steen/Hard</t>
  </si>
  <si>
    <t>RK Basisscholen De Ark en De Ark van Noach</t>
  </si>
  <si>
    <t>#1, #2</t>
  </si>
  <si>
    <t>Onderwijs</t>
  </si>
  <si>
    <t>Kamerlingh Onneslaan 26</t>
  </si>
  <si>
    <t>3401 JB</t>
  </si>
  <si>
    <t>steen/hard</t>
  </si>
  <si>
    <t>Gemeentewerf/afvalbrengstation</t>
  </si>
  <si>
    <t>#1</t>
  </si>
  <si>
    <t>overige eigendommen</t>
  </si>
  <si>
    <t>Taxatie?</t>
  </si>
  <si>
    <t>Baden Powellweg 1</t>
  </si>
  <si>
    <t>3401 RR</t>
  </si>
  <si>
    <t>Middelbare school voor praktijkondewijs de Baanbreker</t>
  </si>
  <si>
    <t>Baden Powellweg 3</t>
  </si>
  <si>
    <t>Schoolgebouw voor opvang van vluchtelingen Oekraine</t>
  </si>
  <si>
    <t>Baden Powellweg 6</t>
  </si>
  <si>
    <t>Werkplaats en kantoren sociale werkvoorziening</t>
  </si>
  <si>
    <t>Benschopperstr 39-41-41A</t>
  </si>
  <si>
    <t>3401 DG</t>
  </si>
  <si>
    <t>VVV-Kantoor annex verenigingslokaal en opslag ect.</t>
  </si>
  <si>
    <t>Benschopperstraat 39</t>
  </si>
  <si>
    <t>#2</t>
  </si>
  <si>
    <t>Benschopperstr 43</t>
  </si>
  <si>
    <t>Gebouw "Marienberg" dienende tot restaurant en wooneenheden</t>
  </si>
  <si>
    <t>Duitslandstraat 7A + B</t>
  </si>
  <si>
    <t>3402 TJ</t>
  </si>
  <si>
    <t>Voormalige 2 klassige school "De IJsselhoek", Thans verenigingsgebouw</t>
  </si>
  <si>
    <t>Europalaan 1</t>
  </si>
  <si>
    <t>3402 TZ</t>
  </si>
  <si>
    <t>Steen/hard</t>
  </si>
  <si>
    <t>Kindcentrum WIJ</t>
  </si>
  <si>
    <t>Eiteren 13A</t>
  </si>
  <si>
    <t>3401 PS</t>
  </si>
  <si>
    <t>Parkeergarage</t>
  </si>
  <si>
    <t>Eiteren ong.</t>
  </si>
  <si>
    <t>Knekelhuisje op begraafplaats</t>
  </si>
  <si>
    <t>Hazenveld ong.</t>
  </si>
  <si>
    <t>2 Wasunits op woonwagenkamp</t>
  </si>
  <si>
    <t>Heemradenlaan 26-28</t>
  </si>
  <si>
    <t>3401 GX</t>
  </si>
  <si>
    <t>OBS Basisschool de Trekvogel</t>
  </si>
  <si>
    <t>Heemradenlaan 30-32</t>
  </si>
  <si>
    <t>R.K. Basisschool "De Opstap"</t>
  </si>
  <si>
    <t>Heemradenlaan 34, 34a, 36 en 38</t>
  </si>
  <si>
    <t>Steen/Staal</t>
  </si>
  <si>
    <t>Sporthal achterveld d.t. bewegingsonderwijs, sport, peuterspeelzaal, vergaderen en horeca</t>
  </si>
  <si>
    <t>Heemradenlaan 42-44</t>
  </si>
  <si>
    <t xml:space="preserve">P.C. Basisschool De Brug, </t>
  </si>
  <si>
    <t>Heemradenlaan ongen.</t>
  </si>
  <si>
    <t>Kleedgebouw sportcomplex Groenvliet</t>
  </si>
  <si>
    <t>Hogedijk 1</t>
  </si>
  <si>
    <t>3401 RD</t>
  </si>
  <si>
    <t>Vo Cals College</t>
  </si>
  <si>
    <t>IJsselstraat 2</t>
  </si>
  <si>
    <t>3401 DK</t>
  </si>
  <si>
    <t>"Het Brandspuithuisje"</t>
  </si>
  <si>
    <t>J W Frisolaan 2</t>
  </si>
  <si>
    <t>3401 AX</t>
  </si>
  <si>
    <t>OBS Het Kasteel</t>
  </si>
  <si>
    <t>Kronenburgplantsoen 2</t>
  </si>
  <si>
    <t>3401 BP</t>
  </si>
  <si>
    <t>Toren Oude St. Nicolaaskerk incl. carillon en luidlokalen</t>
  </si>
  <si>
    <t>Lagebiezen 4</t>
  </si>
  <si>
    <t>3401 NG</t>
  </si>
  <si>
    <t>Schoolgebouw (leegstand)</t>
  </si>
  <si>
    <t>Nu leegstaand; geen opvang meer.</t>
  </si>
  <si>
    <t>Lagebiezen 6</t>
  </si>
  <si>
    <t>Basisschool "Nicolaas" (leegstaand)</t>
  </si>
  <si>
    <t>Merkelbachlaan 2</t>
  </si>
  <si>
    <t>3404 EX</t>
  </si>
  <si>
    <t>Multifunctioneel centrum</t>
  </si>
  <si>
    <t>Mr. Abbink Spainkstraat 36</t>
  </si>
  <si>
    <t>3401 ZH</t>
  </si>
  <si>
    <t>School (leegstand)</t>
  </si>
  <si>
    <t>Afvoeren. Is verkocht</t>
  </si>
  <si>
    <t>Oranje Nassaulaan 50</t>
  </si>
  <si>
    <t>3402 CS</t>
  </si>
  <si>
    <t>Staal/Hout/Houtwolcement</t>
  </si>
  <si>
    <t>Sporthal</t>
  </si>
  <si>
    <t>Hertaxatie n.a.v. grote renovatie?</t>
  </si>
  <si>
    <t>Nicolaasstraat 12</t>
  </si>
  <si>
    <t>3401 BS</t>
  </si>
  <si>
    <t>Toren St. Nicolaasbasiliek incl. 3 luidlokalen</t>
  </si>
  <si>
    <t>Noord IJsseldijk 57</t>
  </si>
  <si>
    <t>3402 PG</t>
  </si>
  <si>
    <t>Aula Begraafplaats</t>
  </si>
  <si>
    <t>Oranjebrug ONG. A/D IJSSEL</t>
  </si>
  <si>
    <t>Staal/Staal</t>
  </si>
  <si>
    <t>Brugwachterhuisje</t>
  </si>
  <si>
    <t>Overtoom 1-3</t>
  </si>
  <si>
    <t>3401 BK</t>
  </si>
  <si>
    <t>Gemeentehuis, parkeergararage, theater/bioscoop met grandcafé</t>
  </si>
  <si>
    <t>Overtoom 1</t>
  </si>
  <si>
    <t>Gemeentehuis</t>
  </si>
  <si>
    <t>Planetenbaan 40</t>
  </si>
  <si>
    <t>3402 HP</t>
  </si>
  <si>
    <t>Openbare Basisschool "De Tandem</t>
  </si>
  <si>
    <t>Planetenbaan 42, 44, 46</t>
  </si>
  <si>
    <t>Kinderdagverblijf, peuterspeelzaal en buitenschoolse kinderopvang</t>
  </si>
  <si>
    <t>Poortdijk 36</t>
  </si>
  <si>
    <t>3402 BS</t>
  </si>
  <si>
    <t>Praagsingel 378</t>
  </si>
  <si>
    <t>3404 CT</t>
  </si>
  <si>
    <t>Peuterspeelzaal</t>
  </si>
  <si>
    <t>R.J. van der Heydenweg 244</t>
  </si>
  <si>
    <t>3401 RJ</t>
  </si>
  <si>
    <t>Brandweergarage</t>
  </si>
  <si>
    <t>Frankrijkstraat 63</t>
  </si>
  <si>
    <t>3402 BH</t>
  </si>
  <si>
    <t>Zwembad "De Hooghe Waerd"</t>
  </si>
  <si>
    <t>St. Petersburglaan 25</t>
  </si>
  <si>
    <t>3404 CV</t>
  </si>
  <si>
    <t>Schoolgebouw SBO De Wenteltrap</t>
  </si>
  <si>
    <t>St. Petersburglaan 27-31</t>
  </si>
  <si>
    <t>Sport + Horeca. Scheidingswand (kunststof) in een sporthal</t>
  </si>
  <si>
    <t>St. Petersburglaan 29 / Merkelbachlaan 2</t>
  </si>
  <si>
    <t>3404 CV / 3404 WX</t>
  </si>
  <si>
    <t>De Torenuil</t>
  </si>
  <si>
    <t>St. Petersburglaan 33</t>
  </si>
  <si>
    <t xml:space="preserve">PC Basisschool de Pijler </t>
  </si>
  <si>
    <t>Televisiebaan 106</t>
  </si>
  <si>
    <t>3402 VH</t>
  </si>
  <si>
    <t>Jenaplanschool "De Overkant" (leegstand)</t>
  </si>
  <si>
    <t>Afvoeren. Is gesloopt</t>
  </si>
  <si>
    <t>Televisiebaan 143</t>
  </si>
  <si>
    <t>3402 VD</t>
  </si>
  <si>
    <t>Staal/Sandwich</t>
  </si>
  <si>
    <t>Buurthuis Studio 10</t>
  </si>
  <si>
    <t>Touwlaan 23</t>
  </si>
  <si>
    <t>3401 CA</t>
  </si>
  <si>
    <t>School (Kindcentrum) De Minstreel</t>
  </si>
  <si>
    <t>Utrechtsestraat 14</t>
  </si>
  <si>
    <t>3401 CV</t>
  </si>
  <si>
    <t>Woonhuis</t>
  </si>
  <si>
    <t>Utrechtsestraat 79
Weidstraat 1, 3</t>
  </si>
  <si>
    <t>3401 CT
3401 DL</t>
  </si>
  <si>
    <t>IJsselstein
IJsselstein</t>
  </si>
  <si>
    <t>Oude Stadhuis-Museum-Restaurant</t>
  </si>
  <si>
    <t>Zomerdijk 42</t>
  </si>
  <si>
    <t>3402 MJ</t>
  </si>
  <si>
    <t>Kleedgebouw HCIJ (hockeyvereniging)</t>
  </si>
  <si>
    <t>Zomerdijk 42A en 42B</t>
  </si>
  <si>
    <t>Kleedgebouw</t>
  </si>
  <si>
    <t>Zomerdijk 42C</t>
  </si>
  <si>
    <t>Sporthal De Oever</t>
  </si>
  <si>
    <t>Zomerdijk 43</t>
  </si>
  <si>
    <t>Agnesschool</t>
  </si>
  <si>
    <t xml:space="preserve">Buiten vaste taxatie </t>
  </si>
  <si>
    <t>Totaal</t>
  </si>
  <si>
    <t>#1 gebouwen getaxeerd door  J.L. van der Mark d.d. 14-07-2017, rapportnummer 41179/17</t>
  </si>
  <si>
    <t>#2 inventaris getaxeerd door  J.L. van der Mark d.d. 14-07-2017, rapportnummer 41179/17 (waarde opgenomen exclusief computer)</t>
  </si>
  <si>
    <t xml:space="preserve">Ingangsdatum </t>
  </si>
  <si>
    <t xml:space="preserve">Wat? </t>
  </si>
  <si>
    <t xml:space="preserve">Waar? </t>
  </si>
  <si>
    <t>Gebouwen</t>
  </si>
  <si>
    <t>Inventaris</t>
  </si>
  <si>
    <t>Opvoer</t>
  </si>
  <si>
    <t>Afvoer</t>
  </si>
  <si>
    <t xml:space="preserve">Afvoer </t>
  </si>
  <si>
    <t>School is verkocht</t>
  </si>
  <si>
    <t>School is gesloopt</t>
  </si>
  <si>
    <t>Buurthuis is gesloopt</t>
  </si>
  <si>
    <t>ADC 2025</t>
  </si>
  <si>
    <t>X</t>
  </si>
  <si>
    <t>X*</t>
  </si>
  <si>
    <t>*Recent uitgevoerd. Afkeurpunten zijn hersteld we wachten 15-09-26 op herkeuring. Eind Oktober zal dit ongeveer gereed zijn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</si>
</sst>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* #,##0.00_-;_-* #,##0.00\-;_-* &quot;-&quot;??_-;_-@_-"/>
    <numFmt numFmtId="165" formatCode="#,##0_ ;[Red]\-#,##0\ "/>
    <numFmt numFmtId="166" formatCode="_-[$€-413]\ * #,##0.00_-;_-[$€-413]\ * #,##0.00\-;_-[$€-413]\ * &quot;-&quot;??_-;_-@_-"/>
    <numFmt numFmtId="167" formatCode="_ [$€-413]\ * #,##0.00_ ;_ [$€-413]\ * \-#,##0.00_ ;_ [$€-413]\ * &quot;-&quot;??_ ;_ @_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</cellStyleXfs>
  <cellXfs count="184">
    <xf numFmtId="0" fontId="0" fillId="0" borderId="0" xfId="0"/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horizontal="center"/>
    </xf>
    <xf numFmtId="0" fontId="1" fillId="0" borderId="1" xfId="1" applyBorder="1" applyAlignment="1">
      <alignment horizontal="left"/>
    </xf>
    <xf numFmtId="165" fontId="1" fillId="0" borderId="0" xfId="1" applyNumberFormat="1" applyAlignment="1">
      <alignment horizontal="center"/>
    </xf>
    <xf numFmtId="166" fontId="1" fillId="2" borderId="0" xfId="1" applyNumberFormat="1" applyFill="1"/>
    <xf numFmtId="166" fontId="1" fillId="2" borderId="1" xfId="1" applyNumberFormat="1" applyFill="1" applyBorder="1"/>
    <xf numFmtId="0" fontId="1" fillId="0" borderId="1" xfId="1" applyBorder="1" applyAlignment="1">
      <alignment horizontal="left" vertical="top"/>
    </xf>
    <xf numFmtId="0" fontId="1" fillId="0" borderId="0" xfId="1" applyAlignment="1">
      <alignment horizontal="center" vertical="top"/>
    </xf>
    <xf numFmtId="0" fontId="2" fillId="3" borderId="4" xfId="1" applyFont="1" applyFill="1" applyBorder="1" applyAlignment="1">
      <alignment horizontal="left" wrapText="1"/>
    </xf>
    <xf numFmtId="0" fontId="2" fillId="3" borderId="5" xfId="1" applyFont="1" applyFill="1" applyBorder="1" applyAlignment="1">
      <alignment horizontal="left" vertical="top" wrapText="1"/>
    </xf>
    <xf numFmtId="0" fontId="2" fillId="3" borderId="5" xfId="1" applyFont="1" applyFill="1" applyBorder="1" applyAlignment="1">
      <alignment horizontal="left" wrapText="1"/>
    </xf>
    <xf numFmtId="0" fontId="2" fillId="3" borderId="5" xfId="1" applyFont="1" applyFill="1" applyBorder="1" applyAlignment="1">
      <alignment horizontal="center"/>
    </xf>
    <xf numFmtId="166" fontId="2" fillId="3" borderId="5" xfId="1" applyNumberFormat="1" applyFont="1" applyFill="1" applyBorder="1" applyAlignment="1">
      <alignment horizontal="center"/>
    </xf>
    <xf numFmtId="0" fontId="2" fillId="3" borderId="7" xfId="1" applyFont="1" applyFill="1" applyBorder="1" applyAlignment="1">
      <alignment horizontal="left" wrapText="1"/>
    </xf>
    <xf numFmtId="0" fontId="2" fillId="3" borderId="0" xfId="1" applyFont="1" applyFill="1" applyAlignment="1">
      <alignment horizontal="left" wrapText="1"/>
    </xf>
    <xf numFmtId="0" fontId="2" fillId="3" borderId="0" xfId="1" applyFont="1" applyFill="1" applyAlignment="1">
      <alignment horizontal="center"/>
    </xf>
    <xf numFmtId="166" fontId="2" fillId="3" borderId="0" xfId="1" applyNumberFormat="1" applyFont="1" applyFill="1" applyAlignment="1">
      <alignment horizontal="center"/>
    </xf>
    <xf numFmtId="0" fontId="2" fillId="3" borderId="9" xfId="1" applyFont="1" applyFill="1" applyBorder="1" applyAlignment="1">
      <alignment horizontal="left" wrapText="1"/>
    </xf>
    <xf numFmtId="0" fontId="2" fillId="3" borderId="10" xfId="1" applyFont="1" applyFill="1" applyBorder="1" applyAlignment="1">
      <alignment horizontal="left" wrapText="1"/>
    </xf>
    <xf numFmtId="0" fontId="2" fillId="3" borderId="10" xfId="1" applyFont="1" applyFill="1" applyBorder="1" applyAlignment="1">
      <alignment horizontal="center"/>
    </xf>
    <xf numFmtId="166" fontId="2" fillId="3" borderId="10" xfId="1" applyNumberFormat="1" applyFont="1" applyFill="1" applyBorder="1" applyAlignment="1">
      <alignment horizontal="center"/>
    </xf>
    <xf numFmtId="0" fontId="1" fillId="0" borderId="0" xfId="0" applyFont="1"/>
    <xf numFmtId="166" fontId="1" fillId="0" borderId="1" xfId="0" applyNumberFormat="1" applyFont="1" applyBorder="1"/>
    <xf numFmtId="0" fontId="1" fillId="0" borderId="1" xfId="0" applyFont="1" applyBorder="1"/>
    <xf numFmtId="0" fontId="1" fillId="0" borderId="0" xfId="0" applyFont="1" applyAlignment="1">
      <alignment vertical="top"/>
    </xf>
    <xf numFmtId="0" fontId="2" fillId="3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166" fontId="4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left"/>
    </xf>
    <xf numFmtId="44" fontId="1" fillId="0" borderId="0" xfId="3" applyFont="1"/>
    <xf numFmtId="167" fontId="1" fillId="0" borderId="0" xfId="0" applyNumberFormat="1" applyFont="1"/>
    <xf numFmtId="44" fontId="1" fillId="0" borderId="0" xfId="3" applyFont="1" applyFill="1"/>
    <xf numFmtId="44" fontId="2" fillId="0" borderId="0" xfId="3" applyFont="1"/>
    <xf numFmtId="44" fontId="1" fillId="0" borderId="1" xfId="3" applyFont="1" applyFill="1" applyBorder="1"/>
    <xf numFmtId="166" fontId="1" fillId="0" borderId="3" xfId="0" applyNumberFormat="1" applyFont="1" applyBorder="1"/>
    <xf numFmtId="166" fontId="1" fillId="0" borderId="0" xfId="1" applyNumberFormat="1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166" fontId="1" fillId="0" borderId="1" xfId="0" applyNumberFormat="1" applyFont="1" applyBorder="1" applyAlignment="1">
      <alignment vertical="top"/>
    </xf>
    <xf numFmtId="43" fontId="1" fillId="0" borderId="1" xfId="4" applyFont="1" applyFill="1" applyBorder="1"/>
    <xf numFmtId="166" fontId="1" fillId="0" borderId="0" xfId="1" applyNumberFormat="1" applyAlignment="1">
      <alignment vertical="top"/>
    </xf>
    <xf numFmtId="166" fontId="1" fillId="0" borderId="1" xfId="1" applyNumberFormat="1" applyBorder="1"/>
    <xf numFmtId="0" fontId="1" fillId="0" borderId="1" xfId="1" applyBorder="1"/>
    <xf numFmtId="166" fontId="1" fillId="0" borderId="13" xfId="0" applyNumberFormat="1" applyFont="1" applyBorder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/>
    </xf>
    <xf numFmtId="166" fontId="1" fillId="4" borderId="14" xfId="0" applyNumberFormat="1" applyFont="1" applyFill="1" applyBorder="1" applyAlignment="1">
      <alignment vertical="top"/>
    </xf>
    <xf numFmtId="0" fontId="1" fillId="4" borderId="1" xfId="0" applyFont="1" applyFill="1" applyBorder="1"/>
    <xf numFmtId="166" fontId="1" fillId="4" borderId="1" xfId="0" applyNumberFormat="1" applyFont="1" applyFill="1" applyBorder="1"/>
    <xf numFmtId="44" fontId="1" fillId="4" borderId="1" xfId="3" applyFont="1" applyFill="1" applyBorder="1" applyAlignment="1">
      <alignment vertical="top"/>
    </xf>
    <xf numFmtId="166" fontId="1" fillId="4" borderId="1" xfId="0" applyNumberFormat="1" applyFont="1" applyFill="1" applyBorder="1" applyAlignment="1">
      <alignment vertical="top"/>
    </xf>
    <xf numFmtId="166" fontId="4" fillId="4" borderId="0" xfId="0" applyNumberFormat="1" applyFont="1" applyFill="1" applyAlignment="1">
      <alignment vertical="top"/>
    </xf>
    <xf numFmtId="166" fontId="4" fillId="4" borderId="0" xfId="0" applyNumberFormat="1" applyFont="1" applyFill="1"/>
    <xf numFmtId="166" fontId="1" fillId="4" borderId="0" xfId="0" applyNumberFormat="1" applyFont="1" applyFill="1" applyAlignment="1">
      <alignment vertical="top"/>
    </xf>
    <xf numFmtId="166" fontId="1" fillId="4" borderId="0" xfId="0" applyNumberFormat="1" applyFont="1" applyFill="1"/>
    <xf numFmtId="167" fontId="2" fillId="4" borderId="2" xfId="0" applyNumberFormat="1" applyFont="1" applyFill="1" applyBorder="1"/>
    <xf numFmtId="166" fontId="1" fillId="0" borderId="12" xfId="0" applyNumberFormat="1" applyFont="1" applyBorder="1"/>
    <xf numFmtId="0" fontId="1" fillId="0" borderId="12" xfId="1" applyBorder="1" applyAlignment="1">
      <alignment horizontal="left"/>
    </xf>
    <xf numFmtId="0" fontId="1" fillId="0" borderId="12" xfId="0" applyFont="1" applyBorder="1"/>
    <xf numFmtId="166" fontId="1" fillId="0" borderId="25" xfId="0" applyNumberFormat="1" applyFont="1" applyBorder="1"/>
    <xf numFmtId="166" fontId="1" fillId="0" borderId="26" xfId="0" applyNumberFormat="1" applyFont="1" applyBorder="1"/>
    <xf numFmtId="0" fontId="1" fillId="0" borderId="22" xfId="0" applyFont="1" applyBorder="1" applyAlignment="1">
      <alignment horizontal="left" wrapText="1"/>
    </xf>
    <xf numFmtId="166" fontId="1" fillId="0" borderId="27" xfId="0" applyNumberFormat="1" applyFont="1" applyBorder="1"/>
    <xf numFmtId="0" fontId="1" fillId="0" borderId="27" xfId="1" applyBorder="1" applyAlignment="1">
      <alignment horizontal="left"/>
    </xf>
    <xf numFmtId="0" fontId="1" fillId="0" borderId="27" xfId="1" applyBorder="1" applyAlignment="1">
      <alignment horizontal="center"/>
    </xf>
    <xf numFmtId="166" fontId="1" fillId="2" borderId="27" xfId="1" applyNumberFormat="1" applyFill="1" applyBorder="1"/>
    <xf numFmtId="0" fontId="1" fillId="0" borderId="27" xfId="0" applyFont="1" applyBorder="1"/>
    <xf numFmtId="0" fontId="2" fillId="2" borderId="5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6" fontId="1" fillId="2" borderId="14" xfId="0" applyNumberFormat="1" applyFont="1" applyFill="1" applyBorder="1" applyAlignment="1">
      <alignment vertical="top"/>
    </xf>
    <xf numFmtId="166" fontId="1" fillId="2" borderId="1" xfId="0" applyNumberFormat="1" applyFont="1" applyFill="1" applyBorder="1" applyAlignment="1">
      <alignment vertical="top"/>
    </xf>
    <xf numFmtId="166" fontId="1" fillId="2" borderId="17" xfId="0" applyNumberFormat="1" applyFont="1" applyFill="1" applyBorder="1"/>
    <xf numFmtId="166" fontId="1" fillId="2" borderId="12" xfId="0" applyNumberFormat="1" applyFont="1" applyFill="1" applyBorder="1" applyAlignment="1">
      <alignment vertical="top"/>
    </xf>
    <xf numFmtId="166" fontId="1" fillId="2" borderId="23" xfId="0" applyNumberFormat="1" applyFont="1" applyFill="1" applyBorder="1" applyAlignment="1">
      <alignment vertical="top"/>
    </xf>
    <xf numFmtId="166" fontId="1" fillId="2" borderId="18" xfId="0" applyNumberFormat="1" applyFont="1" applyFill="1" applyBorder="1"/>
    <xf numFmtId="166" fontId="1" fillId="2" borderId="1" xfId="0" applyNumberFormat="1" applyFont="1" applyFill="1" applyBorder="1"/>
    <xf numFmtId="166" fontId="1" fillId="2" borderId="27" xfId="0" applyNumberFormat="1" applyFont="1" applyFill="1" applyBorder="1" applyAlignment="1">
      <alignment vertical="top"/>
    </xf>
    <xf numFmtId="166" fontId="1" fillId="2" borderId="27" xfId="0" applyNumberFormat="1" applyFont="1" applyFill="1" applyBorder="1"/>
    <xf numFmtId="166" fontId="4" fillId="2" borderId="9" xfId="0" applyNumberFormat="1" applyFont="1" applyFill="1" applyBorder="1" applyAlignment="1">
      <alignment vertical="top"/>
    </xf>
    <xf numFmtId="166" fontId="4" fillId="2" borderId="11" xfId="0" applyNumberFormat="1" applyFont="1" applyFill="1" applyBorder="1"/>
    <xf numFmtId="166" fontId="4" fillId="2" borderId="0" xfId="0" applyNumberFormat="1" applyFont="1" applyFill="1" applyAlignment="1">
      <alignment vertical="top"/>
    </xf>
    <xf numFmtId="166" fontId="4" fillId="2" borderId="0" xfId="0" applyNumberFormat="1" applyFont="1" applyFill="1"/>
    <xf numFmtId="166" fontId="1" fillId="2" borderId="0" xfId="0" applyNumberFormat="1" applyFont="1" applyFill="1"/>
    <xf numFmtId="166" fontId="2" fillId="2" borderId="2" xfId="0" applyNumberFormat="1" applyFont="1" applyFill="1" applyBorder="1"/>
    <xf numFmtId="0" fontId="1" fillId="2" borderId="0" xfId="0" applyFont="1" applyFill="1"/>
    <xf numFmtId="166" fontId="4" fillId="0" borderId="28" xfId="0" applyNumberFormat="1" applyFont="1" applyBorder="1"/>
    <xf numFmtId="0" fontId="1" fillId="0" borderId="29" xfId="0" applyFont="1" applyBorder="1"/>
    <xf numFmtId="166" fontId="1" fillId="0" borderId="29" xfId="0" applyNumberFormat="1" applyFont="1" applyBorder="1"/>
    <xf numFmtId="166" fontId="4" fillId="0" borderId="29" xfId="0" applyNumberFormat="1" applyFont="1" applyBorder="1"/>
    <xf numFmtId="166" fontId="1" fillId="0" borderId="14" xfId="0" applyNumberFormat="1" applyFont="1" applyBorder="1" applyAlignment="1">
      <alignment vertical="top"/>
    </xf>
    <xf numFmtId="166" fontId="1" fillId="0" borderId="17" xfId="0" applyNumberFormat="1" applyFont="1" applyBorder="1"/>
    <xf numFmtId="0" fontId="1" fillId="2" borderId="1" xfId="1" applyFill="1" applyBorder="1" applyAlignment="1">
      <alignment horizontal="center"/>
    </xf>
    <xf numFmtId="0" fontId="1" fillId="2" borderId="1" xfId="1" applyFill="1" applyBorder="1" applyAlignment="1">
      <alignment horizontal="left"/>
    </xf>
    <xf numFmtId="0" fontId="1" fillId="2" borderId="0" xfId="1" applyFill="1" applyAlignment="1">
      <alignment horizontal="center"/>
    </xf>
    <xf numFmtId="0" fontId="1" fillId="2" borderId="0" xfId="1" applyFill="1"/>
    <xf numFmtId="166" fontId="1" fillId="2" borderId="3" xfId="0" applyNumberFormat="1" applyFont="1" applyFill="1" applyBorder="1"/>
    <xf numFmtId="166" fontId="1" fillId="2" borderId="13" xfId="0" applyNumberFormat="1" applyFont="1" applyFill="1" applyBorder="1"/>
    <xf numFmtId="0" fontId="1" fillId="2" borderId="1" xfId="0" applyFont="1" applyFill="1" applyBorder="1"/>
    <xf numFmtId="0" fontId="1" fillId="2" borderId="1" xfId="1" applyFill="1" applyBorder="1"/>
    <xf numFmtId="166" fontId="1" fillId="0" borderId="15" xfId="0" applyNumberFormat="1" applyFont="1" applyBorder="1" applyAlignment="1">
      <alignment vertical="top"/>
    </xf>
    <xf numFmtId="0" fontId="1" fillId="0" borderId="1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 wrapText="1"/>
    </xf>
    <xf numFmtId="166" fontId="6" fillId="0" borderId="30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wrapText="1"/>
    </xf>
    <xf numFmtId="166" fontId="6" fillId="0" borderId="9" xfId="0" applyNumberFormat="1" applyFont="1" applyBorder="1" applyAlignment="1">
      <alignment vertical="top"/>
    </xf>
    <xf numFmtId="166" fontId="4" fillId="0" borderId="0" xfId="0" applyNumberFormat="1" applyFont="1" applyAlignment="1">
      <alignment vertical="top"/>
    </xf>
    <xf numFmtId="0" fontId="1" fillId="0" borderId="1" xfId="1" applyBorder="1" applyAlignment="1">
      <alignment horizontal="left" wrapText="1"/>
    </xf>
    <xf numFmtId="0" fontId="1" fillId="0" borderId="1" xfId="1" applyBorder="1" applyAlignment="1">
      <alignment horizontal="left" vertical="top" wrapText="1"/>
    </xf>
    <xf numFmtId="0" fontId="1" fillId="0" borderId="1" xfId="1" applyBorder="1" applyAlignment="1">
      <alignment horizontal="center" vertical="top"/>
    </xf>
    <xf numFmtId="0" fontId="1" fillId="2" borderId="1" xfId="1" applyFill="1" applyBorder="1" applyAlignment="1">
      <alignment horizontal="left" wrapText="1"/>
    </xf>
    <xf numFmtId="0" fontId="1" fillId="0" borderId="12" xfId="1" applyBorder="1" applyAlignment="1">
      <alignment horizontal="left" wrapText="1"/>
    </xf>
    <xf numFmtId="0" fontId="1" fillId="0" borderId="24" xfId="1" applyBorder="1" applyAlignment="1">
      <alignment horizontal="center"/>
    </xf>
    <xf numFmtId="0" fontId="1" fillId="0" borderId="0" xfId="1" applyAlignment="1">
      <alignment horizontal="left" wrapText="1"/>
    </xf>
    <xf numFmtId="0" fontId="1" fillId="0" borderId="27" xfId="1" applyBorder="1" applyAlignment="1">
      <alignment horizontal="left" wrapText="1"/>
    </xf>
    <xf numFmtId="166" fontId="1" fillId="2" borderId="15" xfId="0" applyNumberFormat="1" applyFont="1" applyFill="1" applyBorder="1" applyAlignment="1">
      <alignment vertical="top"/>
    </xf>
    <xf numFmtId="0" fontId="7" fillId="3" borderId="10" xfId="0" applyFont="1" applyFill="1" applyBorder="1" applyAlignment="1">
      <alignment horizontal="center" vertical="top" wrapText="1"/>
    </xf>
    <xf numFmtId="166" fontId="6" fillId="5" borderId="29" xfId="0" applyNumberFormat="1" applyFont="1" applyFill="1" applyBorder="1"/>
    <xf numFmtId="166" fontId="6" fillId="5" borderId="9" xfId="0" applyNumberFormat="1" applyFont="1" applyFill="1" applyBorder="1" applyAlignment="1">
      <alignment vertical="top"/>
    </xf>
    <xf numFmtId="0" fontId="2" fillId="3" borderId="6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 vertical="top" wrapText="1"/>
    </xf>
    <xf numFmtId="0" fontId="1" fillId="0" borderId="3" xfId="1" applyBorder="1" applyAlignment="1">
      <alignment horizontal="left" wrapText="1"/>
    </xf>
    <xf numFmtId="0" fontId="1" fillId="0" borderId="3" xfId="1" applyBorder="1" applyAlignment="1">
      <alignment horizontal="center"/>
    </xf>
    <xf numFmtId="0" fontId="1" fillId="0" borderId="3" xfId="1" applyBorder="1" applyAlignment="1">
      <alignment horizontal="left"/>
    </xf>
    <xf numFmtId="0" fontId="1" fillId="0" borderId="3" xfId="0" applyFont="1" applyBorder="1"/>
    <xf numFmtId="166" fontId="1" fillId="0" borderId="3" xfId="0" applyNumberFormat="1" applyFont="1" applyBorder="1" applyAlignment="1">
      <alignment vertical="top"/>
    </xf>
    <xf numFmtId="166" fontId="1" fillId="0" borderId="19" xfId="0" applyNumberFormat="1" applyFont="1" applyBorder="1" applyAlignment="1">
      <alignment vertical="top"/>
    </xf>
    <xf numFmtId="166" fontId="1" fillId="0" borderId="16" xfId="0" applyNumberFormat="1" applyFont="1" applyBorder="1"/>
    <xf numFmtId="0" fontId="1" fillId="7" borderId="1" xfId="1" applyFill="1" applyBorder="1" applyAlignment="1">
      <alignment horizontal="left" wrapText="1"/>
    </xf>
    <xf numFmtId="0" fontId="1" fillId="7" borderId="0" xfId="0" applyFont="1" applyFill="1"/>
    <xf numFmtId="0" fontId="8" fillId="0" borderId="0" xfId="0" applyFont="1"/>
    <xf numFmtId="0" fontId="9" fillId="6" borderId="0" xfId="0" applyFont="1" applyFill="1"/>
    <xf numFmtId="0" fontId="8" fillId="6" borderId="0" xfId="0" applyFont="1" applyFill="1"/>
    <xf numFmtId="0" fontId="8" fillId="0" borderId="1" xfId="0" applyFont="1" applyBorder="1"/>
    <xf numFmtId="0" fontId="9" fillId="5" borderId="1" xfId="0" applyFont="1" applyFill="1" applyBorder="1"/>
    <xf numFmtId="44" fontId="8" fillId="0" borderId="1" xfId="3" applyFont="1" applyFill="1" applyBorder="1"/>
    <xf numFmtId="44" fontId="8" fillId="0" borderId="1" xfId="3" applyFont="1" applyBorder="1"/>
    <xf numFmtId="17" fontId="8" fillId="0" borderId="1" xfId="0" applyNumberFormat="1" applyFont="1" applyBorder="1"/>
    <xf numFmtId="0" fontId="9" fillId="0" borderId="1" xfId="0" applyFont="1" applyBorder="1"/>
    <xf numFmtId="44" fontId="9" fillId="0" borderId="1" xfId="0" applyNumberFormat="1" applyFont="1" applyBorder="1"/>
    <xf numFmtId="43" fontId="8" fillId="0" borderId="0" xfId="0" applyNumberFormat="1" applyFont="1"/>
    <xf numFmtId="14" fontId="8" fillId="0" borderId="1" xfId="0" applyNumberFormat="1" applyFont="1" applyBorder="1"/>
    <xf numFmtId="0" fontId="7" fillId="3" borderId="0" xfId="0" applyFont="1" applyFill="1" applyAlignment="1">
      <alignment horizontal="center" wrapText="1"/>
    </xf>
    <xf numFmtId="0" fontId="7" fillId="3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3" borderId="0" xfId="0" applyFont="1" applyFill="1" applyAlignment="1">
      <alignment horizontal="center" textRotation="180"/>
    </xf>
    <xf numFmtId="0" fontId="2" fillId="0" borderId="0" xfId="0" applyFont="1" applyAlignment="1">
      <alignment horizontal="center"/>
    </xf>
    <xf numFmtId="0" fontId="1" fillId="7" borderId="3" xfId="1" applyFill="1" applyBorder="1" applyAlignment="1">
      <alignment horizontal="left" wrapText="1"/>
    </xf>
    <xf numFmtId="0" fontId="1" fillId="7" borderId="1" xfId="0" applyFont="1" applyFill="1" applyBorder="1" applyAlignment="1">
      <alignment horizontal="left" wrapText="1"/>
    </xf>
    <xf numFmtId="0" fontId="1" fillId="7" borderId="1" xfId="1" applyFill="1" applyBorder="1" applyAlignment="1">
      <alignment horizontal="left" vertical="top" wrapText="1"/>
    </xf>
    <xf numFmtId="0" fontId="1" fillId="7" borderId="0" xfId="5" applyFont="1" applyFill="1"/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1" fillId="4" borderId="1" xfId="1" applyFill="1" applyBorder="1" applyAlignment="1">
      <alignment horizontal="left" wrapText="1"/>
    </xf>
    <xf numFmtId="0" fontId="1" fillId="8" borderId="1" xfId="1" applyFill="1" applyBorder="1" applyAlignment="1">
      <alignment horizontal="left" wrapText="1"/>
    </xf>
    <xf numFmtId="0" fontId="1" fillId="8" borderId="1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center" textRotation="180"/>
    </xf>
    <xf numFmtId="0" fontId="2" fillId="3" borderId="0" xfId="0" applyFont="1" applyFill="1" applyAlignment="1">
      <alignment horizontal="center" textRotation="180"/>
    </xf>
    <xf numFmtId="0" fontId="2" fillId="3" borderId="10" xfId="0" applyFont="1" applyFill="1" applyBorder="1" applyAlignment="1">
      <alignment horizontal="center" textRotation="180"/>
    </xf>
  </cellXfs>
  <cellStyles count="8">
    <cellStyle name="Komma" xfId="4" builtinId="3"/>
    <cellStyle name="Komma 2" xfId="2" xr:uid="{00000000-0005-0000-0000-000001000000}"/>
    <cellStyle name="Standaard" xfId="0" builtinId="0"/>
    <cellStyle name="Standaard 2" xfId="1" xr:uid="{00000000-0005-0000-0000-000003000000}"/>
    <cellStyle name="Standaard 2 2" xfId="7" xr:uid="{AC5BFE95-CEC9-42C7-9784-A5F4769F4BC2}"/>
    <cellStyle name="Standaard 3" xfId="5" xr:uid="{B652340B-A0C3-4021-A68D-20FFD5BE96BB}"/>
    <cellStyle name="Standaard 3 2" xfId="6" xr:uid="{48F6B13E-DD73-466A-B368-23A94BA6BDC5}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ANVA\DATA\DATA1\ANVAWORD\DOCUMENT\2017\01\Overzich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"/>
      <sheetName val="Polisblad"/>
      <sheetName val="specificatie per 1 januari 2017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ED839-8BE8-4B31-A7A5-1E31273DAF06}">
  <sheetPr>
    <pageSetUpPr fitToPage="1"/>
  </sheetPr>
  <dimension ref="A1:ER83"/>
  <sheetViews>
    <sheetView tabSelected="1" zoomScaleNormal="100" workbookViewId="0">
      <pane xSplit="5" ySplit="3" topLeftCell="F20" activePane="bottomRight" state="frozen"/>
      <selection pane="topRight" activeCell="G1" sqref="G1"/>
      <selection pane="bottomLeft" activeCell="A4" sqref="A4"/>
      <selection pane="bottomRight" activeCell="E50" sqref="E50"/>
    </sheetView>
  </sheetViews>
  <sheetFormatPr defaultColWidth="9.28515625" defaultRowHeight="12.75" x14ac:dyDescent="0.2"/>
  <cols>
    <col min="1" max="1" width="26.28515625" style="32" bestFit="1" customWidth="1"/>
    <col min="2" max="2" width="9.28515625" style="32" bestFit="1" customWidth="1"/>
    <col min="3" max="3" width="9.7109375" style="32" bestFit="1" customWidth="1"/>
    <col min="4" max="4" width="23.42578125" style="23" bestFit="1" customWidth="1"/>
    <col min="5" max="5" width="70.7109375" style="32" customWidth="1"/>
    <col min="6" max="6" width="5.5703125" style="23" hidden="1" customWidth="1"/>
    <col min="7" max="7" width="21.28515625" style="23" hidden="1" customWidth="1"/>
    <col min="8" max="8" width="12" style="23" hidden="1" customWidth="1"/>
    <col min="9" max="9" width="19.7109375" style="34" hidden="1" customWidth="1"/>
    <col min="10" max="10" width="9.28515625" style="23" hidden="1" customWidth="1"/>
    <col min="11" max="12" width="21.7109375" style="23" hidden="1" customWidth="1"/>
    <col min="13" max="13" width="17.28515625" style="23" hidden="1" customWidth="1"/>
    <col min="14" max="15" width="19.28515625" style="23" hidden="1" customWidth="1"/>
    <col min="16" max="16" width="28.28515625" style="23" customWidth="1"/>
    <col min="17" max="18" width="19.28515625" style="23" hidden="1" customWidth="1"/>
    <col min="19" max="20" width="19.28515625" style="102" hidden="1" customWidth="1"/>
    <col min="21" max="23" width="19.28515625" style="102" customWidth="1"/>
    <col min="24" max="24" width="9.28515625" style="102" hidden="1" customWidth="1"/>
    <col min="25" max="25" width="6.85546875" style="23" hidden="1" customWidth="1"/>
    <col min="26" max="26" width="6.42578125" style="102" hidden="1" customWidth="1"/>
    <col min="27" max="27" width="4.42578125" style="102" hidden="1" customWidth="1"/>
    <col min="28" max="28" width="3" style="26" hidden="1" customWidth="1"/>
    <col min="29" max="29" width="20.42578125" style="23" hidden="1" customWidth="1"/>
    <col min="30" max="30" width="42" style="23" customWidth="1"/>
    <col min="31" max="31" width="21" style="23" bestFit="1" customWidth="1"/>
    <col min="32" max="32" width="18" style="23" bestFit="1" customWidth="1"/>
    <col min="33" max="33" width="16.28515625" style="23" bestFit="1" customWidth="1"/>
    <col min="34" max="34" width="13.85546875" style="23" bestFit="1" customWidth="1"/>
    <col min="35" max="35" width="30.140625" style="23" bestFit="1" customWidth="1"/>
    <col min="36" max="16384" width="9.28515625" style="23"/>
  </cols>
  <sheetData>
    <row r="1" spans="1:35" s="28" customFormat="1" x14ac:dyDescent="0.2">
      <c r="A1" s="10" t="s">
        <v>0</v>
      </c>
      <c r="B1" s="11" t="s">
        <v>1</v>
      </c>
      <c r="C1" s="12" t="s">
        <v>2</v>
      </c>
      <c r="D1" s="13" t="s">
        <v>3</v>
      </c>
      <c r="E1" s="12" t="s">
        <v>4</v>
      </c>
      <c r="F1" s="181" t="s">
        <v>5</v>
      </c>
      <c r="G1" s="13" t="s">
        <v>6</v>
      </c>
      <c r="H1" s="13" t="s">
        <v>7</v>
      </c>
      <c r="I1" s="14" t="s">
        <v>8</v>
      </c>
      <c r="J1" s="13"/>
      <c r="K1" s="27" t="s">
        <v>9</v>
      </c>
      <c r="L1" s="27" t="s">
        <v>9</v>
      </c>
      <c r="M1" s="27" t="s">
        <v>9</v>
      </c>
      <c r="N1" s="27" t="s">
        <v>9</v>
      </c>
      <c r="O1" s="27" t="s">
        <v>9</v>
      </c>
      <c r="P1" s="27" t="s">
        <v>10</v>
      </c>
      <c r="Q1" s="27" t="s">
        <v>9</v>
      </c>
      <c r="R1" s="119" t="s">
        <v>9</v>
      </c>
      <c r="S1" s="78" t="s">
        <v>9</v>
      </c>
      <c r="T1" s="79" t="s">
        <v>9</v>
      </c>
      <c r="U1" s="140" t="s">
        <v>10</v>
      </c>
      <c r="V1" s="140" t="s">
        <v>10</v>
      </c>
      <c r="W1" s="140" t="s">
        <v>9</v>
      </c>
      <c r="X1" s="140" t="s">
        <v>9</v>
      </c>
      <c r="Y1" s="123" t="s">
        <v>9</v>
      </c>
      <c r="Z1" s="80" t="s">
        <v>9</v>
      </c>
      <c r="AA1" s="80" t="s">
        <v>10</v>
      </c>
      <c r="AB1" s="51" t="s">
        <v>9</v>
      </c>
      <c r="AC1" s="52" t="s">
        <v>9</v>
      </c>
      <c r="AE1" s="171" t="s">
        <v>11</v>
      </c>
      <c r="AF1" s="171" t="s">
        <v>12</v>
      </c>
      <c r="AG1" s="171" t="s">
        <v>13</v>
      </c>
      <c r="AH1" s="171" t="s">
        <v>14</v>
      </c>
      <c r="AI1" s="171" t="s">
        <v>15</v>
      </c>
    </row>
    <row r="2" spans="1:35" s="28" customFormat="1" x14ac:dyDescent="0.2">
      <c r="A2" s="15"/>
      <c r="B2" s="16"/>
      <c r="C2" s="16"/>
      <c r="D2" s="17"/>
      <c r="E2" s="16"/>
      <c r="F2" s="182"/>
      <c r="G2" s="17"/>
      <c r="H2" s="17"/>
      <c r="I2" s="18"/>
      <c r="J2" s="17"/>
      <c r="K2" s="29" t="s">
        <v>16</v>
      </c>
      <c r="L2" s="29" t="s">
        <v>16</v>
      </c>
      <c r="M2" s="29" t="s">
        <v>16</v>
      </c>
      <c r="N2" s="29" t="s">
        <v>16</v>
      </c>
      <c r="O2" s="29" t="s">
        <v>16</v>
      </c>
      <c r="P2" s="29" t="s">
        <v>17</v>
      </c>
      <c r="Q2" s="29" t="s">
        <v>16</v>
      </c>
      <c r="R2" s="120" t="s">
        <v>16</v>
      </c>
      <c r="S2" s="81" t="s">
        <v>16</v>
      </c>
      <c r="T2" s="82" t="s">
        <v>16</v>
      </c>
      <c r="U2" s="141" t="s">
        <v>18</v>
      </c>
      <c r="V2" s="141" t="s">
        <v>17</v>
      </c>
      <c r="W2" s="141" t="s">
        <v>18</v>
      </c>
      <c r="X2" s="141" t="s">
        <v>16</v>
      </c>
      <c r="Y2" s="124" t="s">
        <v>16</v>
      </c>
      <c r="Z2" s="83" t="s">
        <v>16</v>
      </c>
      <c r="AA2" s="83" t="s">
        <v>18</v>
      </c>
      <c r="AB2" s="53" t="s">
        <v>16</v>
      </c>
      <c r="AC2" s="54" t="s">
        <v>18</v>
      </c>
    </row>
    <row r="3" spans="1:35" s="28" customFormat="1" ht="18.600000000000001" customHeight="1" thickBot="1" x14ac:dyDescent="0.25">
      <c r="A3" s="19"/>
      <c r="B3" s="20"/>
      <c r="C3" s="20"/>
      <c r="D3" s="21"/>
      <c r="E3" s="20"/>
      <c r="F3" s="183"/>
      <c r="G3" s="21"/>
      <c r="H3" s="21"/>
      <c r="I3" s="22"/>
      <c r="J3" s="21"/>
      <c r="K3" s="30"/>
      <c r="L3" s="30" t="s">
        <v>19</v>
      </c>
      <c r="M3" s="30" t="s">
        <v>20</v>
      </c>
      <c r="N3" s="30" t="s">
        <v>21</v>
      </c>
      <c r="O3" s="30" t="s">
        <v>22</v>
      </c>
      <c r="P3" s="137" t="s">
        <v>23</v>
      </c>
      <c r="Q3" s="137" t="s">
        <v>24</v>
      </c>
      <c r="R3" s="121" t="s">
        <v>25</v>
      </c>
      <c r="S3" s="84" t="s">
        <v>26</v>
      </c>
      <c r="T3" s="85" t="s">
        <v>27</v>
      </c>
      <c r="U3" s="142" t="s">
        <v>28</v>
      </c>
      <c r="V3" s="142" t="s">
        <v>29</v>
      </c>
      <c r="W3" s="142" t="s">
        <v>29</v>
      </c>
      <c r="X3" s="142" t="s">
        <v>30</v>
      </c>
      <c r="Y3" s="125" t="s">
        <v>31</v>
      </c>
      <c r="Z3" s="86" t="s">
        <v>32</v>
      </c>
      <c r="AA3" s="86" t="s">
        <v>33</v>
      </c>
      <c r="AB3" s="55" t="s">
        <v>34</v>
      </c>
      <c r="AC3" s="56"/>
      <c r="AD3" s="28" t="s">
        <v>35</v>
      </c>
    </row>
    <row r="4" spans="1:35" s="28" customFormat="1" ht="13.5" thickBot="1" x14ac:dyDescent="0.25">
      <c r="A4" s="16"/>
      <c r="B4" s="16"/>
      <c r="C4" s="16"/>
      <c r="D4" s="17"/>
      <c r="E4" s="16"/>
      <c r="F4" s="170"/>
      <c r="G4" s="17"/>
      <c r="H4" s="17"/>
      <c r="I4" s="18"/>
      <c r="J4" s="17"/>
      <c r="K4" s="29"/>
      <c r="L4" s="29"/>
      <c r="M4" s="29"/>
      <c r="N4" s="29"/>
      <c r="O4" s="29"/>
      <c r="P4" s="164">
        <v>133.4</v>
      </c>
      <c r="Q4" s="165"/>
      <c r="R4" s="166"/>
      <c r="S4" s="167"/>
      <c r="T4" s="167"/>
      <c r="U4" s="164">
        <v>129.6</v>
      </c>
      <c r="V4" s="164">
        <v>138.1</v>
      </c>
      <c r="W4" s="164">
        <v>133.4</v>
      </c>
      <c r="X4" s="165"/>
      <c r="Y4" s="166"/>
      <c r="Z4" s="167"/>
      <c r="AA4" s="168"/>
      <c r="AB4" s="169"/>
      <c r="AC4" s="53"/>
    </row>
    <row r="5" spans="1:35" x14ac:dyDescent="0.2">
      <c r="A5" s="143" t="s">
        <v>36</v>
      </c>
      <c r="B5" s="143" t="s">
        <v>37</v>
      </c>
      <c r="C5" s="143" t="s">
        <v>38</v>
      </c>
      <c r="D5" s="144" t="s">
        <v>39</v>
      </c>
      <c r="E5" s="172" t="s">
        <v>40</v>
      </c>
      <c r="F5" s="41" t="s">
        <v>41</v>
      </c>
      <c r="G5" s="145" t="s">
        <v>42</v>
      </c>
      <c r="H5" s="1" t="s">
        <v>18</v>
      </c>
      <c r="I5" s="42">
        <v>383329.25036746688</v>
      </c>
      <c r="K5" s="146"/>
      <c r="L5" s="41">
        <f t="shared" ref="L5" si="0">ROUND(K5/120.2*121,0)</f>
        <v>0</v>
      </c>
      <c r="M5" s="41">
        <v>5850500</v>
      </c>
      <c r="N5" s="41">
        <f>ROUND(M5/123.6*125.8,0)</f>
        <v>5954635</v>
      </c>
      <c r="O5" s="50">
        <f>ROUND(N5/125.8*134.2,0)</f>
        <v>6352242</v>
      </c>
      <c r="P5" s="50">
        <f>CEILING(((Q5/125.2)*133.4),1)</f>
        <v>8677794</v>
      </c>
      <c r="Q5" s="50">
        <f>CEILING(((R5/124)*125.2),1)</f>
        <v>8144376</v>
      </c>
      <c r="R5" s="50">
        <f>ROUND($S5/113.9*124,2)</f>
        <v>8066314.3099999996</v>
      </c>
      <c r="S5" s="147">
        <f>ROUND(T5/108*113.9,-2)</f>
        <v>7409300</v>
      </c>
      <c r="T5" s="107">
        <f>ROUND(AB5/105*108,-2)</f>
        <v>7025500</v>
      </c>
      <c r="U5" s="117">
        <f>CEILING(((X5/123.3)*129.6),1)</f>
        <v>755289</v>
      </c>
      <c r="V5" s="117">
        <f>CEILING(((P5/$P$4)*$V$4),100)</f>
        <v>8983600</v>
      </c>
      <c r="W5" s="117">
        <f>CEILING(((U5/$U$4)*$W$4),100)</f>
        <v>777500</v>
      </c>
      <c r="X5" s="117">
        <f>CEILING(((Y5/122)*123.3),1)</f>
        <v>718573</v>
      </c>
      <c r="Y5" s="117">
        <f>ROUND($Z5/109.2*122,2)</f>
        <v>710996.34</v>
      </c>
      <c r="Z5" s="148">
        <f>ROUND(AA5/103.5*109.2,-2)</f>
        <v>636400</v>
      </c>
      <c r="AA5" s="149">
        <f>ROUND(AC5/101.6*103.5,-2)</f>
        <v>603200</v>
      </c>
      <c r="AB5" s="107">
        <f t="shared" ref="AB5:AB58" si="1">ROUND(O5/134.2*144.3,0)</f>
        <v>6830317</v>
      </c>
      <c r="AC5" s="41">
        <f>563949+28200</f>
        <v>592149</v>
      </c>
      <c r="AE5" s="28" t="s">
        <v>203</v>
      </c>
      <c r="AF5" s="28" t="s">
        <v>203</v>
      </c>
      <c r="AG5" s="28"/>
      <c r="AH5" s="28" t="s">
        <v>203</v>
      </c>
      <c r="AI5" s="28"/>
    </row>
    <row r="6" spans="1:35" x14ac:dyDescent="0.2">
      <c r="A6" s="128" t="s">
        <v>43</v>
      </c>
      <c r="B6" s="128" t="s">
        <v>44</v>
      </c>
      <c r="C6" s="128" t="s">
        <v>38</v>
      </c>
      <c r="D6" s="3" t="s">
        <v>45</v>
      </c>
      <c r="E6" s="128" t="s">
        <v>46</v>
      </c>
      <c r="F6" s="24" t="s">
        <v>47</v>
      </c>
      <c r="G6" s="4" t="s">
        <v>48</v>
      </c>
      <c r="H6" s="1" t="s">
        <v>16</v>
      </c>
      <c r="I6" s="42">
        <v>569092.59259259258</v>
      </c>
      <c r="J6" s="2" t="s">
        <v>49</v>
      </c>
      <c r="K6" s="24">
        <v>5000000</v>
      </c>
      <c r="L6" s="24">
        <f>ROUND(K6/120.2*121,0)</f>
        <v>5033278</v>
      </c>
      <c r="M6" s="24">
        <v>5294375</v>
      </c>
      <c r="N6" s="41">
        <f>ROUND(M6/123.6*125.8,0)</f>
        <v>5388611</v>
      </c>
      <c r="O6" s="50">
        <f t="shared" ref="O6:O58" si="2">ROUND(N6/125.8*134.2,0)</f>
        <v>5748423</v>
      </c>
      <c r="P6" s="50">
        <f t="shared" ref="P6:P58" si="3">CEILING(((Q6/125.2)*133.4),1)</f>
        <v>7852915</v>
      </c>
      <c r="Q6" s="50">
        <f>CEILING(((R6/124)*125.2),1)</f>
        <v>7370202</v>
      </c>
      <c r="R6" s="50">
        <f t="shared" ref="R6:R58" si="4">ROUND($S6/113.9*124,2)</f>
        <v>7299561.0199999996</v>
      </c>
      <c r="S6" s="45">
        <f>ROUND(T6/108*113.9,-2)</f>
        <v>6705000</v>
      </c>
      <c r="T6" s="107">
        <f t="shared" ref="T6:T58" si="5">ROUND(AB6/105*108,-2)</f>
        <v>6357700</v>
      </c>
      <c r="U6" s="117">
        <f t="shared" ref="U6:U59" si="6">CEILING(((X6/123.3)*129.6),1)</f>
        <v>0</v>
      </c>
      <c r="V6" s="117">
        <f>CEILING(((P6/$P$4)*$V$4),100)</f>
        <v>8129600</v>
      </c>
      <c r="W6" s="117">
        <f t="shared" ref="W6:W59" si="7">CEILING(((U6/$U$4)*$W$4),100)</f>
        <v>0</v>
      </c>
      <c r="X6" s="117">
        <f t="shared" ref="X6:X59" si="8">CEILING(((Y6/122)*123.3),1)</f>
        <v>0</v>
      </c>
      <c r="Y6" s="117">
        <f t="shared" ref="Y6:Y59" si="9">ROUND($Z6/109.2*122,2)</f>
        <v>0</v>
      </c>
      <c r="Z6" s="45">
        <f>ROUND(AA6/103.5*109.2,-2)</f>
        <v>0</v>
      </c>
      <c r="AA6" s="108">
        <f t="shared" ref="AA6:AA58" si="10">ROUND(AC6/101.6*103.5,-2)</f>
        <v>0</v>
      </c>
      <c r="AB6" s="107">
        <f t="shared" si="1"/>
        <v>6181054</v>
      </c>
      <c r="AC6" s="25"/>
      <c r="AE6" s="28" t="s">
        <v>203</v>
      </c>
      <c r="AF6" s="28" t="s">
        <v>203</v>
      </c>
      <c r="AG6" s="28"/>
      <c r="AH6" s="28" t="s">
        <v>203</v>
      </c>
      <c r="AI6" s="28" t="s">
        <v>203</v>
      </c>
    </row>
    <row r="7" spans="1:35" x14ac:dyDescent="0.2">
      <c r="A7" s="128" t="s">
        <v>50</v>
      </c>
      <c r="B7" s="128" t="s">
        <v>51</v>
      </c>
      <c r="C7" s="128" t="s">
        <v>38</v>
      </c>
      <c r="D7" s="3" t="s">
        <v>39</v>
      </c>
      <c r="E7" s="178" t="s">
        <v>52</v>
      </c>
      <c r="F7" s="24" t="s">
        <v>41</v>
      </c>
      <c r="G7" s="4" t="s">
        <v>42</v>
      </c>
      <c r="H7" s="5" t="s">
        <v>18</v>
      </c>
      <c r="I7" s="42">
        <v>781991.67074963253</v>
      </c>
      <c r="K7" s="25"/>
      <c r="L7" s="24">
        <f t="shared" ref="L7:L8" si="11">ROUND(K7/120.2*121,0)</f>
        <v>0</v>
      </c>
      <c r="M7" s="24">
        <v>7734000</v>
      </c>
      <c r="N7" s="41">
        <f t="shared" ref="N7:N10" si="12">ROUND(M7/123.6*125.8,0)</f>
        <v>7871660</v>
      </c>
      <c r="O7" s="50">
        <f t="shared" si="2"/>
        <v>8397272</v>
      </c>
      <c r="P7" s="50">
        <f t="shared" si="3"/>
        <v>11471464</v>
      </c>
      <c r="Q7" s="50">
        <f t="shared" ref="Q7:Q58" si="13">CEILING(((R7/124)*125.2),1)</f>
        <v>10766321</v>
      </c>
      <c r="R7" s="50">
        <f t="shared" si="4"/>
        <v>10663129.060000001</v>
      </c>
      <c r="S7" s="45">
        <f t="shared" ref="S7:S58" si="14">ROUND(T7/108*113.9,-2)</f>
        <v>9794600</v>
      </c>
      <c r="T7" s="107">
        <f t="shared" si="5"/>
        <v>9287200</v>
      </c>
      <c r="U7" s="136">
        <f t="shared" si="6"/>
        <v>2073600</v>
      </c>
      <c r="V7" s="117">
        <f t="shared" ref="V7:V59" si="15">CEILING(((P7/$P$4)*$V$4),100)</f>
        <v>11875700</v>
      </c>
      <c r="W7" s="117">
        <f t="shared" si="7"/>
        <v>2134400</v>
      </c>
      <c r="X7" s="136">
        <f t="shared" si="8"/>
        <v>1972800</v>
      </c>
      <c r="Y7" s="117">
        <f t="shared" si="9"/>
        <v>1952000</v>
      </c>
      <c r="Z7" s="45">
        <f t="shared" ref="Z7:Z56" si="16">ROUND(AA7/103.5*109.2,-2)</f>
        <v>1747200</v>
      </c>
      <c r="AA7" s="108">
        <f t="shared" si="10"/>
        <v>1656000</v>
      </c>
      <c r="AB7" s="107">
        <f t="shared" si="1"/>
        <v>9029257</v>
      </c>
      <c r="AC7" s="24">
        <f>1500627+50000+75000</f>
        <v>1625627</v>
      </c>
      <c r="AE7" s="28" t="s">
        <v>203</v>
      </c>
      <c r="AF7" s="28" t="s">
        <v>203</v>
      </c>
      <c r="AG7" s="28"/>
      <c r="AH7" s="28"/>
      <c r="AI7" s="28"/>
    </row>
    <row r="8" spans="1:35" x14ac:dyDescent="0.2">
      <c r="A8" s="128" t="s">
        <v>53</v>
      </c>
      <c r="B8" s="128" t="s">
        <v>51</v>
      </c>
      <c r="C8" s="128" t="s">
        <v>38</v>
      </c>
      <c r="D8" s="3" t="s">
        <v>39</v>
      </c>
      <c r="E8" s="179" t="s">
        <v>54</v>
      </c>
      <c r="F8" s="24" t="s">
        <v>41</v>
      </c>
      <c r="G8" s="4" t="s">
        <v>42</v>
      </c>
      <c r="H8" s="1" t="s">
        <v>18</v>
      </c>
      <c r="I8" s="42">
        <v>1456651.1513963742</v>
      </c>
      <c r="K8" s="25"/>
      <c r="L8" s="24">
        <f t="shared" si="11"/>
        <v>0</v>
      </c>
      <c r="M8" s="24">
        <v>4482500</v>
      </c>
      <c r="N8" s="41">
        <f t="shared" si="12"/>
        <v>4562286</v>
      </c>
      <c r="O8" s="50">
        <f t="shared" si="2"/>
        <v>4866922</v>
      </c>
      <c r="P8" s="50">
        <f t="shared" si="3"/>
        <v>6648685</v>
      </c>
      <c r="Q8" s="50">
        <f t="shared" si="13"/>
        <v>6239995</v>
      </c>
      <c r="R8" s="50">
        <f t="shared" si="4"/>
        <v>6180186.1299999999</v>
      </c>
      <c r="S8" s="45">
        <f t="shared" si="14"/>
        <v>5676800</v>
      </c>
      <c r="T8" s="107">
        <f t="shared" si="5"/>
        <v>5382700</v>
      </c>
      <c r="U8" s="136">
        <f t="shared" si="6"/>
        <v>1158094</v>
      </c>
      <c r="V8" s="117">
        <f t="shared" si="15"/>
        <v>6883000</v>
      </c>
      <c r="W8" s="117">
        <f t="shared" si="7"/>
        <v>1192100</v>
      </c>
      <c r="X8" s="136">
        <f t="shared" si="8"/>
        <v>1101797</v>
      </c>
      <c r="Y8" s="117">
        <f t="shared" si="9"/>
        <v>1090179.49</v>
      </c>
      <c r="Z8" s="45">
        <f t="shared" si="16"/>
        <v>975800</v>
      </c>
      <c r="AA8" s="108">
        <f t="shared" si="10"/>
        <v>924900</v>
      </c>
      <c r="AB8" s="107">
        <f t="shared" si="1"/>
        <v>5233210</v>
      </c>
      <c r="AC8" s="24">
        <f>864444+43500</f>
        <v>907944</v>
      </c>
      <c r="AE8" s="28"/>
      <c r="AF8" s="28"/>
      <c r="AG8" s="28"/>
      <c r="AH8" s="28"/>
      <c r="AI8" s="28"/>
    </row>
    <row r="9" spans="1:35" s="26" customFormat="1" x14ac:dyDescent="0.2">
      <c r="A9" s="43" t="s">
        <v>55</v>
      </c>
      <c r="B9" s="43" t="s">
        <v>51</v>
      </c>
      <c r="C9" s="43" t="s">
        <v>38</v>
      </c>
      <c r="D9" s="44"/>
      <c r="E9" s="180" t="s">
        <v>56</v>
      </c>
      <c r="F9" s="44"/>
      <c r="G9" s="44"/>
      <c r="H9" s="44"/>
      <c r="I9" s="45"/>
      <c r="J9" s="44"/>
      <c r="K9" s="44"/>
      <c r="L9" s="44"/>
      <c r="M9" s="44"/>
      <c r="N9" s="46">
        <v>1350000</v>
      </c>
      <c r="O9" s="50">
        <f t="shared" si="2"/>
        <v>1440143</v>
      </c>
      <c r="P9" s="50">
        <f t="shared" si="3"/>
        <v>1967387</v>
      </c>
      <c r="Q9" s="50">
        <f t="shared" si="13"/>
        <v>1846453</v>
      </c>
      <c r="R9" s="50">
        <f t="shared" si="4"/>
        <v>1828755.05</v>
      </c>
      <c r="S9" s="88">
        <f t="shared" si="14"/>
        <v>1679800</v>
      </c>
      <c r="T9" s="87">
        <f t="shared" si="5"/>
        <v>1592800</v>
      </c>
      <c r="U9" s="136">
        <f t="shared" si="6"/>
        <v>0</v>
      </c>
      <c r="V9" s="117">
        <f t="shared" si="15"/>
        <v>2036800</v>
      </c>
      <c r="W9" s="117">
        <f t="shared" si="7"/>
        <v>0</v>
      </c>
      <c r="X9" s="136">
        <f t="shared" si="8"/>
        <v>0</v>
      </c>
      <c r="Y9" s="117">
        <f t="shared" si="9"/>
        <v>0</v>
      </c>
      <c r="Z9" s="88">
        <f t="shared" si="16"/>
        <v>0</v>
      </c>
      <c r="AA9" s="89">
        <f t="shared" si="10"/>
        <v>0</v>
      </c>
      <c r="AB9" s="57">
        <f t="shared" si="1"/>
        <v>1548529</v>
      </c>
      <c r="AC9" s="60"/>
      <c r="AE9" s="176"/>
      <c r="AF9" s="176"/>
      <c r="AG9" s="176"/>
      <c r="AH9" s="176"/>
      <c r="AI9" s="176"/>
    </row>
    <row r="10" spans="1:35" x14ac:dyDescent="0.2">
      <c r="A10" s="128" t="s">
        <v>57</v>
      </c>
      <c r="B10" s="128" t="s">
        <v>58</v>
      </c>
      <c r="C10" s="128" t="s">
        <v>38</v>
      </c>
      <c r="D10" s="3" t="s">
        <v>39</v>
      </c>
      <c r="E10" s="131" t="s">
        <v>59</v>
      </c>
      <c r="F10" s="24" t="s">
        <v>47</v>
      </c>
      <c r="G10" s="4" t="s">
        <v>48</v>
      </c>
      <c r="H10" s="1" t="s">
        <v>16</v>
      </c>
      <c r="I10" s="42">
        <v>593064.4355198571</v>
      </c>
      <c r="K10" s="24">
        <f>ROUND(I10,0)</f>
        <v>593064</v>
      </c>
      <c r="L10" s="24">
        <f t="shared" ref="L10:L11" si="17">ROUND(K10/120.2*121,0)</f>
        <v>597011</v>
      </c>
      <c r="M10" s="24">
        <v>750000</v>
      </c>
      <c r="N10" s="41">
        <f t="shared" si="12"/>
        <v>763350</v>
      </c>
      <c r="O10" s="50">
        <f t="shared" si="2"/>
        <v>814321</v>
      </c>
      <c r="P10" s="50">
        <f t="shared" si="3"/>
        <v>1112409</v>
      </c>
      <c r="Q10" s="50">
        <f t="shared" si="13"/>
        <v>1044030</v>
      </c>
      <c r="R10" s="50">
        <f t="shared" si="4"/>
        <v>1034022.83</v>
      </c>
      <c r="S10" s="88">
        <f t="shared" si="14"/>
        <v>949800</v>
      </c>
      <c r="T10" s="87">
        <f t="shared" si="5"/>
        <v>900600</v>
      </c>
      <c r="U10" s="136">
        <f t="shared" si="6"/>
        <v>0</v>
      </c>
      <c r="V10" s="117">
        <f t="shared" si="15"/>
        <v>1151700</v>
      </c>
      <c r="W10" s="117">
        <f t="shared" si="7"/>
        <v>0</v>
      </c>
      <c r="X10" s="136">
        <f t="shared" si="8"/>
        <v>0</v>
      </c>
      <c r="Y10" s="117">
        <f t="shared" si="9"/>
        <v>0</v>
      </c>
      <c r="Z10" s="88">
        <f t="shared" si="16"/>
        <v>0</v>
      </c>
      <c r="AA10" s="89">
        <f t="shared" si="10"/>
        <v>0</v>
      </c>
      <c r="AB10" s="57">
        <f t="shared" si="1"/>
        <v>875607</v>
      </c>
      <c r="AC10" s="58"/>
      <c r="AE10" s="28"/>
      <c r="AF10" s="28"/>
      <c r="AG10" s="28"/>
      <c r="AH10" s="28"/>
      <c r="AI10" s="28"/>
    </row>
    <row r="11" spans="1:35" x14ac:dyDescent="0.2">
      <c r="A11" s="128" t="s">
        <v>60</v>
      </c>
      <c r="B11" s="128" t="s">
        <v>58</v>
      </c>
      <c r="C11" s="128" t="s">
        <v>38</v>
      </c>
      <c r="D11" s="3" t="s">
        <v>39</v>
      </c>
      <c r="E11" s="131" t="s">
        <v>59</v>
      </c>
      <c r="F11" s="24" t="s">
        <v>61</v>
      </c>
      <c r="G11" s="4" t="s">
        <v>48</v>
      </c>
      <c r="H11" s="1" t="s">
        <v>18</v>
      </c>
      <c r="I11" s="42">
        <v>27878.900216249611</v>
      </c>
      <c r="K11" s="25"/>
      <c r="L11" s="24">
        <f t="shared" si="17"/>
        <v>0</v>
      </c>
      <c r="M11" s="24">
        <f>ROUND(L11/121*123.1,0)</f>
        <v>0</v>
      </c>
      <c r="N11" s="24">
        <f>ROUND(M11/123.1*125,0)</f>
        <v>0</v>
      </c>
      <c r="O11" s="50">
        <f t="shared" si="2"/>
        <v>0</v>
      </c>
      <c r="P11" s="50">
        <f t="shared" si="3"/>
        <v>0</v>
      </c>
      <c r="Q11" s="50">
        <f t="shared" si="13"/>
        <v>0</v>
      </c>
      <c r="R11" s="50">
        <f t="shared" si="4"/>
        <v>0</v>
      </c>
      <c r="S11" s="88">
        <f t="shared" si="14"/>
        <v>0</v>
      </c>
      <c r="T11" s="87">
        <f t="shared" si="5"/>
        <v>0</v>
      </c>
      <c r="U11" s="136">
        <f t="shared" si="6"/>
        <v>40234</v>
      </c>
      <c r="V11" s="117">
        <f t="shared" si="15"/>
        <v>0</v>
      </c>
      <c r="W11" s="117">
        <f t="shared" si="7"/>
        <v>41500</v>
      </c>
      <c r="X11" s="136">
        <f t="shared" si="8"/>
        <v>38278</v>
      </c>
      <c r="Y11" s="117">
        <f t="shared" si="9"/>
        <v>37873.629999999997</v>
      </c>
      <c r="Z11" s="88">
        <f t="shared" si="16"/>
        <v>33900</v>
      </c>
      <c r="AA11" s="89">
        <f t="shared" si="10"/>
        <v>32100</v>
      </c>
      <c r="AB11" s="57">
        <f t="shared" si="1"/>
        <v>0</v>
      </c>
      <c r="AC11" s="59">
        <f>30000+1500</f>
        <v>31500</v>
      </c>
      <c r="AE11" s="28"/>
      <c r="AF11" s="28"/>
      <c r="AG11" s="28"/>
      <c r="AH11" s="28"/>
      <c r="AI11" s="28"/>
    </row>
    <row r="12" spans="1:35" x14ac:dyDescent="0.2">
      <c r="A12" s="128" t="s">
        <v>62</v>
      </c>
      <c r="B12" s="128" t="s">
        <v>58</v>
      </c>
      <c r="C12" s="128" t="s">
        <v>38</v>
      </c>
      <c r="D12" s="3" t="s">
        <v>39</v>
      </c>
      <c r="E12" s="179" t="s">
        <v>63</v>
      </c>
      <c r="F12" s="24" t="s">
        <v>47</v>
      </c>
      <c r="G12" s="4" t="s">
        <v>48</v>
      </c>
      <c r="H12" s="1" t="s">
        <v>16</v>
      </c>
      <c r="I12" s="42">
        <v>1275871.3966979028</v>
      </c>
      <c r="K12" s="24">
        <f>ROUND(I12,0)</f>
        <v>1275871</v>
      </c>
      <c r="L12" s="24">
        <f>ROUND(K12/120.2*121,0)</f>
        <v>1284363</v>
      </c>
      <c r="M12" s="24">
        <v>1605000</v>
      </c>
      <c r="N12" s="41">
        <f t="shared" ref="N12:N23" si="18">ROUND(M12/123.6*125.8,0)</f>
        <v>1633568</v>
      </c>
      <c r="O12" s="50">
        <f t="shared" si="2"/>
        <v>1742646</v>
      </c>
      <c r="P12" s="50">
        <f t="shared" si="3"/>
        <v>2380587</v>
      </c>
      <c r="Q12" s="50">
        <f t="shared" si="13"/>
        <v>2234254</v>
      </c>
      <c r="R12" s="50">
        <f t="shared" si="4"/>
        <v>2212839.33</v>
      </c>
      <c r="S12" s="88">
        <f t="shared" si="14"/>
        <v>2032600</v>
      </c>
      <c r="T12" s="87">
        <f t="shared" si="5"/>
        <v>1927300</v>
      </c>
      <c r="U12" s="136">
        <f t="shared" si="6"/>
        <v>0</v>
      </c>
      <c r="V12" s="117">
        <f t="shared" si="15"/>
        <v>2464500</v>
      </c>
      <c r="W12" s="117">
        <f t="shared" si="7"/>
        <v>0</v>
      </c>
      <c r="X12" s="136">
        <f t="shared" si="8"/>
        <v>0</v>
      </c>
      <c r="Y12" s="117">
        <f t="shared" si="9"/>
        <v>0</v>
      </c>
      <c r="Z12" s="88">
        <f t="shared" si="16"/>
        <v>0</v>
      </c>
      <c r="AA12" s="89">
        <f t="shared" si="10"/>
        <v>0</v>
      </c>
      <c r="AB12" s="57">
        <f t="shared" si="1"/>
        <v>1873799</v>
      </c>
      <c r="AC12" s="58"/>
      <c r="AE12" s="28"/>
      <c r="AF12" s="28"/>
      <c r="AG12" s="28"/>
      <c r="AH12" s="28"/>
      <c r="AI12" s="28"/>
    </row>
    <row r="13" spans="1:35" ht="15" customHeight="1" x14ac:dyDescent="0.2">
      <c r="A13" s="128" t="s">
        <v>64</v>
      </c>
      <c r="B13" s="128" t="s">
        <v>65</v>
      </c>
      <c r="C13" s="128" t="s">
        <v>38</v>
      </c>
      <c r="D13" s="3" t="s">
        <v>39</v>
      </c>
      <c r="E13" s="128" t="s">
        <v>66</v>
      </c>
      <c r="F13" s="24" t="s">
        <v>47</v>
      </c>
      <c r="G13" s="4" t="s">
        <v>48</v>
      </c>
      <c r="H13" s="1" t="s">
        <v>16</v>
      </c>
      <c r="I13" s="42">
        <v>503417.38063364569</v>
      </c>
      <c r="K13" s="24">
        <f>ROUND(I13,0)</f>
        <v>503417</v>
      </c>
      <c r="L13" s="24">
        <f>ROUND(K13/120.2*121,0)</f>
        <v>506768</v>
      </c>
      <c r="M13" s="24">
        <v>578800</v>
      </c>
      <c r="N13" s="41">
        <f t="shared" si="18"/>
        <v>589102</v>
      </c>
      <c r="O13" s="50">
        <f t="shared" si="2"/>
        <v>628438</v>
      </c>
      <c r="P13" s="50">
        <f t="shared" si="3"/>
        <v>858492</v>
      </c>
      <c r="Q13" s="50">
        <f t="shared" si="13"/>
        <v>805721</v>
      </c>
      <c r="R13" s="50">
        <f t="shared" si="4"/>
        <v>797998.24</v>
      </c>
      <c r="S13" s="88">
        <f t="shared" si="14"/>
        <v>733000</v>
      </c>
      <c r="T13" s="87">
        <f t="shared" si="5"/>
        <v>695000</v>
      </c>
      <c r="U13" s="136">
        <f t="shared" si="6"/>
        <v>0</v>
      </c>
      <c r="V13" s="117">
        <f t="shared" si="15"/>
        <v>888800</v>
      </c>
      <c r="W13" s="117">
        <f t="shared" si="7"/>
        <v>0</v>
      </c>
      <c r="X13" s="136">
        <f t="shared" si="8"/>
        <v>0</v>
      </c>
      <c r="Y13" s="117">
        <f t="shared" si="9"/>
        <v>0</v>
      </c>
      <c r="Z13" s="88">
        <f t="shared" si="16"/>
        <v>0</v>
      </c>
      <c r="AA13" s="89">
        <f t="shared" si="10"/>
        <v>0</v>
      </c>
      <c r="AB13" s="57">
        <f t="shared" si="1"/>
        <v>675735</v>
      </c>
      <c r="AC13" s="58"/>
      <c r="AE13" s="28" t="s">
        <v>203</v>
      </c>
      <c r="AF13" s="28"/>
      <c r="AG13" s="28"/>
      <c r="AH13" s="28"/>
      <c r="AI13" s="28"/>
    </row>
    <row r="14" spans="1:35" x14ac:dyDescent="0.2">
      <c r="A14" s="31" t="s">
        <v>67</v>
      </c>
      <c r="B14" s="31" t="s">
        <v>68</v>
      </c>
      <c r="C14" s="128" t="s">
        <v>38</v>
      </c>
      <c r="D14" s="118" t="s">
        <v>69</v>
      </c>
      <c r="E14" s="173" t="s">
        <v>70</v>
      </c>
      <c r="F14" s="25"/>
      <c r="G14" s="25"/>
      <c r="H14" s="25"/>
      <c r="I14" s="24"/>
      <c r="J14" s="25"/>
      <c r="K14" s="25"/>
      <c r="L14" s="25"/>
      <c r="M14" s="25"/>
      <c r="N14" s="40">
        <v>2250000</v>
      </c>
      <c r="O14" s="50">
        <f t="shared" si="2"/>
        <v>2400238</v>
      </c>
      <c r="P14" s="50">
        <f t="shared" si="3"/>
        <v>3278900</v>
      </c>
      <c r="Q14" s="50">
        <f t="shared" si="13"/>
        <v>3077348</v>
      </c>
      <c r="R14" s="50">
        <f t="shared" si="4"/>
        <v>3047852.5</v>
      </c>
      <c r="S14" s="45">
        <f t="shared" si="14"/>
        <v>2799600</v>
      </c>
      <c r="T14" s="107">
        <f t="shared" si="5"/>
        <v>2654600</v>
      </c>
      <c r="U14" s="136">
        <f t="shared" si="6"/>
        <v>255048</v>
      </c>
      <c r="V14" s="117">
        <f t="shared" si="15"/>
        <v>3394500</v>
      </c>
      <c r="W14" s="117">
        <f t="shared" si="7"/>
        <v>262600</v>
      </c>
      <c r="X14" s="136">
        <f t="shared" si="8"/>
        <v>242649</v>
      </c>
      <c r="Y14" s="117">
        <f t="shared" si="9"/>
        <v>240089.74</v>
      </c>
      <c r="Z14" s="45">
        <f t="shared" si="16"/>
        <v>214900</v>
      </c>
      <c r="AA14" s="108">
        <f t="shared" si="10"/>
        <v>203700</v>
      </c>
      <c r="AB14" s="107">
        <f t="shared" si="1"/>
        <v>2580882</v>
      </c>
      <c r="AC14" s="40">
        <v>200000</v>
      </c>
      <c r="AE14" s="28" t="s">
        <v>203</v>
      </c>
      <c r="AF14" s="28" t="s">
        <v>203</v>
      </c>
      <c r="AG14" s="28"/>
      <c r="AH14" s="28" t="s">
        <v>203</v>
      </c>
      <c r="AI14" s="28"/>
    </row>
    <row r="15" spans="1:35" x14ac:dyDescent="0.2">
      <c r="A15" s="128" t="s">
        <v>71</v>
      </c>
      <c r="B15" s="128" t="s">
        <v>72</v>
      </c>
      <c r="C15" s="128" t="s">
        <v>38</v>
      </c>
      <c r="D15" s="3" t="s">
        <v>69</v>
      </c>
      <c r="E15" s="128" t="s">
        <v>73</v>
      </c>
      <c r="F15" s="24" t="s">
        <v>47</v>
      </c>
      <c r="G15" s="4" t="s">
        <v>48</v>
      </c>
      <c r="H15" s="1" t="s">
        <v>16</v>
      </c>
      <c r="I15" s="42">
        <v>8111207.6455256306</v>
      </c>
      <c r="J15" s="2" t="s">
        <v>49</v>
      </c>
      <c r="K15" s="24">
        <f>ROUND(I15,0)</f>
        <v>8111208</v>
      </c>
      <c r="L15" s="24">
        <f>ROUND(K15/120.2*121,0)</f>
        <v>8165193</v>
      </c>
      <c r="M15" s="24">
        <v>4229600</v>
      </c>
      <c r="N15" s="41">
        <f t="shared" si="18"/>
        <v>4304884</v>
      </c>
      <c r="O15" s="50">
        <f t="shared" si="2"/>
        <v>4592333</v>
      </c>
      <c r="P15" s="50">
        <f t="shared" si="3"/>
        <v>6273549</v>
      </c>
      <c r="Q15" s="50">
        <f t="shared" si="13"/>
        <v>5887918</v>
      </c>
      <c r="R15" s="50">
        <f t="shared" si="4"/>
        <v>5831483.7599999998</v>
      </c>
      <c r="S15" s="88">
        <f t="shared" si="14"/>
        <v>5356500</v>
      </c>
      <c r="T15" s="87">
        <f t="shared" si="5"/>
        <v>5079000</v>
      </c>
      <c r="U15" s="136">
        <f t="shared" si="6"/>
        <v>0</v>
      </c>
      <c r="V15" s="117">
        <f t="shared" si="15"/>
        <v>6494600</v>
      </c>
      <c r="W15" s="117">
        <f t="shared" si="7"/>
        <v>0</v>
      </c>
      <c r="X15" s="136">
        <f t="shared" si="8"/>
        <v>0</v>
      </c>
      <c r="Y15" s="117">
        <f t="shared" si="9"/>
        <v>0</v>
      </c>
      <c r="Z15" s="88">
        <f t="shared" si="16"/>
        <v>0</v>
      </c>
      <c r="AA15" s="89">
        <f t="shared" si="10"/>
        <v>0</v>
      </c>
      <c r="AB15" s="57">
        <f t="shared" si="1"/>
        <v>4937956</v>
      </c>
      <c r="AC15" s="58"/>
      <c r="AE15" s="28" t="s">
        <v>203</v>
      </c>
      <c r="AF15" s="28" t="s">
        <v>203</v>
      </c>
      <c r="AG15" s="28"/>
      <c r="AH15" s="28"/>
      <c r="AI15" s="28"/>
    </row>
    <row r="16" spans="1:35" x14ac:dyDescent="0.2">
      <c r="A16" s="128" t="s">
        <v>74</v>
      </c>
      <c r="B16" s="128"/>
      <c r="C16" s="128" t="s">
        <v>38</v>
      </c>
      <c r="D16" s="3" t="s">
        <v>39</v>
      </c>
      <c r="E16" s="131" t="s">
        <v>75</v>
      </c>
      <c r="F16" s="24" t="s">
        <v>47</v>
      </c>
      <c r="G16" s="4" t="s">
        <v>48</v>
      </c>
      <c r="H16" s="1" t="s">
        <v>16</v>
      </c>
      <c r="I16" s="42">
        <v>24917.871485943771</v>
      </c>
      <c r="J16" s="2"/>
      <c r="K16" s="24">
        <f>ROUND(I16,0)</f>
        <v>24918</v>
      </c>
      <c r="L16" s="24">
        <f>ROUND(K16/120.2*121,0)</f>
        <v>25084</v>
      </c>
      <c r="M16" s="24">
        <v>50000</v>
      </c>
      <c r="N16" s="41">
        <f t="shared" si="18"/>
        <v>50890</v>
      </c>
      <c r="O16" s="50">
        <f t="shared" si="2"/>
        <v>54288</v>
      </c>
      <c r="P16" s="50">
        <f t="shared" si="3"/>
        <v>74138</v>
      </c>
      <c r="Q16" s="50">
        <f t="shared" si="13"/>
        <v>69580</v>
      </c>
      <c r="R16" s="50">
        <f t="shared" si="4"/>
        <v>68913.08</v>
      </c>
      <c r="S16" s="45">
        <f t="shared" si="14"/>
        <v>63300</v>
      </c>
      <c r="T16" s="107">
        <f t="shared" si="5"/>
        <v>60000</v>
      </c>
      <c r="U16" s="136">
        <f t="shared" si="6"/>
        <v>0</v>
      </c>
      <c r="V16" s="117">
        <f t="shared" si="15"/>
        <v>76800</v>
      </c>
      <c r="W16" s="117">
        <f t="shared" si="7"/>
        <v>0</v>
      </c>
      <c r="X16" s="136">
        <f t="shared" si="8"/>
        <v>0</v>
      </c>
      <c r="Y16" s="117">
        <f t="shared" si="9"/>
        <v>0</v>
      </c>
      <c r="Z16" s="45">
        <f t="shared" si="16"/>
        <v>0</v>
      </c>
      <c r="AA16" s="108">
        <f t="shared" si="10"/>
        <v>0</v>
      </c>
      <c r="AB16" s="107">
        <f t="shared" si="1"/>
        <v>58374</v>
      </c>
      <c r="AC16" s="25"/>
      <c r="AE16" s="28"/>
      <c r="AF16" s="28"/>
      <c r="AG16" s="28"/>
      <c r="AH16" s="28"/>
      <c r="AI16" s="28"/>
    </row>
    <row r="17" spans="1:148" x14ac:dyDescent="0.2">
      <c r="A17" s="128" t="s">
        <v>76</v>
      </c>
      <c r="B17" s="128"/>
      <c r="C17" s="128" t="s">
        <v>38</v>
      </c>
      <c r="D17" s="3" t="s">
        <v>39</v>
      </c>
      <c r="E17" s="131" t="s">
        <v>77</v>
      </c>
      <c r="F17" s="24" t="s">
        <v>47</v>
      </c>
      <c r="G17" s="4" t="s">
        <v>48</v>
      </c>
      <c r="H17" s="1" t="s">
        <v>16</v>
      </c>
      <c r="I17" s="42">
        <v>132608.90227576977</v>
      </c>
      <c r="J17" s="2"/>
      <c r="K17" s="24">
        <f>ROUND(I17,0)</f>
        <v>132609</v>
      </c>
      <c r="L17" s="24">
        <f>ROUND(K17/120.2*121,0)</f>
        <v>133492</v>
      </c>
      <c r="M17" s="24">
        <v>140000</v>
      </c>
      <c r="N17" s="41">
        <f t="shared" si="18"/>
        <v>142492</v>
      </c>
      <c r="O17" s="50">
        <f t="shared" si="2"/>
        <v>152007</v>
      </c>
      <c r="P17" s="50">
        <f t="shared" si="3"/>
        <v>207655</v>
      </c>
      <c r="Q17" s="50">
        <f t="shared" si="13"/>
        <v>194890</v>
      </c>
      <c r="R17" s="50">
        <f t="shared" si="4"/>
        <v>193021.95</v>
      </c>
      <c r="S17" s="88">
        <f t="shared" si="14"/>
        <v>177300</v>
      </c>
      <c r="T17" s="87">
        <f t="shared" si="5"/>
        <v>168100</v>
      </c>
      <c r="U17" s="136">
        <f t="shared" si="6"/>
        <v>0</v>
      </c>
      <c r="V17" s="117">
        <f t="shared" si="15"/>
        <v>215000</v>
      </c>
      <c r="W17" s="117">
        <f t="shared" si="7"/>
        <v>0</v>
      </c>
      <c r="X17" s="136">
        <f t="shared" si="8"/>
        <v>0</v>
      </c>
      <c r="Y17" s="117">
        <f t="shared" si="9"/>
        <v>0</v>
      </c>
      <c r="Z17" s="88">
        <f t="shared" si="16"/>
        <v>0</v>
      </c>
      <c r="AA17" s="89">
        <f t="shared" si="10"/>
        <v>0</v>
      </c>
      <c r="AB17" s="57">
        <f t="shared" si="1"/>
        <v>163447</v>
      </c>
      <c r="AC17" s="58"/>
      <c r="AE17" s="28"/>
      <c r="AF17" s="28"/>
      <c r="AG17" s="28"/>
      <c r="AH17" s="28"/>
      <c r="AI17" s="28"/>
    </row>
    <row r="18" spans="1:148" x14ac:dyDescent="0.2">
      <c r="A18" s="128" t="s">
        <v>78</v>
      </c>
      <c r="B18" s="128" t="s">
        <v>79</v>
      </c>
      <c r="C18" s="128" t="s">
        <v>38</v>
      </c>
      <c r="D18" s="3" t="s">
        <v>39</v>
      </c>
      <c r="E18" s="150" t="s">
        <v>80</v>
      </c>
      <c r="F18" s="24" t="s">
        <v>41</v>
      </c>
      <c r="G18" s="4" t="s">
        <v>42</v>
      </c>
      <c r="H18" s="1" t="s">
        <v>18</v>
      </c>
      <c r="I18" s="42">
        <v>321996.57030867221</v>
      </c>
      <c r="K18" s="25"/>
      <c r="L18" s="24">
        <f t="shared" ref="L18:L54" si="19">ROUND(K18/120.2*121,0)</f>
        <v>0</v>
      </c>
      <c r="M18" s="24">
        <v>3526500</v>
      </c>
      <c r="N18" s="41">
        <f t="shared" si="18"/>
        <v>3589269</v>
      </c>
      <c r="O18" s="50">
        <f t="shared" si="2"/>
        <v>3828934</v>
      </c>
      <c r="P18" s="50">
        <f t="shared" si="3"/>
        <v>5230593</v>
      </c>
      <c r="Q18" s="50">
        <f t="shared" si="13"/>
        <v>4909072</v>
      </c>
      <c r="R18" s="50">
        <f t="shared" si="4"/>
        <v>4862019.32</v>
      </c>
      <c r="S18" s="88">
        <f t="shared" si="14"/>
        <v>4466000</v>
      </c>
      <c r="T18" s="87">
        <f t="shared" si="5"/>
        <v>4234700</v>
      </c>
      <c r="U18" s="136">
        <f t="shared" si="6"/>
        <v>442919</v>
      </c>
      <c r="V18" s="117">
        <f t="shared" si="15"/>
        <v>5414900</v>
      </c>
      <c r="W18" s="117">
        <f t="shared" si="7"/>
        <v>456000</v>
      </c>
      <c r="X18" s="136">
        <f t="shared" si="8"/>
        <v>421388</v>
      </c>
      <c r="Y18" s="117">
        <f t="shared" si="9"/>
        <v>416945.05</v>
      </c>
      <c r="Z18" s="88">
        <f t="shared" si="16"/>
        <v>373200</v>
      </c>
      <c r="AA18" s="89">
        <f t="shared" si="10"/>
        <v>353700</v>
      </c>
      <c r="AB18" s="57">
        <f t="shared" si="1"/>
        <v>4117103</v>
      </c>
      <c r="AC18" s="59">
        <f>330701+16500</f>
        <v>347201</v>
      </c>
      <c r="AE18" s="28" t="s">
        <v>203</v>
      </c>
      <c r="AF18" s="28" t="s">
        <v>203</v>
      </c>
      <c r="AG18" s="28"/>
      <c r="AH18" s="28" t="s">
        <v>203</v>
      </c>
      <c r="AI18" s="28" t="s">
        <v>203</v>
      </c>
    </row>
    <row r="19" spans="1:148" x14ac:dyDescent="0.2">
      <c r="A19" s="128" t="s">
        <v>81</v>
      </c>
      <c r="B19" s="128" t="s">
        <v>79</v>
      </c>
      <c r="C19" s="128" t="s">
        <v>38</v>
      </c>
      <c r="D19" s="3" t="s">
        <v>39</v>
      </c>
      <c r="E19" s="150" t="s">
        <v>82</v>
      </c>
      <c r="F19" s="24" t="s">
        <v>41</v>
      </c>
      <c r="G19" s="4" t="s">
        <v>42</v>
      </c>
      <c r="H19" s="1" t="s">
        <v>18</v>
      </c>
      <c r="I19" s="42">
        <v>638882.08394577808</v>
      </c>
      <c r="J19" s="2"/>
      <c r="K19" s="25"/>
      <c r="L19" s="24">
        <f t="shared" si="19"/>
        <v>0</v>
      </c>
      <c r="M19" s="24">
        <v>4615000</v>
      </c>
      <c r="N19" s="41">
        <f t="shared" si="18"/>
        <v>4697144</v>
      </c>
      <c r="O19" s="50">
        <f t="shared" si="2"/>
        <v>5010785</v>
      </c>
      <c r="P19" s="50">
        <f t="shared" si="3"/>
        <v>6845095</v>
      </c>
      <c r="Q19" s="50">
        <f t="shared" si="13"/>
        <v>6424332</v>
      </c>
      <c r="R19" s="50">
        <f t="shared" si="4"/>
        <v>6362756.7999999998</v>
      </c>
      <c r="S19" s="88">
        <f t="shared" si="14"/>
        <v>5844500</v>
      </c>
      <c r="T19" s="87">
        <f t="shared" si="5"/>
        <v>5541800</v>
      </c>
      <c r="U19" s="136">
        <f t="shared" si="6"/>
        <v>740573</v>
      </c>
      <c r="V19" s="117">
        <f t="shared" si="15"/>
        <v>7086300</v>
      </c>
      <c r="W19" s="117">
        <f t="shared" si="7"/>
        <v>762300</v>
      </c>
      <c r="X19" s="136">
        <f t="shared" si="8"/>
        <v>704572</v>
      </c>
      <c r="Y19" s="117">
        <f t="shared" si="9"/>
        <v>697142.86</v>
      </c>
      <c r="Z19" s="88">
        <f t="shared" si="16"/>
        <v>624000</v>
      </c>
      <c r="AA19" s="89">
        <f t="shared" si="10"/>
        <v>591400</v>
      </c>
      <c r="AB19" s="57">
        <f t="shared" si="1"/>
        <v>5387901</v>
      </c>
      <c r="AC19" s="59">
        <f>552499+28000</f>
        <v>580499</v>
      </c>
      <c r="AE19" s="28" t="s">
        <v>203</v>
      </c>
      <c r="AF19" s="28" t="s">
        <v>203</v>
      </c>
      <c r="AG19" s="28"/>
      <c r="AH19" s="28" t="s">
        <v>203</v>
      </c>
      <c r="AI19" s="28"/>
    </row>
    <row r="20" spans="1:148" s="26" customFormat="1" ht="25.5" x14ac:dyDescent="0.2">
      <c r="A20" s="129" t="s">
        <v>83</v>
      </c>
      <c r="B20" s="129" t="s">
        <v>79</v>
      </c>
      <c r="C20" s="129" t="s">
        <v>38</v>
      </c>
      <c r="D20" s="130" t="s">
        <v>84</v>
      </c>
      <c r="E20" s="129" t="s">
        <v>85</v>
      </c>
      <c r="F20" s="45" t="s">
        <v>41</v>
      </c>
      <c r="G20" s="8" t="s">
        <v>48</v>
      </c>
      <c r="H20" s="9" t="s">
        <v>18</v>
      </c>
      <c r="I20" s="47">
        <v>165560.7043558851</v>
      </c>
      <c r="K20" s="44"/>
      <c r="L20" s="45">
        <f t="shared" si="19"/>
        <v>0</v>
      </c>
      <c r="M20" s="45">
        <v>3998400</v>
      </c>
      <c r="N20" s="41">
        <f t="shared" si="18"/>
        <v>4069569</v>
      </c>
      <c r="O20" s="50">
        <f t="shared" si="2"/>
        <v>4341305</v>
      </c>
      <c r="P20" s="50">
        <f t="shared" si="3"/>
        <v>5930620</v>
      </c>
      <c r="Q20" s="50">
        <f t="shared" si="13"/>
        <v>5566069</v>
      </c>
      <c r="R20" s="50">
        <f t="shared" si="4"/>
        <v>5512719.9299999997</v>
      </c>
      <c r="S20" s="88">
        <f t="shared" si="14"/>
        <v>5063700</v>
      </c>
      <c r="T20" s="87">
        <f t="shared" si="5"/>
        <v>4801400</v>
      </c>
      <c r="U20" s="136">
        <f t="shared" si="6"/>
        <v>381918</v>
      </c>
      <c r="V20" s="117">
        <f t="shared" si="15"/>
        <v>6139600</v>
      </c>
      <c r="W20" s="117">
        <f t="shared" si="7"/>
        <v>393200</v>
      </c>
      <c r="X20" s="136">
        <f t="shared" si="8"/>
        <v>363352</v>
      </c>
      <c r="Y20" s="117">
        <f t="shared" si="9"/>
        <v>359520.15</v>
      </c>
      <c r="Z20" s="88">
        <f t="shared" si="16"/>
        <v>321800</v>
      </c>
      <c r="AA20" s="89">
        <f t="shared" si="10"/>
        <v>305000</v>
      </c>
      <c r="AB20" s="57">
        <f t="shared" si="1"/>
        <v>4668035</v>
      </c>
      <c r="AC20" s="61">
        <f>284390+15000</f>
        <v>299390</v>
      </c>
      <c r="AE20" s="176"/>
      <c r="AF20" s="176" t="s">
        <v>203</v>
      </c>
      <c r="AG20" s="176"/>
      <c r="AH20" s="176"/>
      <c r="AI20" s="176"/>
    </row>
    <row r="21" spans="1:148" x14ac:dyDescent="0.2">
      <c r="A21" s="128" t="s">
        <v>86</v>
      </c>
      <c r="B21" s="128" t="s">
        <v>79</v>
      </c>
      <c r="C21" s="128" t="s">
        <v>38</v>
      </c>
      <c r="D21" s="3" t="s">
        <v>39</v>
      </c>
      <c r="E21" s="150" t="s">
        <v>87</v>
      </c>
      <c r="F21" s="24" t="s">
        <v>41</v>
      </c>
      <c r="G21" s="4" t="s">
        <v>42</v>
      </c>
      <c r="H21" s="1" t="s">
        <v>18</v>
      </c>
      <c r="I21" s="42">
        <v>219775.43687734767</v>
      </c>
      <c r="J21" s="2"/>
      <c r="K21" s="25"/>
      <c r="L21" s="24">
        <f t="shared" si="19"/>
        <v>0</v>
      </c>
      <c r="M21" s="24">
        <v>2437000</v>
      </c>
      <c r="N21" s="41">
        <f t="shared" si="18"/>
        <v>2480377</v>
      </c>
      <c r="O21" s="50">
        <f t="shared" si="2"/>
        <v>2645998</v>
      </c>
      <c r="P21" s="50">
        <f t="shared" si="3"/>
        <v>3614684</v>
      </c>
      <c r="Q21" s="50">
        <f t="shared" si="13"/>
        <v>3392492</v>
      </c>
      <c r="R21" s="50">
        <f t="shared" si="4"/>
        <v>3359975.42</v>
      </c>
      <c r="S21" s="88">
        <f t="shared" si="14"/>
        <v>3086300</v>
      </c>
      <c r="T21" s="87">
        <f t="shared" si="5"/>
        <v>2926400</v>
      </c>
      <c r="U21" s="136">
        <f t="shared" si="6"/>
        <v>397583</v>
      </c>
      <c r="V21" s="117">
        <f t="shared" si="15"/>
        <v>3742100</v>
      </c>
      <c r="W21" s="117">
        <f t="shared" si="7"/>
        <v>409300</v>
      </c>
      <c r="X21" s="136">
        <f t="shared" si="8"/>
        <v>378256</v>
      </c>
      <c r="Y21" s="117">
        <f t="shared" si="9"/>
        <v>374267.4</v>
      </c>
      <c r="Z21" s="88">
        <f t="shared" si="16"/>
        <v>335000</v>
      </c>
      <c r="AA21" s="89">
        <f t="shared" si="10"/>
        <v>317500</v>
      </c>
      <c r="AB21" s="57">
        <f t="shared" si="1"/>
        <v>2845138</v>
      </c>
      <c r="AC21" s="59">
        <f>296701+15000</f>
        <v>311701</v>
      </c>
      <c r="AE21" s="28"/>
      <c r="AF21" s="28"/>
      <c r="AG21" s="28"/>
      <c r="AH21" s="28"/>
      <c r="AI21" s="28"/>
    </row>
    <row r="22" spans="1:148" x14ac:dyDescent="0.2">
      <c r="A22" s="31" t="s">
        <v>88</v>
      </c>
      <c r="B22" s="31"/>
      <c r="C22" s="128" t="s">
        <v>38</v>
      </c>
      <c r="E22" s="180" t="s">
        <v>89</v>
      </c>
      <c r="F22" s="24"/>
      <c r="G22" s="4"/>
      <c r="H22" s="1"/>
      <c r="I22" s="42"/>
      <c r="J22" s="2"/>
      <c r="K22" s="40">
        <v>713739</v>
      </c>
      <c r="L22" s="24">
        <f t="shared" si="19"/>
        <v>718489</v>
      </c>
      <c r="M22" s="24">
        <f t="shared" ref="M22:M23" si="20">ROUND(L22/121*123.1,0)</f>
        <v>730959</v>
      </c>
      <c r="N22" s="41">
        <f t="shared" si="18"/>
        <v>743970</v>
      </c>
      <c r="O22" s="50">
        <f t="shared" si="2"/>
        <v>793647</v>
      </c>
      <c r="P22" s="50">
        <f t="shared" si="3"/>
        <v>1084301</v>
      </c>
      <c r="Q22" s="50">
        <f t="shared" si="13"/>
        <v>1017649</v>
      </c>
      <c r="R22" s="50">
        <f t="shared" si="4"/>
        <v>1007894.64</v>
      </c>
      <c r="S22" s="88">
        <f t="shared" si="14"/>
        <v>925800</v>
      </c>
      <c r="T22" s="87">
        <f t="shared" si="5"/>
        <v>877800</v>
      </c>
      <c r="U22" s="136">
        <f t="shared" si="6"/>
        <v>21008</v>
      </c>
      <c r="V22" s="117">
        <f t="shared" si="15"/>
        <v>1122600</v>
      </c>
      <c r="W22" s="117">
        <f t="shared" si="7"/>
        <v>21700</v>
      </c>
      <c r="X22" s="136">
        <f t="shared" si="8"/>
        <v>19986</v>
      </c>
      <c r="Y22" s="117">
        <f t="shared" si="9"/>
        <v>19774.73</v>
      </c>
      <c r="Z22" s="88">
        <f t="shared" si="16"/>
        <v>17700</v>
      </c>
      <c r="AA22" s="89">
        <f t="shared" si="10"/>
        <v>16800</v>
      </c>
      <c r="AB22" s="57">
        <f t="shared" si="1"/>
        <v>853378</v>
      </c>
      <c r="AC22" s="59">
        <v>16461</v>
      </c>
      <c r="AE22" s="28"/>
      <c r="AF22" s="28"/>
      <c r="AG22" s="28"/>
      <c r="AH22" s="28"/>
      <c r="AI22" s="28"/>
    </row>
    <row r="23" spans="1:148" x14ac:dyDescent="0.2">
      <c r="A23" s="31" t="s">
        <v>88</v>
      </c>
      <c r="B23" s="31"/>
      <c r="C23" s="128" t="s">
        <v>38</v>
      </c>
      <c r="E23" s="180" t="s">
        <v>89</v>
      </c>
      <c r="F23" s="24"/>
      <c r="G23" s="4"/>
      <c r="H23" s="1"/>
      <c r="I23" s="42"/>
      <c r="J23" s="2"/>
      <c r="K23" s="40">
        <v>713739</v>
      </c>
      <c r="L23" s="24">
        <f t="shared" si="19"/>
        <v>718489</v>
      </c>
      <c r="M23" s="24">
        <f t="shared" si="20"/>
        <v>730959</v>
      </c>
      <c r="N23" s="41">
        <f t="shared" si="18"/>
        <v>743970</v>
      </c>
      <c r="O23" s="50">
        <f t="shared" si="2"/>
        <v>793647</v>
      </c>
      <c r="P23" s="50">
        <f t="shared" si="3"/>
        <v>1084301</v>
      </c>
      <c r="Q23" s="50">
        <f t="shared" si="13"/>
        <v>1017649</v>
      </c>
      <c r="R23" s="50">
        <f t="shared" si="4"/>
        <v>1007894.64</v>
      </c>
      <c r="S23" s="88">
        <f t="shared" si="14"/>
        <v>925800</v>
      </c>
      <c r="T23" s="87">
        <f t="shared" si="5"/>
        <v>877800</v>
      </c>
      <c r="U23" s="136">
        <f t="shared" si="6"/>
        <v>25992</v>
      </c>
      <c r="V23" s="117">
        <f t="shared" si="15"/>
        <v>1122600</v>
      </c>
      <c r="W23" s="117">
        <f t="shared" si="7"/>
        <v>26800</v>
      </c>
      <c r="X23" s="136">
        <f t="shared" si="8"/>
        <v>24728</v>
      </c>
      <c r="Y23" s="117">
        <f t="shared" si="9"/>
        <v>24467.03</v>
      </c>
      <c r="Z23" s="88">
        <f t="shared" si="16"/>
        <v>21900</v>
      </c>
      <c r="AA23" s="89">
        <f t="shared" si="10"/>
        <v>20800</v>
      </c>
      <c r="AB23" s="57">
        <f t="shared" si="1"/>
        <v>853378</v>
      </c>
      <c r="AC23" s="59">
        <v>20457</v>
      </c>
      <c r="AE23" s="28"/>
      <c r="AF23" s="28"/>
      <c r="AG23" s="28"/>
      <c r="AH23" s="28"/>
      <c r="AI23" s="28"/>
    </row>
    <row r="24" spans="1:148" x14ac:dyDescent="0.2">
      <c r="A24" s="128" t="s">
        <v>90</v>
      </c>
      <c r="B24" s="128" t="s">
        <v>91</v>
      </c>
      <c r="C24" s="128" t="s">
        <v>38</v>
      </c>
      <c r="D24" s="3" t="s">
        <v>39</v>
      </c>
      <c r="E24" s="150" t="s">
        <v>92</v>
      </c>
      <c r="F24" s="24" t="s">
        <v>41</v>
      </c>
      <c r="G24" s="4" t="s">
        <v>42</v>
      </c>
      <c r="H24" s="1" t="s">
        <v>18</v>
      </c>
      <c r="I24" s="42">
        <v>2734415.3192879311</v>
      </c>
      <c r="K24" s="25"/>
      <c r="L24" s="24">
        <f t="shared" si="19"/>
        <v>0</v>
      </c>
      <c r="M24" s="24">
        <v>20800000</v>
      </c>
      <c r="N24" s="41">
        <f>ROUND(M24/123.6*125.8,0)</f>
        <v>21170227</v>
      </c>
      <c r="O24" s="50">
        <f>ROUND(N24/125.8*134.2,0)+2000000</f>
        <v>24583819</v>
      </c>
      <c r="P24" s="50">
        <f t="shared" si="3"/>
        <v>33583773</v>
      </c>
      <c r="Q24" s="50">
        <f t="shared" si="13"/>
        <v>31519403</v>
      </c>
      <c r="R24" s="50">
        <f t="shared" si="4"/>
        <v>31217299.390000001</v>
      </c>
      <c r="S24" s="88">
        <f t="shared" si="14"/>
        <v>28674600</v>
      </c>
      <c r="T24" s="87">
        <f t="shared" si="5"/>
        <v>27189300</v>
      </c>
      <c r="U24" s="136">
        <f t="shared" si="6"/>
        <v>3442353</v>
      </c>
      <c r="V24" s="117">
        <f t="shared" si="15"/>
        <v>34767100</v>
      </c>
      <c r="W24" s="117">
        <f t="shared" si="7"/>
        <v>3543300</v>
      </c>
      <c r="X24" s="136">
        <f t="shared" si="8"/>
        <v>3275016</v>
      </c>
      <c r="Y24" s="117">
        <f t="shared" si="9"/>
        <v>3240485.35</v>
      </c>
      <c r="Z24" s="88">
        <f t="shared" si="16"/>
        <v>2900500</v>
      </c>
      <c r="AA24" s="89">
        <f t="shared" si="10"/>
        <v>2749100</v>
      </c>
      <c r="AB24" s="57">
        <f t="shared" si="1"/>
        <v>26434017</v>
      </c>
      <c r="AC24" s="59">
        <f>2523658+45000+130000</f>
        <v>2698658</v>
      </c>
      <c r="AE24" s="28" t="s">
        <v>203</v>
      </c>
      <c r="AF24" s="28" t="s">
        <v>203</v>
      </c>
      <c r="AG24" s="28"/>
      <c r="AH24" s="28" t="s">
        <v>203</v>
      </c>
      <c r="AI24" s="28" t="s">
        <v>204</v>
      </c>
      <c r="AJ24" s="23" t="s">
        <v>205</v>
      </c>
    </row>
    <row r="25" spans="1:148" x14ac:dyDescent="0.2">
      <c r="A25" s="128" t="s">
        <v>93</v>
      </c>
      <c r="B25" s="128" t="s">
        <v>94</v>
      </c>
      <c r="C25" s="128" t="s">
        <v>38</v>
      </c>
      <c r="D25" s="3" t="s">
        <v>39</v>
      </c>
      <c r="E25" s="179" t="s">
        <v>95</v>
      </c>
      <c r="F25" s="24" t="s">
        <v>47</v>
      </c>
      <c r="G25" s="4" t="s">
        <v>48</v>
      </c>
      <c r="H25" s="1" t="s">
        <v>16</v>
      </c>
      <c r="I25" s="42">
        <v>138623.56091030789</v>
      </c>
      <c r="J25" s="2"/>
      <c r="K25" s="24">
        <f>ROUND(I25,0)</f>
        <v>138624</v>
      </c>
      <c r="L25" s="24">
        <f t="shared" si="19"/>
        <v>139547</v>
      </c>
      <c r="M25" s="24">
        <v>168000</v>
      </c>
      <c r="N25" s="41">
        <f t="shared" ref="N25:N31" si="21">ROUND(M25/123.6*125.8,0)</f>
        <v>170990</v>
      </c>
      <c r="O25" s="50">
        <f t="shared" si="2"/>
        <v>182407</v>
      </c>
      <c r="P25" s="50">
        <f t="shared" si="3"/>
        <v>249115</v>
      </c>
      <c r="Q25" s="50">
        <f t="shared" si="13"/>
        <v>233802</v>
      </c>
      <c r="R25" s="50">
        <f t="shared" si="4"/>
        <v>231561.02</v>
      </c>
      <c r="S25" s="88">
        <f t="shared" si="14"/>
        <v>212700</v>
      </c>
      <c r="T25" s="87">
        <f t="shared" si="5"/>
        <v>201700</v>
      </c>
      <c r="U25" s="136">
        <f t="shared" si="6"/>
        <v>0</v>
      </c>
      <c r="V25" s="117">
        <f t="shared" si="15"/>
        <v>257900</v>
      </c>
      <c r="W25" s="117">
        <f t="shared" si="7"/>
        <v>0</v>
      </c>
      <c r="X25" s="136">
        <f t="shared" si="8"/>
        <v>0</v>
      </c>
      <c r="Y25" s="117">
        <f t="shared" si="9"/>
        <v>0</v>
      </c>
      <c r="Z25" s="88">
        <f t="shared" si="16"/>
        <v>0</v>
      </c>
      <c r="AA25" s="89">
        <f t="shared" si="10"/>
        <v>0</v>
      </c>
      <c r="AB25" s="57">
        <f t="shared" si="1"/>
        <v>196135</v>
      </c>
      <c r="AC25" s="58"/>
      <c r="AE25" s="28"/>
      <c r="AF25" s="28"/>
      <c r="AG25" s="28"/>
      <c r="AH25" s="28"/>
      <c r="AI25" s="28"/>
    </row>
    <row r="26" spans="1:148" x14ac:dyDescent="0.2">
      <c r="A26" s="128" t="s">
        <v>96</v>
      </c>
      <c r="B26" s="128" t="s">
        <v>97</v>
      </c>
      <c r="C26" s="128" t="s">
        <v>38</v>
      </c>
      <c r="D26" s="3" t="s">
        <v>39</v>
      </c>
      <c r="E26" s="150" t="s">
        <v>98</v>
      </c>
      <c r="F26" s="24" t="s">
        <v>41</v>
      </c>
      <c r="G26" s="4" t="s">
        <v>42</v>
      </c>
      <c r="H26" s="1" t="s">
        <v>18</v>
      </c>
      <c r="I26" s="42">
        <v>383329.25036746688</v>
      </c>
      <c r="K26" s="25"/>
      <c r="L26" s="24">
        <f t="shared" si="19"/>
        <v>0</v>
      </c>
      <c r="M26" s="24">
        <v>2964000</v>
      </c>
      <c r="N26" s="41">
        <f t="shared" si="21"/>
        <v>3016757</v>
      </c>
      <c r="O26" s="50">
        <f t="shared" si="2"/>
        <v>3218194</v>
      </c>
      <c r="P26" s="50">
        <f t="shared" si="3"/>
        <v>4396345</v>
      </c>
      <c r="Q26" s="50">
        <f t="shared" si="13"/>
        <v>4126104</v>
      </c>
      <c r="R26" s="50">
        <f t="shared" si="4"/>
        <v>4086556.63</v>
      </c>
      <c r="S26" s="88">
        <f t="shared" si="14"/>
        <v>3753700</v>
      </c>
      <c r="T26" s="87">
        <f t="shared" si="5"/>
        <v>3559300</v>
      </c>
      <c r="U26" s="136">
        <f t="shared" si="6"/>
        <v>494665</v>
      </c>
      <c r="V26" s="117">
        <f t="shared" si="15"/>
        <v>4551300</v>
      </c>
      <c r="W26" s="117">
        <f t="shared" si="7"/>
        <v>509200</v>
      </c>
      <c r="X26" s="136">
        <f t="shared" si="8"/>
        <v>470618</v>
      </c>
      <c r="Y26" s="117">
        <f t="shared" si="9"/>
        <v>465655.68</v>
      </c>
      <c r="Z26" s="88">
        <f t="shared" si="16"/>
        <v>416800</v>
      </c>
      <c r="AA26" s="89">
        <f t="shared" si="10"/>
        <v>395000</v>
      </c>
      <c r="AB26" s="57">
        <f t="shared" si="1"/>
        <v>3460398</v>
      </c>
      <c r="AC26" s="59">
        <f>369201+18500</f>
        <v>387701</v>
      </c>
      <c r="AE26" s="28" t="s">
        <v>203</v>
      </c>
      <c r="AF26" s="28" t="s">
        <v>203</v>
      </c>
      <c r="AG26" s="28"/>
      <c r="AH26" s="28"/>
      <c r="AI26" s="28" t="s">
        <v>203</v>
      </c>
    </row>
    <row r="27" spans="1:148" x14ac:dyDescent="0.2">
      <c r="A27" s="128" t="s">
        <v>99</v>
      </c>
      <c r="B27" s="128" t="s">
        <v>100</v>
      </c>
      <c r="C27" s="128" t="s">
        <v>38</v>
      </c>
      <c r="D27" s="3" t="s">
        <v>39</v>
      </c>
      <c r="E27" s="179" t="s">
        <v>101</v>
      </c>
      <c r="F27" s="24" t="s">
        <v>47</v>
      </c>
      <c r="G27" s="4" t="s">
        <v>48</v>
      </c>
      <c r="H27" s="1" t="s">
        <v>16</v>
      </c>
      <c r="I27" s="42">
        <v>3005133.4895136096</v>
      </c>
      <c r="J27" s="2"/>
      <c r="K27" s="24">
        <f>ROUND(I27,0)</f>
        <v>3005133</v>
      </c>
      <c r="L27" s="24">
        <f t="shared" si="19"/>
        <v>3025134</v>
      </c>
      <c r="M27" s="24">
        <v>5682450</v>
      </c>
      <c r="N27" s="41">
        <f t="shared" si="21"/>
        <v>5783594</v>
      </c>
      <c r="O27" s="50">
        <f t="shared" si="2"/>
        <v>6169780</v>
      </c>
      <c r="P27" s="50">
        <f t="shared" si="3"/>
        <v>8428562</v>
      </c>
      <c r="Q27" s="50">
        <f t="shared" si="13"/>
        <v>7910464</v>
      </c>
      <c r="R27" s="50">
        <f t="shared" si="4"/>
        <v>7834644.4199999999</v>
      </c>
      <c r="S27" s="88">
        <f t="shared" si="14"/>
        <v>7196500</v>
      </c>
      <c r="T27" s="87">
        <f t="shared" si="5"/>
        <v>6823700</v>
      </c>
      <c r="U27" s="136">
        <f t="shared" si="6"/>
        <v>0</v>
      </c>
      <c r="V27" s="117">
        <f t="shared" si="15"/>
        <v>8725600</v>
      </c>
      <c r="W27" s="117">
        <f t="shared" si="7"/>
        <v>0</v>
      </c>
      <c r="X27" s="136">
        <f t="shared" si="8"/>
        <v>0</v>
      </c>
      <c r="Y27" s="117">
        <f t="shared" si="9"/>
        <v>0</v>
      </c>
      <c r="Z27" s="88">
        <f t="shared" si="16"/>
        <v>0</v>
      </c>
      <c r="AA27" s="89">
        <f t="shared" si="10"/>
        <v>0</v>
      </c>
      <c r="AB27" s="57">
        <f t="shared" si="1"/>
        <v>6634123</v>
      </c>
      <c r="AC27" s="58"/>
      <c r="AE27" s="28"/>
      <c r="AF27" s="28"/>
      <c r="AG27" s="28"/>
      <c r="AH27" s="28"/>
      <c r="AI27" s="28"/>
    </row>
    <row r="28" spans="1:148" s="151" customFormat="1" x14ac:dyDescent="0.2">
      <c r="A28" s="128" t="s">
        <v>102</v>
      </c>
      <c r="B28" s="128" t="s">
        <v>103</v>
      </c>
      <c r="C28" s="128" t="s">
        <v>38</v>
      </c>
      <c r="D28" s="3" t="s">
        <v>39</v>
      </c>
      <c r="E28" s="128" t="s">
        <v>104</v>
      </c>
      <c r="F28" s="24" t="s">
        <v>47</v>
      </c>
      <c r="G28" s="4" t="s">
        <v>42</v>
      </c>
      <c r="H28" s="1" t="s">
        <v>18</v>
      </c>
      <c r="I28" s="42">
        <v>270886.00359300995</v>
      </c>
      <c r="J28" s="23"/>
      <c r="K28" s="25"/>
      <c r="L28" s="24">
        <f t="shared" si="19"/>
        <v>0</v>
      </c>
      <c r="M28" s="24">
        <v>1785000</v>
      </c>
      <c r="N28" s="41">
        <f t="shared" si="21"/>
        <v>1816772</v>
      </c>
      <c r="O28" s="50">
        <f t="shared" si="2"/>
        <v>1938083</v>
      </c>
      <c r="P28" s="50">
        <f t="shared" si="3"/>
        <v>2647622</v>
      </c>
      <c r="Q28" s="50">
        <f t="shared" si="13"/>
        <v>2484874</v>
      </c>
      <c r="R28" s="50">
        <f t="shared" si="4"/>
        <v>2461057.0699999998</v>
      </c>
      <c r="S28" s="45">
        <f t="shared" si="14"/>
        <v>2260600</v>
      </c>
      <c r="T28" s="107">
        <f t="shared" si="5"/>
        <v>2143500</v>
      </c>
      <c r="U28" s="117">
        <f t="shared" si="6"/>
        <v>0</v>
      </c>
      <c r="V28" s="117">
        <f t="shared" si="15"/>
        <v>2741000</v>
      </c>
      <c r="W28" s="117">
        <f t="shared" si="7"/>
        <v>0</v>
      </c>
      <c r="X28" s="117">
        <f t="shared" si="8"/>
        <v>0</v>
      </c>
      <c r="Y28" s="117">
        <f t="shared" si="9"/>
        <v>0</v>
      </c>
      <c r="Z28" s="45">
        <f t="shared" si="16"/>
        <v>0</v>
      </c>
      <c r="AA28" s="108">
        <f t="shared" si="10"/>
        <v>0</v>
      </c>
      <c r="AB28" s="107">
        <f t="shared" si="1"/>
        <v>2083945</v>
      </c>
      <c r="AC28" s="24"/>
      <c r="AD28" s="23" t="s">
        <v>105</v>
      </c>
      <c r="AE28" s="28"/>
      <c r="AF28" s="28"/>
      <c r="AG28" s="28"/>
      <c r="AH28" s="28"/>
      <c r="AI28" s="28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</row>
    <row r="29" spans="1:148" x14ac:dyDescent="0.2">
      <c r="A29" s="128" t="s">
        <v>106</v>
      </c>
      <c r="B29" s="128" t="s">
        <v>103</v>
      </c>
      <c r="C29" s="128" t="s">
        <v>38</v>
      </c>
      <c r="D29" s="3" t="s">
        <v>39</v>
      </c>
      <c r="E29" s="128" t="s">
        <v>107</v>
      </c>
      <c r="F29" s="24" t="s">
        <v>41</v>
      </c>
      <c r="G29" s="4" t="s">
        <v>42</v>
      </c>
      <c r="H29" s="1" t="s">
        <v>18</v>
      </c>
      <c r="I29" s="42">
        <v>352662.91033806955</v>
      </c>
      <c r="K29" s="25"/>
      <c r="L29" s="24">
        <f t="shared" si="19"/>
        <v>0</v>
      </c>
      <c r="M29" s="24">
        <v>2159000</v>
      </c>
      <c r="N29" s="41">
        <f t="shared" si="21"/>
        <v>2197429</v>
      </c>
      <c r="O29" s="50">
        <f t="shared" si="2"/>
        <v>2344157</v>
      </c>
      <c r="P29" s="50">
        <f t="shared" si="3"/>
        <v>3202304</v>
      </c>
      <c r="Q29" s="50">
        <f t="shared" si="13"/>
        <v>3005460</v>
      </c>
      <c r="R29" s="50">
        <f t="shared" si="4"/>
        <v>2976653.2</v>
      </c>
      <c r="S29" s="45">
        <f t="shared" si="14"/>
        <v>2734200</v>
      </c>
      <c r="T29" s="107">
        <v>2592600</v>
      </c>
      <c r="U29" s="117">
        <f t="shared" si="6"/>
        <v>0</v>
      </c>
      <c r="V29" s="117">
        <f t="shared" si="15"/>
        <v>3315200</v>
      </c>
      <c r="W29" s="117">
        <f t="shared" si="7"/>
        <v>0</v>
      </c>
      <c r="X29" s="117">
        <f t="shared" si="8"/>
        <v>0</v>
      </c>
      <c r="Y29" s="117">
        <f t="shared" si="9"/>
        <v>0</v>
      </c>
      <c r="Z29" s="45">
        <v>0</v>
      </c>
      <c r="AA29" s="108">
        <v>384800</v>
      </c>
      <c r="AB29" s="107">
        <f t="shared" si="1"/>
        <v>2520580</v>
      </c>
      <c r="AC29" s="24">
        <f>359744+18000</f>
        <v>377744</v>
      </c>
      <c r="AE29" s="28"/>
      <c r="AF29" s="28"/>
      <c r="AG29" s="28"/>
      <c r="AH29" s="28"/>
      <c r="AI29" s="28"/>
    </row>
    <row r="30" spans="1:148" x14ac:dyDescent="0.2">
      <c r="A30" s="128" t="s">
        <v>108</v>
      </c>
      <c r="B30" s="128" t="s">
        <v>109</v>
      </c>
      <c r="C30" s="128" t="s">
        <v>38</v>
      </c>
      <c r="D30" s="3" t="s">
        <v>39</v>
      </c>
      <c r="E30" s="128" t="s">
        <v>110</v>
      </c>
      <c r="F30" s="24" t="s">
        <v>41</v>
      </c>
      <c r="G30" s="4" t="s">
        <v>48</v>
      </c>
      <c r="H30" s="1" t="s">
        <v>18</v>
      </c>
      <c r="I30" s="42">
        <v>157853.56811862835</v>
      </c>
      <c r="J30" s="2"/>
      <c r="K30" s="25"/>
      <c r="L30" s="24">
        <f t="shared" si="19"/>
        <v>0</v>
      </c>
      <c r="M30" s="24">
        <v>6540000</v>
      </c>
      <c r="N30" s="41">
        <f t="shared" si="21"/>
        <v>6656408</v>
      </c>
      <c r="O30" s="50">
        <f t="shared" si="2"/>
        <v>7100874</v>
      </c>
      <c r="P30" s="50">
        <f t="shared" si="3"/>
        <v>9700371</v>
      </c>
      <c r="Q30" s="50">
        <f t="shared" si="13"/>
        <v>9104096</v>
      </c>
      <c r="R30" s="50">
        <f t="shared" si="4"/>
        <v>9016835.8200000003</v>
      </c>
      <c r="S30" s="45">
        <f t="shared" si="14"/>
        <v>8282400</v>
      </c>
      <c r="T30" s="107">
        <f t="shared" si="5"/>
        <v>7853400</v>
      </c>
      <c r="U30" s="117">
        <f t="shared" si="6"/>
        <v>134942</v>
      </c>
      <c r="V30" s="117">
        <f t="shared" si="15"/>
        <v>10042200</v>
      </c>
      <c r="W30" s="117">
        <f t="shared" si="7"/>
        <v>138900</v>
      </c>
      <c r="X30" s="117">
        <f t="shared" si="8"/>
        <v>128382</v>
      </c>
      <c r="Y30" s="117">
        <f t="shared" si="9"/>
        <v>127027.47</v>
      </c>
      <c r="Z30" s="45">
        <f t="shared" si="16"/>
        <v>113700</v>
      </c>
      <c r="AA30" s="108">
        <f t="shared" si="10"/>
        <v>107800</v>
      </c>
      <c r="AB30" s="107">
        <f t="shared" si="1"/>
        <v>7635291</v>
      </c>
      <c r="AC30" s="24">
        <f>100755+5050</f>
        <v>105805</v>
      </c>
      <c r="AE30" s="28" t="s">
        <v>203</v>
      </c>
      <c r="AF30" s="28" t="s">
        <v>203</v>
      </c>
      <c r="AG30" s="28"/>
      <c r="AH30" s="28"/>
      <c r="AI30" s="28"/>
    </row>
    <row r="31" spans="1:148" s="151" customFormat="1" x14ac:dyDescent="0.2">
      <c r="A31" s="128" t="s">
        <v>111</v>
      </c>
      <c r="B31" s="128" t="s">
        <v>112</v>
      </c>
      <c r="C31" s="128" t="s">
        <v>38</v>
      </c>
      <c r="D31" s="3" t="s">
        <v>69</v>
      </c>
      <c r="E31" s="128" t="s">
        <v>113</v>
      </c>
      <c r="F31" s="24" t="s">
        <v>41</v>
      </c>
      <c r="G31" s="4" t="s">
        <v>48</v>
      </c>
      <c r="H31" s="1" t="s">
        <v>16</v>
      </c>
      <c r="I31" s="42">
        <v>577923.54474370123</v>
      </c>
      <c r="J31" s="2"/>
      <c r="K31" s="24">
        <f>ROUND(I31,0)</f>
        <v>577924</v>
      </c>
      <c r="L31" s="24">
        <f t="shared" si="19"/>
        <v>581770</v>
      </c>
      <c r="M31" s="24">
        <v>4044000</v>
      </c>
      <c r="N31" s="41">
        <f t="shared" si="21"/>
        <v>4115981</v>
      </c>
      <c r="O31" s="50">
        <f t="shared" si="2"/>
        <v>4390816</v>
      </c>
      <c r="P31" s="50"/>
      <c r="Q31" s="50"/>
      <c r="R31" s="50"/>
      <c r="S31" s="45"/>
      <c r="T31" s="107"/>
      <c r="U31" s="117"/>
      <c r="V31" s="117">
        <f t="shared" si="15"/>
        <v>0</v>
      </c>
      <c r="W31" s="117">
        <f t="shared" si="7"/>
        <v>0</v>
      </c>
      <c r="X31" s="117">
        <f t="shared" si="8"/>
        <v>329817</v>
      </c>
      <c r="Y31" s="117">
        <f t="shared" si="9"/>
        <v>326338.83</v>
      </c>
      <c r="Z31" s="45">
        <f t="shared" si="16"/>
        <v>292100</v>
      </c>
      <c r="AA31" s="108">
        <f t="shared" si="10"/>
        <v>276900</v>
      </c>
      <c r="AB31" s="107">
        <f t="shared" si="1"/>
        <v>4721272</v>
      </c>
      <c r="AC31" s="24">
        <f>255794+16000</f>
        <v>271794</v>
      </c>
      <c r="AD31" s="23" t="s">
        <v>114</v>
      </c>
      <c r="AE31" s="28"/>
      <c r="AF31" s="28"/>
      <c r="AG31" s="28"/>
      <c r="AH31" s="28"/>
      <c r="AI31" s="28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</row>
    <row r="32" spans="1:148" x14ac:dyDescent="0.2">
      <c r="A32" s="128" t="s">
        <v>115</v>
      </c>
      <c r="B32" s="128" t="s">
        <v>116</v>
      </c>
      <c r="C32" s="128" t="s">
        <v>38</v>
      </c>
      <c r="D32" s="3" t="s">
        <v>117</v>
      </c>
      <c r="E32" s="128" t="s">
        <v>118</v>
      </c>
      <c r="F32" s="24" t="s">
        <v>41</v>
      </c>
      <c r="G32" s="4" t="s">
        <v>48</v>
      </c>
      <c r="H32" s="1" t="s">
        <v>18</v>
      </c>
      <c r="I32" s="42">
        <v>147767.68612913188</v>
      </c>
      <c r="J32" s="2" t="s">
        <v>119</v>
      </c>
      <c r="K32" s="25"/>
      <c r="L32" s="24">
        <f>ROUND(K32/120.2*121,0)</f>
        <v>0</v>
      </c>
      <c r="M32" s="24">
        <v>3755000</v>
      </c>
      <c r="N32" s="41">
        <f>ROUND(M32/123.6*125.8,0)</f>
        <v>3821837</v>
      </c>
      <c r="O32" s="50">
        <f t="shared" si="2"/>
        <v>4077031</v>
      </c>
      <c r="P32" s="50">
        <f t="shared" si="3"/>
        <v>5569539</v>
      </c>
      <c r="Q32" s="50">
        <f t="shared" si="13"/>
        <v>5227183</v>
      </c>
      <c r="R32" s="50">
        <f t="shared" si="4"/>
        <v>5177081.6500000004</v>
      </c>
      <c r="S32" s="88">
        <f t="shared" si="14"/>
        <v>4755400</v>
      </c>
      <c r="T32" s="87">
        <f t="shared" si="5"/>
        <v>4509100</v>
      </c>
      <c r="U32" s="136">
        <f t="shared" si="6"/>
        <v>324119</v>
      </c>
      <c r="V32" s="117">
        <f t="shared" si="15"/>
        <v>5765800</v>
      </c>
      <c r="W32" s="117">
        <f t="shared" si="7"/>
        <v>333700</v>
      </c>
      <c r="X32" s="136">
        <f t="shared" si="8"/>
        <v>308363</v>
      </c>
      <c r="Y32" s="117">
        <f t="shared" si="9"/>
        <v>305111.71999999997</v>
      </c>
      <c r="Z32" s="88">
        <f t="shared" si="16"/>
        <v>273100</v>
      </c>
      <c r="AA32" s="89">
        <f t="shared" si="10"/>
        <v>258800</v>
      </c>
      <c r="AB32" s="57">
        <f t="shared" si="1"/>
        <v>4383872</v>
      </c>
      <c r="AC32" s="59">
        <f>237530+16500</f>
        <v>254030</v>
      </c>
      <c r="AE32" s="28"/>
      <c r="AF32" s="28"/>
      <c r="AG32" s="28"/>
      <c r="AH32" s="28"/>
      <c r="AI32" s="28"/>
    </row>
    <row r="33" spans="1:35" x14ac:dyDescent="0.2">
      <c r="A33" s="128" t="s">
        <v>120</v>
      </c>
      <c r="B33" s="128" t="s">
        <v>121</v>
      </c>
      <c r="C33" s="128" t="s">
        <v>38</v>
      </c>
      <c r="D33" s="3" t="s">
        <v>39</v>
      </c>
      <c r="E33" s="128" t="s">
        <v>122</v>
      </c>
      <c r="F33" s="24" t="s">
        <v>47</v>
      </c>
      <c r="G33" s="4" t="s">
        <v>48</v>
      </c>
      <c r="H33" s="1" t="s">
        <v>16</v>
      </c>
      <c r="I33" s="42">
        <v>5237812.9629629627</v>
      </c>
      <c r="J33" s="2"/>
      <c r="K33" s="24">
        <f>ROUND(I33,0)</f>
        <v>5237813</v>
      </c>
      <c r="L33" s="24">
        <f t="shared" si="19"/>
        <v>5272674</v>
      </c>
      <c r="M33" s="24">
        <v>8158900</v>
      </c>
      <c r="N33" s="41">
        <f t="shared" ref="N33:N35" si="22">ROUND(M33/123.6*125.8,0)</f>
        <v>8304123</v>
      </c>
      <c r="O33" s="50">
        <f t="shared" si="2"/>
        <v>8858611</v>
      </c>
      <c r="P33" s="50">
        <f t="shared" si="3"/>
        <v>12101688</v>
      </c>
      <c r="Q33" s="50">
        <f t="shared" si="13"/>
        <v>11357806</v>
      </c>
      <c r="R33" s="50">
        <f t="shared" si="4"/>
        <v>11248944.689999999</v>
      </c>
      <c r="S33" s="88">
        <f t="shared" si="14"/>
        <v>10332700</v>
      </c>
      <c r="T33" s="87">
        <f t="shared" si="5"/>
        <v>9797500</v>
      </c>
      <c r="U33" s="136">
        <f t="shared" si="6"/>
        <v>0</v>
      </c>
      <c r="V33" s="117">
        <f t="shared" si="15"/>
        <v>12528100</v>
      </c>
      <c r="W33" s="117">
        <f t="shared" si="7"/>
        <v>0</v>
      </c>
      <c r="X33" s="136">
        <f t="shared" si="8"/>
        <v>0</v>
      </c>
      <c r="Y33" s="117">
        <f t="shared" si="9"/>
        <v>0</v>
      </c>
      <c r="Z33" s="88">
        <f t="shared" si="16"/>
        <v>0</v>
      </c>
      <c r="AA33" s="89">
        <f t="shared" si="10"/>
        <v>0</v>
      </c>
      <c r="AB33" s="57">
        <f t="shared" si="1"/>
        <v>9525317</v>
      </c>
      <c r="AC33" s="58"/>
      <c r="AE33" s="28" t="s">
        <v>203</v>
      </c>
      <c r="AF33" s="28" t="s">
        <v>203</v>
      </c>
      <c r="AG33" s="28"/>
      <c r="AH33" s="28"/>
      <c r="AI33" s="28"/>
    </row>
    <row r="34" spans="1:35" x14ac:dyDescent="0.2">
      <c r="A34" s="128" t="s">
        <v>123</v>
      </c>
      <c r="B34" s="128" t="s">
        <v>124</v>
      </c>
      <c r="C34" s="128" t="s">
        <v>38</v>
      </c>
      <c r="D34" s="3" t="s">
        <v>39</v>
      </c>
      <c r="E34" s="179" t="s">
        <v>125</v>
      </c>
      <c r="F34" s="24" t="s">
        <v>41</v>
      </c>
      <c r="G34" s="4" t="s">
        <v>48</v>
      </c>
      <c r="H34" s="3" t="s">
        <v>18</v>
      </c>
      <c r="I34" s="48">
        <v>41390.176088971275</v>
      </c>
      <c r="J34" s="49"/>
      <c r="K34" s="25"/>
      <c r="L34" s="24">
        <f t="shared" si="19"/>
        <v>0</v>
      </c>
      <c r="M34" s="24">
        <v>517500</v>
      </c>
      <c r="N34" s="41">
        <f t="shared" si="22"/>
        <v>526711</v>
      </c>
      <c r="O34" s="50">
        <f t="shared" si="2"/>
        <v>561881</v>
      </c>
      <c r="P34" s="50">
        <f t="shared" si="3"/>
        <v>767491</v>
      </c>
      <c r="Q34" s="50">
        <f t="shared" si="13"/>
        <v>720313</v>
      </c>
      <c r="R34" s="50">
        <f t="shared" si="4"/>
        <v>713408.25</v>
      </c>
      <c r="S34" s="88">
        <f t="shared" si="14"/>
        <v>655300</v>
      </c>
      <c r="T34" s="87">
        <f t="shared" si="5"/>
        <v>621400</v>
      </c>
      <c r="U34" s="136">
        <f t="shared" si="6"/>
        <v>99575</v>
      </c>
      <c r="V34" s="117">
        <f t="shared" si="15"/>
        <v>794600</v>
      </c>
      <c r="W34" s="117">
        <f t="shared" si="7"/>
        <v>102500</v>
      </c>
      <c r="X34" s="136">
        <f t="shared" si="8"/>
        <v>94734</v>
      </c>
      <c r="Y34" s="117">
        <f t="shared" si="9"/>
        <v>93734.43</v>
      </c>
      <c r="Z34" s="88">
        <f t="shared" si="16"/>
        <v>83900</v>
      </c>
      <c r="AA34" s="89">
        <f t="shared" si="10"/>
        <v>79500</v>
      </c>
      <c r="AB34" s="57">
        <f t="shared" si="1"/>
        <v>604169</v>
      </c>
      <c r="AC34" s="59">
        <f>73000+5000</f>
        <v>78000</v>
      </c>
      <c r="AE34" s="28"/>
      <c r="AF34" s="28"/>
      <c r="AG34" s="28"/>
      <c r="AH34" s="28"/>
      <c r="AI34" s="28"/>
    </row>
    <row r="35" spans="1:35" x14ac:dyDescent="0.2">
      <c r="A35" s="128" t="s">
        <v>126</v>
      </c>
      <c r="B35" s="128"/>
      <c r="C35" s="128" t="s">
        <v>38</v>
      </c>
      <c r="D35" s="3" t="s">
        <v>127</v>
      </c>
      <c r="E35" s="179" t="s">
        <v>128</v>
      </c>
      <c r="F35" s="24" t="s">
        <v>41</v>
      </c>
      <c r="G35" s="4" t="s">
        <v>48</v>
      </c>
      <c r="H35" s="1" t="s">
        <v>16</v>
      </c>
      <c r="I35" s="42">
        <v>21958.277554663095</v>
      </c>
      <c r="J35" s="2"/>
      <c r="K35" s="24">
        <f>ROUND(I35,0)</f>
        <v>21958</v>
      </c>
      <c r="L35" s="24">
        <f t="shared" si="19"/>
        <v>22104</v>
      </c>
      <c r="M35" s="24">
        <v>25000</v>
      </c>
      <c r="N35" s="41">
        <f t="shared" si="22"/>
        <v>25445</v>
      </c>
      <c r="O35" s="50">
        <f t="shared" si="2"/>
        <v>27144</v>
      </c>
      <c r="P35" s="50">
        <f t="shared" si="3"/>
        <v>37012</v>
      </c>
      <c r="Q35" s="50">
        <f t="shared" si="13"/>
        <v>34736</v>
      </c>
      <c r="R35" s="50">
        <f t="shared" si="4"/>
        <v>34402.11</v>
      </c>
      <c r="S35" s="88">
        <f t="shared" si="14"/>
        <v>31600</v>
      </c>
      <c r="T35" s="87">
        <f t="shared" si="5"/>
        <v>30000</v>
      </c>
      <c r="U35" s="136">
        <f t="shared" si="6"/>
        <v>75126</v>
      </c>
      <c r="V35" s="117">
        <f t="shared" si="15"/>
        <v>38400</v>
      </c>
      <c r="W35" s="117">
        <f t="shared" si="7"/>
        <v>77400</v>
      </c>
      <c r="X35" s="136">
        <f t="shared" si="8"/>
        <v>71474</v>
      </c>
      <c r="Y35" s="117">
        <f t="shared" si="9"/>
        <v>70719.78</v>
      </c>
      <c r="Z35" s="88">
        <f t="shared" si="16"/>
        <v>63300</v>
      </c>
      <c r="AA35" s="89">
        <f t="shared" si="10"/>
        <v>60000</v>
      </c>
      <c r="AB35" s="57">
        <f t="shared" si="1"/>
        <v>29187</v>
      </c>
      <c r="AC35" s="59">
        <f>55000+3850</f>
        <v>58850</v>
      </c>
      <c r="AE35" s="28"/>
      <c r="AF35" s="28"/>
      <c r="AG35" s="28"/>
      <c r="AH35" s="28"/>
      <c r="AI35" s="28"/>
    </row>
    <row r="36" spans="1:35" x14ac:dyDescent="0.2">
      <c r="A36" s="128" t="s">
        <v>129</v>
      </c>
      <c r="B36" s="128" t="s">
        <v>130</v>
      </c>
      <c r="C36" s="128" t="s">
        <v>38</v>
      </c>
      <c r="D36" s="3" t="s">
        <v>39</v>
      </c>
      <c r="E36" s="128" t="s">
        <v>131</v>
      </c>
      <c r="F36" s="24"/>
      <c r="G36" s="4" t="s">
        <v>48</v>
      </c>
      <c r="H36" s="1" t="s">
        <v>16</v>
      </c>
      <c r="I36" s="42">
        <v>21888870.303435966</v>
      </c>
      <c r="J36" s="2"/>
      <c r="K36" s="24">
        <f>ROUND(I36,0)</f>
        <v>21888870</v>
      </c>
      <c r="L36" s="24">
        <f t="shared" si="19"/>
        <v>22034553</v>
      </c>
      <c r="M36" s="24">
        <f>ROUND(L36/121*123.1,0)</f>
        <v>22416971</v>
      </c>
      <c r="N36" s="24">
        <v>27795000</v>
      </c>
      <c r="O36" s="50">
        <f t="shared" si="2"/>
        <v>29650946</v>
      </c>
      <c r="P36" s="50">
        <f t="shared" si="3"/>
        <v>40505933</v>
      </c>
      <c r="Q36" s="50">
        <f t="shared" si="13"/>
        <v>38016063</v>
      </c>
      <c r="R36" s="50">
        <f t="shared" si="4"/>
        <v>37651690.960000001</v>
      </c>
      <c r="S36" s="88">
        <f t="shared" si="14"/>
        <v>34584900</v>
      </c>
      <c r="T36" s="87">
        <f t="shared" si="5"/>
        <v>32793400</v>
      </c>
      <c r="U36" s="136">
        <f t="shared" si="6"/>
        <v>0</v>
      </c>
      <c r="V36" s="117">
        <f t="shared" si="15"/>
        <v>41933100</v>
      </c>
      <c r="W36" s="117">
        <f t="shared" si="7"/>
        <v>0</v>
      </c>
      <c r="X36" s="136">
        <f t="shared" si="8"/>
        <v>0</v>
      </c>
      <c r="Y36" s="117">
        <f t="shared" si="9"/>
        <v>0</v>
      </c>
      <c r="Z36" s="88">
        <f t="shared" si="16"/>
        <v>0</v>
      </c>
      <c r="AA36" s="89">
        <f t="shared" si="10"/>
        <v>0</v>
      </c>
      <c r="AB36" s="57">
        <f t="shared" si="1"/>
        <v>31882500</v>
      </c>
      <c r="AC36" s="58"/>
      <c r="AE36" s="28" t="s">
        <v>203</v>
      </c>
      <c r="AF36" s="28" t="s">
        <v>203</v>
      </c>
      <c r="AG36" s="28"/>
      <c r="AH36" s="28" t="s">
        <v>203</v>
      </c>
      <c r="AI36" s="28" t="s">
        <v>203</v>
      </c>
    </row>
    <row r="37" spans="1:35" x14ac:dyDescent="0.2">
      <c r="A37" s="128" t="s">
        <v>132</v>
      </c>
      <c r="B37" s="128" t="s">
        <v>130</v>
      </c>
      <c r="C37" s="128" t="s">
        <v>38</v>
      </c>
      <c r="D37" s="3" t="s">
        <v>39</v>
      </c>
      <c r="E37" s="128" t="s">
        <v>133</v>
      </c>
      <c r="F37" s="24"/>
      <c r="G37" s="4" t="s">
        <v>48</v>
      </c>
      <c r="H37" s="1" t="s">
        <v>18</v>
      </c>
      <c r="I37" s="42">
        <v>3424156.9354340434</v>
      </c>
      <c r="J37" s="2"/>
      <c r="K37" s="25"/>
      <c r="L37" s="24">
        <f t="shared" si="19"/>
        <v>0</v>
      </c>
      <c r="M37" s="24">
        <f>ROUND(L37/121*123.1,0)</f>
        <v>0</v>
      </c>
      <c r="N37" s="24"/>
      <c r="O37" s="50">
        <f t="shared" si="2"/>
        <v>0</v>
      </c>
      <c r="P37" s="50">
        <f t="shared" si="3"/>
        <v>0</v>
      </c>
      <c r="Q37" s="50">
        <f t="shared" si="13"/>
        <v>0</v>
      </c>
      <c r="R37" s="50">
        <f t="shared" si="4"/>
        <v>0</v>
      </c>
      <c r="S37" s="88">
        <f t="shared" si="14"/>
        <v>0</v>
      </c>
      <c r="T37" s="87">
        <f t="shared" si="5"/>
        <v>0</v>
      </c>
      <c r="U37" s="136">
        <f t="shared" si="6"/>
        <v>2205337</v>
      </c>
      <c r="V37" s="117">
        <f t="shared" si="15"/>
        <v>0</v>
      </c>
      <c r="W37" s="117">
        <f t="shared" si="7"/>
        <v>2270000</v>
      </c>
      <c r="X37" s="136">
        <f t="shared" si="8"/>
        <v>2098133</v>
      </c>
      <c r="Y37" s="117">
        <f t="shared" si="9"/>
        <v>2076010.99</v>
      </c>
      <c r="Z37" s="88">
        <f t="shared" si="16"/>
        <v>1858200</v>
      </c>
      <c r="AA37" s="89">
        <f t="shared" si="10"/>
        <v>1761200</v>
      </c>
      <c r="AB37" s="57">
        <f t="shared" si="1"/>
        <v>0</v>
      </c>
      <c r="AC37" s="59">
        <v>1728900</v>
      </c>
      <c r="AE37" s="28" t="s">
        <v>203</v>
      </c>
      <c r="AF37" s="28" t="s">
        <v>203</v>
      </c>
      <c r="AG37" s="28"/>
      <c r="AH37" s="28" t="s">
        <v>203</v>
      </c>
      <c r="AI37" s="28" t="s">
        <v>203</v>
      </c>
    </row>
    <row r="38" spans="1:35" x14ac:dyDescent="0.2">
      <c r="A38" s="128" t="s">
        <v>134</v>
      </c>
      <c r="B38" s="128" t="s">
        <v>135</v>
      </c>
      <c r="C38" s="128" t="s">
        <v>38</v>
      </c>
      <c r="D38" s="3" t="s">
        <v>39</v>
      </c>
      <c r="E38" s="150" t="s">
        <v>136</v>
      </c>
      <c r="F38" s="24" t="s">
        <v>41</v>
      </c>
      <c r="G38" s="4" t="s">
        <v>42</v>
      </c>
      <c r="H38" s="1" t="s">
        <v>18</v>
      </c>
      <c r="I38" s="42">
        <v>367996.08035276824</v>
      </c>
      <c r="K38" s="25"/>
      <c r="L38" s="24">
        <f t="shared" si="19"/>
        <v>0</v>
      </c>
      <c r="M38" s="24">
        <v>3220000</v>
      </c>
      <c r="N38" s="41">
        <f t="shared" ref="N38:N40" si="23">ROUND(M38/123.6*125.8,0)</f>
        <v>3277314</v>
      </c>
      <c r="O38" s="50">
        <f t="shared" si="2"/>
        <v>3496149</v>
      </c>
      <c r="P38" s="50">
        <f t="shared" si="3"/>
        <v>4776049</v>
      </c>
      <c r="Q38" s="50">
        <f t="shared" si="13"/>
        <v>4482468</v>
      </c>
      <c r="R38" s="50">
        <f t="shared" si="4"/>
        <v>4439504.83</v>
      </c>
      <c r="S38" s="88">
        <f t="shared" si="14"/>
        <v>4077900</v>
      </c>
      <c r="T38" s="87">
        <f t="shared" si="5"/>
        <v>3866700</v>
      </c>
      <c r="U38" s="136">
        <f t="shared" si="6"/>
        <v>520419</v>
      </c>
      <c r="V38" s="117">
        <f t="shared" si="15"/>
        <v>4944400</v>
      </c>
      <c r="W38" s="117">
        <f t="shared" si="7"/>
        <v>535700</v>
      </c>
      <c r="X38" s="136">
        <f t="shared" si="8"/>
        <v>495120</v>
      </c>
      <c r="Y38" s="117">
        <f t="shared" si="9"/>
        <v>489899.27</v>
      </c>
      <c r="Z38" s="88">
        <f t="shared" si="16"/>
        <v>438500</v>
      </c>
      <c r="AA38" s="89">
        <f t="shared" si="10"/>
        <v>415600</v>
      </c>
      <c r="AB38" s="57">
        <f t="shared" si="1"/>
        <v>3759272</v>
      </c>
      <c r="AC38" s="59">
        <f>388513+19500</f>
        <v>408013</v>
      </c>
      <c r="AE38" s="28" t="s">
        <v>203</v>
      </c>
      <c r="AF38" s="28" t="s">
        <v>203</v>
      </c>
      <c r="AG38" s="28"/>
      <c r="AH38" s="28"/>
      <c r="AI38" s="28" t="s">
        <v>203</v>
      </c>
    </row>
    <row r="39" spans="1:35" x14ac:dyDescent="0.2">
      <c r="A39" s="128" t="s">
        <v>137</v>
      </c>
      <c r="B39" s="128" t="s">
        <v>135</v>
      </c>
      <c r="C39" s="128" t="s">
        <v>38</v>
      </c>
      <c r="D39" s="3" t="s">
        <v>39</v>
      </c>
      <c r="E39" s="128" t="s">
        <v>138</v>
      </c>
      <c r="F39" s="24" t="s">
        <v>47</v>
      </c>
      <c r="G39" s="4" t="s">
        <v>48</v>
      </c>
      <c r="H39" s="1" t="s">
        <v>16</v>
      </c>
      <c r="I39" s="42">
        <v>1684486.3007585898</v>
      </c>
      <c r="K39" s="24">
        <f>ROUND(I39,0)</f>
        <v>1684486</v>
      </c>
      <c r="L39" s="24">
        <f t="shared" si="19"/>
        <v>1695697</v>
      </c>
      <c r="M39" s="24">
        <v>1725500</v>
      </c>
      <c r="N39" s="41">
        <f t="shared" si="23"/>
        <v>1756213</v>
      </c>
      <c r="O39" s="50">
        <f t="shared" si="2"/>
        <v>1873480</v>
      </c>
      <c r="P39" s="50">
        <f t="shared" si="3"/>
        <v>2559314</v>
      </c>
      <c r="Q39" s="50">
        <f t="shared" si="13"/>
        <v>2401994</v>
      </c>
      <c r="R39" s="50">
        <f t="shared" si="4"/>
        <v>2378971.0299999998</v>
      </c>
      <c r="S39" s="88">
        <f t="shared" si="14"/>
        <v>2185200</v>
      </c>
      <c r="T39" s="87">
        <f t="shared" si="5"/>
        <v>2072000</v>
      </c>
      <c r="U39" s="136">
        <f t="shared" si="6"/>
        <v>0</v>
      </c>
      <c r="V39" s="117">
        <f t="shared" si="15"/>
        <v>2649500</v>
      </c>
      <c r="W39" s="117">
        <f t="shared" si="7"/>
        <v>0</v>
      </c>
      <c r="X39" s="136">
        <f t="shared" si="8"/>
        <v>0</v>
      </c>
      <c r="Y39" s="117">
        <f t="shared" si="9"/>
        <v>0</v>
      </c>
      <c r="Z39" s="88">
        <f t="shared" si="16"/>
        <v>0</v>
      </c>
      <c r="AA39" s="89">
        <f t="shared" si="10"/>
        <v>0</v>
      </c>
      <c r="AB39" s="57">
        <f t="shared" si="1"/>
        <v>2014480</v>
      </c>
      <c r="AC39" s="58"/>
      <c r="AE39" s="28"/>
      <c r="AF39" s="28"/>
      <c r="AG39" s="28"/>
      <c r="AH39" s="28"/>
      <c r="AI39" s="28"/>
    </row>
    <row r="40" spans="1:35" s="102" customFormat="1" x14ac:dyDescent="0.2">
      <c r="A40" s="128" t="s">
        <v>139</v>
      </c>
      <c r="B40" s="131" t="s">
        <v>140</v>
      </c>
      <c r="C40" s="131" t="s">
        <v>38</v>
      </c>
      <c r="D40" s="109" t="s">
        <v>39</v>
      </c>
      <c r="E40" s="131" t="s">
        <v>118</v>
      </c>
      <c r="F40" s="93" t="s">
        <v>41</v>
      </c>
      <c r="G40" s="110" t="s">
        <v>48</v>
      </c>
      <c r="H40" s="111" t="s">
        <v>18</v>
      </c>
      <c r="I40" s="6">
        <v>141868.39666357738</v>
      </c>
      <c r="J40" s="112" t="s">
        <v>119</v>
      </c>
      <c r="K40" s="115"/>
      <c r="L40" s="93">
        <f t="shared" si="19"/>
        <v>0</v>
      </c>
      <c r="M40" s="93">
        <v>1660000</v>
      </c>
      <c r="N40" s="113">
        <f t="shared" si="23"/>
        <v>1689547</v>
      </c>
      <c r="O40" s="114">
        <f t="shared" si="2"/>
        <v>1802363</v>
      </c>
      <c r="P40" s="50">
        <f t="shared" si="3"/>
        <v>2462220</v>
      </c>
      <c r="Q40" s="50">
        <f t="shared" si="13"/>
        <v>2310869</v>
      </c>
      <c r="R40" s="50">
        <f t="shared" si="4"/>
        <v>2288719.9300000002</v>
      </c>
      <c r="S40" s="88">
        <f t="shared" si="14"/>
        <v>2102300</v>
      </c>
      <c r="T40" s="87">
        <f t="shared" si="5"/>
        <v>1993400</v>
      </c>
      <c r="U40" s="136">
        <f t="shared" si="6"/>
        <v>161170</v>
      </c>
      <c r="V40" s="117">
        <f t="shared" si="15"/>
        <v>2549000</v>
      </c>
      <c r="W40" s="117">
        <f t="shared" si="7"/>
        <v>165900</v>
      </c>
      <c r="X40" s="136">
        <f t="shared" si="8"/>
        <v>153335</v>
      </c>
      <c r="Y40" s="117">
        <f t="shared" si="9"/>
        <v>151717.95000000001</v>
      </c>
      <c r="Z40" s="88">
        <f t="shared" si="16"/>
        <v>135800</v>
      </c>
      <c r="AA40" s="89">
        <f t="shared" si="10"/>
        <v>128700</v>
      </c>
      <c r="AB40" s="87">
        <f t="shared" si="1"/>
        <v>1938010</v>
      </c>
      <c r="AC40" s="93">
        <f>118050+8300</f>
        <v>126350</v>
      </c>
      <c r="AD40" s="23"/>
      <c r="AE40" s="177"/>
      <c r="AF40" s="177" t="s">
        <v>203</v>
      </c>
      <c r="AG40" s="177"/>
      <c r="AH40" s="177"/>
      <c r="AI40" s="177"/>
    </row>
    <row r="41" spans="1:35" x14ac:dyDescent="0.2">
      <c r="A41" s="128" t="s">
        <v>141</v>
      </c>
      <c r="B41" s="128" t="s">
        <v>142</v>
      </c>
      <c r="C41" s="128" t="s">
        <v>38</v>
      </c>
      <c r="D41" s="3" t="s">
        <v>39</v>
      </c>
      <c r="E41" s="128" t="s">
        <v>143</v>
      </c>
      <c r="F41" s="24"/>
      <c r="G41" s="4" t="s">
        <v>48</v>
      </c>
      <c r="H41" s="1" t="s">
        <v>18</v>
      </c>
      <c r="I41" s="42">
        <v>65082.483781278963</v>
      </c>
      <c r="J41" s="2"/>
      <c r="K41" s="25"/>
      <c r="L41" s="24">
        <f t="shared" si="19"/>
        <v>0</v>
      </c>
      <c r="M41" s="24">
        <f>ROUND(L41/121*123.1,0)</f>
        <v>0</v>
      </c>
      <c r="N41" s="24"/>
      <c r="O41" s="50">
        <f t="shared" si="2"/>
        <v>0</v>
      </c>
      <c r="P41" s="50">
        <f t="shared" si="3"/>
        <v>0</v>
      </c>
      <c r="Q41" s="50">
        <f t="shared" si="13"/>
        <v>0</v>
      </c>
      <c r="R41" s="50">
        <f t="shared" si="4"/>
        <v>0</v>
      </c>
      <c r="S41" s="88">
        <f t="shared" si="14"/>
        <v>0</v>
      </c>
      <c r="T41" s="87">
        <f t="shared" si="5"/>
        <v>0</v>
      </c>
      <c r="U41" s="136">
        <f t="shared" si="6"/>
        <v>83078</v>
      </c>
      <c r="V41" s="117">
        <f t="shared" si="15"/>
        <v>0</v>
      </c>
      <c r="W41" s="117">
        <f t="shared" si="7"/>
        <v>85600</v>
      </c>
      <c r="X41" s="136">
        <f t="shared" si="8"/>
        <v>79039</v>
      </c>
      <c r="Y41" s="117">
        <f t="shared" si="9"/>
        <v>78205.13</v>
      </c>
      <c r="Z41" s="88">
        <f t="shared" si="16"/>
        <v>70000</v>
      </c>
      <c r="AA41" s="89">
        <f t="shared" si="10"/>
        <v>66300</v>
      </c>
      <c r="AB41" s="57">
        <f t="shared" si="1"/>
        <v>0</v>
      </c>
      <c r="AC41" s="59">
        <f>ROUND(I41,0)</f>
        <v>65082</v>
      </c>
      <c r="AE41" s="28"/>
      <c r="AF41" s="28"/>
      <c r="AG41" s="28"/>
      <c r="AH41" s="28"/>
      <c r="AI41" s="28"/>
    </row>
    <row r="42" spans="1:35" x14ac:dyDescent="0.2">
      <c r="A42" s="128" t="s">
        <v>141</v>
      </c>
      <c r="B42" s="128" t="s">
        <v>142</v>
      </c>
      <c r="C42" s="128" t="s">
        <v>38</v>
      </c>
      <c r="D42" s="3" t="s">
        <v>39</v>
      </c>
      <c r="E42" s="179" t="s">
        <v>143</v>
      </c>
      <c r="F42" s="24" t="s">
        <v>47</v>
      </c>
      <c r="G42" s="4" t="s">
        <v>48</v>
      </c>
      <c r="H42" s="1" t="s">
        <v>16</v>
      </c>
      <c r="I42" s="42">
        <v>528335.25211958936</v>
      </c>
      <c r="J42" s="2"/>
      <c r="K42" s="24">
        <f>ROUND(I42,0)</f>
        <v>528335</v>
      </c>
      <c r="L42" s="24">
        <f t="shared" si="19"/>
        <v>531851</v>
      </c>
      <c r="M42" s="24">
        <v>612000</v>
      </c>
      <c r="N42" s="41">
        <f t="shared" ref="N42:N43" si="24">ROUND(M42/123.6*125.8,0)</f>
        <v>622893</v>
      </c>
      <c r="O42" s="50">
        <f t="shared" si="2"/>
        <v>664485</v>
      </c>
      <c r="P42" s="50">
        <f t="shared" si="3"/>
        <v>907683</v>
      </c>
      <c r="Q42" s="50">
        <f t="shared" si="13"/>
        <v>851888</v>
      </c>
      <c r="R42" s="50">
        <f t="shared" si="4"/>
        <v>843722.56</v>
      </c>
      <c r="S42" s="88">
        <f t="shared" si="14"/>
        <v>775000</v>
      </c>
      <c r="T42" s="87">
        <f t="shared" si="5"/>
        <v>734900</v>
      </c>
      <c r="U42" s="136">
        <f t="shared" si="6"/>
        <v>0</v>
      </c>
      <c r="V42" s="117">
        <f t="shared" si="15"/>
        <v>939700</v>
      </c>
      <c r="W42" s="117">
        <f t="shared" si="7"/>
        <v>0</v>
      </c>
      <c r="X42" s="136">
        <f t="shared" si="8"/>
        <v>0</v>
      </c>
      <c r="Y42" s="117">
        <f t="shared" si="9"/>
        <v>0</v>
      </c>
      <c r="Z42" s="88">
        <f t="shared" si="16"/>
        <v>0</v>
      </c>
      <c r="AA42" s="89">
        <f t="shared" si="10"/>
        <v>0</v>
      </c>
      <c r="AB42" s="57">
        <f t="shared" si="1"/>
        <v>714495</v>
      </c>
      <c r="AC42" s="58"/>
      <c r="AE42" s="28"/>
      <c r="AF42" s="28"/>
      <c r="AG42" s="28"/>
      <c r="AH42" s="28"/>
      <c r="AI42" s="28"/>
    </row>
    <row r="43" spans="1:35" ht="15" customHeight="1" x14ac:dyDescent="0.2">
      <c r="A43" s="128" t="s">
        <v>144</v>
      </c>
      <c r="B43" s="128" t="s">
        <v>145</v>
      </c>
      <c r="C43" s="128" t="s">
        <v>38</v>
      </c>
      <c r="D43" s="3" t="s">
        <v>39</v>
      </c>
      <c r="E43" s="179" t="s">
        <v>146</v>
      </c>
      <c r="F43" s="24" t="s">
        <v>47</v>
      </c>
      <c r="G43" s="4" t="s">
        <v>48</v>
      </c>
      <c r="H43" s="1" t="s">
        <v>16</v>
      </c>
      <c r="I43" s="42">
        <v>2357268.8308790722</v>
      </c>
      <c r="K43" s="24">
        <f>ROUND(I43,0)</f>
        <v>2357269</v>
      </c>
      <c r="L43" s="24">
        <f t="shared" si="19"/>
        <v>2372958</v>
      </c>
      <c r="M43" s="24">
        <v>2452000</v>
      </c>
      <c r="N43" s="41">
        <f t="shared" si="24"/>
        <v>2495644</v>
      </c>
      <c r="O43" s="50">
        <f t="shared" si="2"/>
        <v>2662285</v>
      </c>
      <c r="P43" s="50">
        <f t="shared" si="3"/>
        <v>3636937</v>
      </c>
      <c r="Q43" s="50">
        <f t="shared" si="13"/>
        <v>3413377</v>
      </c>
      <c r="R43" s="50">
        <f t="shared" si="4"/>
        <v>3380660.23</v>
      </c>
      <c r="S43" s="88">
        <f t="shared" si="14"/>
        <v>3105300</v>
      </c>
      <c r="T43" s="87">
        <f t="shared" si="5"/>
        <v>2944400</v>
      </c>
      <c r="U43" s="136">
        <f t="shared" si="6"/>
        <v>0</v>
      </c>
      <c r="V43" s="117">
        <f t="shared" si="15"/>
        <v>3765100</v>
      </c>
      <c r="W43" s="117">
        <f t="shared" si="7"/>
        <v>0</v>
      </c>
      <c r="X43" s="136">
        <f t="shared" si="8"/>
        <v>0</v>
      </c>
      <c r="Y43" s="117">
        <f t="shared" si="9"/>
        <v>0</v>
      </c>
      <c r="Z43" s="88">
        <f t="shared" si="16"/>
        <v>0</v>
      </c>
      <c r="AA43" s="89">
        <f t="shared" si="10"/>
        <v>0</v>
      </c>
      <c r="AB43" s="57">
        <f t="shared" si="1"/>
        <v>2862651</v>
      </c>
      <c r="AC43" s="58"/>
      <c r="AE43" s="28"/>
      <c r="AF43" s="28"/>
      <c r="AG43" s="28"/>
      <c r="AH43" s="28"/>
      <c r="AI43" s="28"/>
    </row>
    <row r="44" spans="1:35" x14ac:dyDescent="0.2">
      <c r="A44" s="128" t="s">
        <v>147</v>
      </c>
      <c r="B44" s="128" t="s">
        <v>148</v>
      </c>
      <c r="C44" s="128" t="s">
        <v>38</v>
      </c>
      <c r="D44" s="3" t="s">
        <v>39</v>
      </c>
      <c r="E44" s="128" t="s">
        <v>149</v>
      </c>
      <c r="F44" s="24" t="s">
        <v>47</v>
      </c>
      <c r="G44" s="4" t="s">
        <v>48</v>
      </c>
      <c r="H44" s="1" t="s">
        <v>16</v>
      </c>
      <c r="I44" s="42">
        <v>5900571.0620258823</v>
      </c>
      <c r="J44" s="2"/>
      <c r="K44" s="24">
        <f>ROUND(I44,0)</f>
        <v>5900571</v>
      </c>
      <c r="L44" s="24">
        <f t="shared" si="19"/>
        <v>5939843</v>
      </c>
      <c r="M44" s="24">
        <v>6360000</v>
      </c>
      <c r="N44" s="41">
        <f>ROUND(M44/123.6*125.8,0)</f>
        <v>6473204</v>
      </c>
      <c r="O44" s="50">
        <f t="shared" si="2"/>
        <v>6905437</v>
      </c>
      <c r="P44" s="50">
        <f t="shared" si="3"/>
        <v>9433454</v>
      </c>
      <c r="Q44" s="50">
        <f t="shared" si="13"/>
        <v>8853586</v>
      </c>
      <c r="R44" s="50">
        <f t="shared" si="4"/>
        <v>8768726.9499999993</v>
      </c>
      <c r="S44" s="88">
        <f t="shared" si="14"/>
        <v>8054500</v>
      </c>
      <c r="T44" s="87">
        <f t="shared" si="5"/>
        <v>7637300</v>
      </c>
      <c r="U44" s="136">
        <f t="shared" si="6"/>
        <v>0</v>
      </c>
      <c r="V44" s="117">
        <f t="shared" si="15"/>
        <v>9765900</v>
      </c>
      <c r="W44" s="117">
        <f t="shared" si="7"/>
        <v>0</v>
      </c>
      <c r="X44" s="136">
        <f t="shared" si="8"/>
        <v>0</v>
      </c>
      <c r="Y44" s="117">
        <f t="shared" si="9"/>
        <v>0</v>
      </c>
      <c r="Z44" s="88">
        <f t="shared" si="16"/>
        <v>0</v>
      </c>
      <c r="AA44" s="89">
        <f t="shared" si="10"/>
        <v>0</v>
      </c>
      <c r="AB44" s="57">
        <f t="shared" si="1"/>
        <v>7425146</v>
      </c>
      <c r="AC44" s="58"/>
      <c r="AE44" s="28" t="s">
        <v>203</v>
      </c>
      <c r="AF44" s="28" t="s">
        <v>203</v>
      </c>
      <c r="AG44" s="28"/>
      <c r="AH44" s="28"/>
      <c r="AI44" s="28"/>
    </row>
    <row r="45" spans="1:35" x14ac:dyDescent="0.2">
      <c r="A45" s="128" t="s">
        <v>150</v>
      </c>
      <c r="B45" s="128" t="s">
        <v>151</v>
      </c>
      <c r="C45" s="128" t="s">
        <v>38</v>
      </c>
      <c r="D45" s="3" t="s">
        <v>39</v>
      </c>
      <c r="E45" s="150" t="s">
        <v>152</v>
      </c>
      <c r="F45" s="24" t="s">
        <v>61</v>
      </c>
      <c r="G45" s="4" t="s">
        <v>42</v>
      </c>
      <c r="H45" s="1" t="s">
        <v>18</v>
      </c>
      <c r="I45" s="42">
        <v>342440.79699493712</v>
      </c>
      <c r="J45" s="2"/>
      <c r="K45" s="25"/>
      <c r="L45" s="24">
        <f t="shared" si="19"/>
        <v>0</v>
      </c>
      <c r="M45" s="24">
        <f>ROUND(L45/121*123.1,0)</f>
        <v>0</v>
      </c>
      <c r="N45" s="24">
        <f t="shared" ref="N45:N48" si="25">ROUND(M45/123.1*125,0)</f>
        <v>0</v>
      </c>
      <c r="O45" s="50">
        <f t="shared" si="2"/>
        <v>0</v>
      </c>
      <c r="P45" s="50">
        <f t="shared" si="3"/>
        <v>0</v>
      </c>
      <c r="Q45" s="50">
        <f t="shared" si="13"/>
        <v>0</v>
      </c>
      <c r="R45" s="50">
        <f t="shared" si="4"/>
        <v>0</v>
      </c>
      <c r="S45" s="45">
        <f t="shared" si="14"/>
        <v>0</v>
      </c>
      <c r="T45" s="107">
        <f t="shared" si="5"/>
        <v>0</v>
      </c>
      <c r="U45" s="136">
        <f t="shared" si="6"/>
        <v>519232</v>
      </c>
      <c r="V45" s="117">
        <f t="shared" si="15"/>
        <v>0</v>
      </c>
      <c r="W45" s="117">
        <f t="shared" si="7"/>
        <v>534500</v>
      </c>
      <c r="X45" s="136">
        <f t="shared" si="8"/>
        <v>493991</v>
      </c>
      <c r="Y45" s="117">
        <f t="shared" si="9"/>
        <v>488782.05</v>
      </c>
      <c r="Z45" s="45">
        <f t="shared" si="16"/>
        <v>437500</v>
      </c>
      <c r="AA45" s="108">
        <f t="shared" si="10"/>
        <v>414700</v>
      </c>
      <c r="AB45" s="107">
        <f t="shared" si="1"/>
        <v>0</v>
      </c>
      <c r="AC45" s="24">
        <f>387643+19400</f>
        <v>407043</v>
      </c>
      <c r="AE45" s="28" t="s">
        <v>203</v>
      </c>
      <c r="AF45" s="28" t="s">
        <v>203</v>
      </c>
      <c r="AG45" s="28"/>
      <c r="AH45" s="28"/>
      <c r="AI45" s="28"/>
    </row>
    <row r="46" spans="1:35" x14ac:dyDescent="0.2">
      <c r="A46" s="128" t="s">
        <v>153</v>
      </c>
      <c r="B46" s="128" t="s">
        <v>151</v>
      </c>
      <c r="C46" s="128" t="s">
        <v>38</v>
      </c>
      <c r="D46" s="3" t="s">
        <v>39</v>
      </c>
      <c r="E46" s="128" t="s">
        <v>154</v>
      </c>
      <c r="F46" s="24" t="s">
        <v>61</v>
      </c>
      <c r="G46" s="4" t="s">
        <v>48</v>
      </c>
      <c r="H46" s="1" t="s">
        <v>18</v>
      </c>
      <c r="I46" s="42">
        <v>70981.773246833502</v>
      </c>
      <c r="J46" s="2"/>
      <c r="K46" s="25"/>
      <c r="L46" s="24">
        <f t="shared" si="19"/>
        <v>0</v>
      </c>
      <c r="M46" s="24">
        <f>ROUND(L46/121*123.1,0)</f>
        <v>0</v>
      </c>
      <c r="N46" s="24">
        <f t="shared" si="25"/>
        <v>0</v>
      </c>
      <c r="O46" s="50">
        <f t="shared" si="2"/>
        <v>0</v>
      </c>
      <c r="P46" s="50">
        <f t="shared" si="3"/>
        <v>0</v>
      </c>
      <c r="Q46" s="50">
        <f t="shared" si="13"/>
        <v>0</v>
      </c>
      <c r="R46" s="50">
        <f t="shared" si="4"/>
        <v>0</v>
      </c>
      <c r="S46" s="88">
        <f t="shared" si="14"/>
        <v>0</v>
      </c>
      <c r="T46" s="87">
        <f t="shared" si="5"/>
        <v>0</v>
      </c>
      <c r="U46" s="136">
        <f t="shared" si="6"/>
        <v>238907</v>
      </c>
      <c r="V46" s="117">
        <f t="shared" si="15"/>
        <v>0</v>
      </c>
      <c r="W46" s="117">
        <f t="shared" si="7"/>
        <v>246000</v>
      </c>
      <c r="X46" s="136">
        <f t="shared" si="8"/>
        <v>227293</v>
      </c>
      <c r="Y46" s="117">
        <f t="shared" si="9"/>
        <v>224895.6</v>
      </c>
      <c r="Z46" s="88">
        <f t="shared" si="16"/>
        <v>201300</v>
      </c>
      <c r="AA46" s="89">
        <f t="shared" si="10"/>
        <v>190800</v>
      </c>
      <c r="AB46" s="57">
        <f t="shared" si="1"/>
        <v>0</v>
      </c>
      <c r="AC46" s="59">
        <f>175000+12250</f>
        <v>187250</v>
      </c>
      <c r="AE46" s="28"/>
      <c r="AF46" s="28" t="s">
        <v>203</v>
      </c>
      <c r="AG46" s="28"/>
      <c r="AH46" s="28"/>
      <c r="AI46" s="28"/>
    </row>
    <row r="47" spans="1:35" s="26" customFormat="1" ht="25.5" x14ac:dyDescent="0.2">
      <c r="A47" s="129" t="s">
        <v>155</v>
      </c>
      <c r="B47" s="129" t="s">
        <v>156</v>
      </c>
      <c r="C47" s="129" t="s">
        <v>38</v>
      </c>
      <c r="D47" s="130" t="s">
        <v>39</v>
      </c>
      <c r="E47" s="174" t="s">
        <v>157</v>
      </c>
      <c r="F47" s="45" t="s">
        <v>61</v>
      </c>
      <c r="G47" s="8" t="s">
        <v>42</v>
      </c>
      <c r="H47" s="9" t="s">
        <v>18</v>
      </c>
      <c r="I47" s="47">
        <v>316885.51363710599</v>
      </c>
      <c r="K47" s="44"/>
      <c r="L47" s="45">
        <f t="shared" si="19"/>
        <v>0</v>
      </c>
      <c r="M47" s="45">
        <f>ROUND(L47/121*123.1,0)</f>
        <v>0</v>
      </c>
      <c r="N47" s="45">
        <f t="shared" si="25"/>
        <v>0</v>
      </c>
      <c r="O47" s="50">
        <f t="shared" si="2"/>
        <v>0</v>
      </c>
      <c r="P47" s="50">
        <f t="shared" si="3"/>
        <v>0</v>
      </c>
      <c r="Q47" s="50">
        <f t="shared" si="13"/>
        <v>0</v>
      </c>
      <c r="R47" s="50">
        <f t="shared" si="4"/>
        <v>0</v>
      </c>
      <c r="S47" s="88">
        <f t="shared" si="14"/>
        <v>0</v>
      </c>
      <c r="T47" s="87">
        <f t="shared" si="5"/>
        <v>0</v>
      </c>
      <c r="U47" s="136">
        <f t="shared" si="6"/>
        <v>657970</v>
      </c>
      <c r="V47" s="117">
        <f t="shared" si="15"/>
        <v>0</v>
      </c>
      <c r="W47" s="117">
        <f t="shared" si="7"/>
        <v>677300</v>
      </c>
      <c r="X47" s="136">
        <f t="shared" si="8"/>
        <v>625985</v>
      </c>
      <c r="Y47" s="117">
        <f t="shared" si="9"/>
        <v>619384.62</v>
      </c>
      <c r="Z47" s="88">
        <f t="shared" si="16"/>
        <v>554400</v>
      </c>
      <c r="AA47" s="89">
        <f t="shared" si="10"/>
        <v>525500</v>
      </c>
      <c r="AB47" s="57">
        <f t="shared" si="1"/>
        <v>0</v>
      </c>
      <c r="AC47" s="61">
        <f>490837+25000</f>
        <v>515837</v>
      </c>
      <c r="AE47" s="176" t="s">
        <v>203</v>
      </c>
      <c r="AF47" s="176" t="s">
        <v>203</v>
      </c>
      <c r="AG47" s="176"/>
      <c r="AH47" s="176"/>
      <c r="AI47" s="176" t="s">
        <v>203</v>
      </c>
    </row>
    <row r="48" spans="1:35" x14ac:dyDescent="0.2">
      <c r="A48" s="128" t="s">
        <v>158</v>
      </c>
      <c r="B48" s="128" t="s">
        <v>151</v>
      </c>
      <c r="C48" s="128" t="s">
        <v>38</v>
      </c>
      <c r="D48" s="3" t="s">
        <v>69</v>
      </c>
      <c r="E48" s="150" t="s">
        <v>159</v>
      </c>
      <c r="F48" s="24" t="s">
        <v>61</v>
      </c>
      <c r="G48" s="4" t="s">
        <v>42</v>
      </c>
      <c r="H48" s="1" t="s">
        <v>18</v>
      </c>
      <c r="I48" s="42">
        <v>393551.36371059937</v>
      </c>
      <c r="K48" s="25"/>
      <c r="L48" s="24">
        <f t="shared" si="19"/>
        <v>0</v>
      </c>
      <c r="M48" s="24">
        <f>ROUND(L48/121*123.1,0)</f>
        <v>0</v>
      </c>
      <c r="N48" s="24">
        <f t="shared" si="25"/>
        <v>0</v>
      </c>
      <c r="O48" s="50">
        <f t="shared" si="2"/>
        <v>0</v>
      </c>
      <c r="P48" s="50">
        <f t="shared" si="3"/>
        <v>0</v>
      </c>
      <c r="Q48" s="50">
        <f t="shared" si="13"/>
        <v>0</v>
      </c>
      <c r="R48" s="50">
        <f t="shared" si="4"/>
        <v>0</v>
      </c>
      <c r="S48" s="88">
        <f t="shared" si="14"/>
        <v>0</v>
      </c>
      <c r="T48" s="87">
        <f t="shared" si="5"/>
        <v>0</v>
      </c>
      <c r="U48" s="136">
        <f t="shared" si="6"/>
        <v>377883</v>
      </c>
      <c r="V48" s="117">
        <f t="shared" si="15"/>
        <v>0</v>
      </c>
      <c r="W48" s="117">
        <f t="shared" si="7"/>
        <v>389000</v>
      </c>
      <c r="X48" s="136">
        <f t="shared" si="8"/>
        <v>359513</v>
      </c>
      <c r="Y48" s="117">
        <f t="shared" si="9"/>
        <v>355721.61</v>
      </c>
      <c r="Z48" s="88">
        <f t="shared" si="16"/>
        <v>318400</v>
      </c>
      <c r="AA48" s="89">
        <f t="shared" si="10"/>
        <v>301800</v>
      </c>
      <c r="AB48" s="57">
        <f t="shared" si="1"/>
        <v>0</v>
      </c>
      <c r="AC48" s="59">
        <f>282231+14000</f>
        <v>296231</v>
      </c>
      <c r="AE48" s="28" t="s">
        <v>203</v>
      </c>
      <c r="AF48" s="28" t="s">
        <v>203</v>
      </c>
      <c r="AG48" s="28"/>
      <c r="AH48" s="28"/>
      <c r="AI48" s="28"/>
    </row>
    <row r="49" spans="1:66" s="151" customFormat="1" x14ac:dyDescent="0.2">
      <c r="A49" s="128" t="s">
        <v>160</v>
      </c>
      <c r="B49" s="128" t="s">
        <v>161</v>
      </c>
      <c r="C49" s="128" t="s">
        <v>38</v>
      </c>
      <c r="D49" s="3" t="s">
        <v>39</v>
      </c>
      <c r="E49" s="128" t="s">
        <v>162</v>
      </c>
      <c r="F49" s="24" t="s">
        <v>41</v>
      </c>
      <c r="G49" s="4" t="s">
        <v>42</v>
      </c>
      <c r="H49" s="1" t="s">
        <v>18</v>
      </c>
      <c r="I49" s="42">
        <v>214664.38020578146</v>
      </c>
      <c r="J49" s="23"/>
      <c r="K49" s="25"/>
      <c r="L49" s="24">
        <f t="shared" si="19"/>
        <v>0</v>
      </c>
      <c r="M49" s="24">
        <v>2678000</v>
      </c>
      <c r="N49" s="41">
        <f t="shared" ref="N49:N53" si="26">ROUND(M49/123.6*125.8,0)</f>
        <v>2725667</v>
      </c>
      <c r="O49" s="50">
        <f t="shared" si="2"/>
        <v>2907667</v>
      </c>
      <c r="P49" s="50"/>
      <c r="Q49" s="50"/>
      <c r="R49" s="50"/>
      <c r="S49" s="45"/>
      <c r="T49" s="107"/>
      <c r="U49" s="117"/>
      <c r="V49" s="117">
        <f t="shared" si="15"/>
        <v>0</v>
      </c>
      <c r="W49" s="117">
        <f t="shared" si="7"/>
        <v>0</v>
      </c>
      <c r="X49" s="117">
        <f t="shared" si="8"/>
        <v>306444</v>
      </c>
      <c r="Y49" s="117">
        <f t="shared" si="9"/>
        <v>303212.45</v>
      </c>
      <c r="Z49" s="45">
        <f t="shared" si="16"/>
        <v>271400</v>
      </c>
      <c r="AA49" s="108">
        <f t="shared" si="10"/>
        <v>257200</v>
      </c>
      <c r="AB49" s="107">
        <f t="shared" si="1"/>
        <v>3126500</v>
      </c>
      <c r="AC49" s="24">
        <f>240522+12000</f>
        <v>252522</v>
      </c>
      <c r="AD49" s="23" t="s">
        <v>163</v>
      </c>
      <c r="AE49" s="28"/>
      <c r="AF49" s="28"/>
      <c r="AG49" s="28"/>
      <c r="AH49" s="28"/>
      <c r="AI49" s="28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3"/>
      <c r="BN49" s="23"/>
    </row>
    <row r="50" spans="1:66" s="151" customFormat="1" x14ac:dyDescent="0.2">
      <c r="A50" s="128" t="s">
        <v>164</v>
      </c>
      <c r="B50" s="128" t="s">
        <v>165</v>
      </c>
      <c r="C50" s="128" t="s">
        <v>38</v>
      </c>
      <c r="D50" s="3" t="s">
        <v>166</v>
      </c>
      <c r="E50" s="128" t="s">
        <v>167</v>
      </c>
      <c r="F50" s="24" t="s">
        <v>47</v>
      </c>
      <c r="G50" s="4" t="s">
        <v>48</v>
      </c>
      <c r="H50" s="1" t="s">
        <v>16</v>
      </c>
      <c r="I50" s="42">
        <v>179485.0513163766</v>
      </c>
      <c r="J50" s="2"/>
      <c r="K50" s="24">
        <f>ROUND(I50,0)</f>
        <v>179485</v>
      </c>
      <c r="L50" s="24">
        <f t="shared" si="19"/>
        <v>180680</v>
      </c>
      <c r="M50" s="24">
        <v>195000</v>
      </c>
      <c r="N50" s="41">
        <f t="shared" si="26"/>
        <v>198471</v>
      </c>
      <c r="O50" s="50">
        <f t="shared" si="2"/>
        <v>211723</v>
      </c>
      <c r="P50" s="50"/>
      <c r="Q50" s="50">
        <f t="shared" si="13"/>
        <v>271505</v>
      </c>
      <c r="R50" s="50">
        <f t="shared" si="4"/>
        <v>268902.55</v>
      </c>
      <c r="S50" s="45">
        <f t="shared" si="14"/>
        <v>247000</v>
      </c>
      <c r="T50" s="107">
        <f t="shared" si="5"/>
        <v>234200</v>
      </c>
      <c r="U50" s="117">
        <f t="shared" si="6"/>
        <v>0</v>
      </c>
      <c r="V50" s="117">
        <f t="shared" si="15"/>
        <v>0</v>
      </c>
      <c r="W50" s="117">
        <f t="shared" si="7"/>
        <v>0</v>
      </c>
      <c r="X50" s="117">
        <f t="shared" si="8"/>
        <v>0</v>
      </c>
      <c r="Y50" s="117">
        <f t="shared" si="9"/>
        <v>0</v>
      </c>
      <c r="Z50" s="45">
        <f t="shared" si="16"/>
        <v>0</v>
      </c>
      <c r="AA50" s="108">
        <f t="shared" si="10"/>
        <v>0</v>
      </c>
      <c r="AB50" s="107">
        <f t="shared" si="1"/>
        <v>227657</v>
      </c>
      <c r="AC50" s="25"/>
      <c r="AD50" s="23" t="s">
        <v>163</v>
      </c>
      <c r="AE50" s="28"/>
      <c r="AF50" s="28"/>
      <c r="AG50" s="28"/>
      <c r="AH50" s="28"/>
      <c r="AI50" s="28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  <c r="BF50" s="23"/>
      <c r="BG50" s="23"/>
      <c r="BH50" s="23"/>
      <c r="BI50" s="23"/>
      <c r="BJ50" s="23"/>
      <c r="BK50" s="23"/>
      <c r="BL50" s="23"/>
      <c r="BM50" s="23"/>
      <c r="BN50" s="23"/>
    </row>
    <row r="51" spans="1:66" x14ac:dyDescent="0.2">
      <c r="A51" s="128" t="s">
        <v>168</v>
      </c>
      <c r="B51" s="128" t="s">
        <v>169</v>
      </c>
      <c r="C51" s="128" t="s">
        <v>38</v>
      </c>
      <c r="D51" s="3"/>
      <c r="E51" s="175" t="s">
        <v>170</v>
      </c>
      <c r="F51" s="24"/>
      <c r="G51" s="4"/>
      <c r="H51" s="1"/>
      <c r="I51" s="42"/>
      <c r="J51" s="2"/>
      <c r="K51" s="24"/>
      <c r="L51" s="24"/>
      <c r="M51" s="24"/>
      <c r="N51" s="41"/>
      <c r="O51" s="50"/>
      <c r="P51" s="50">
        <f t="shared" si="3"/>
        <v>5856015</v>
      </c>
      <c r="Q51" s="50">
        <f t="shared" si="13"/>
        <v>5496050</v>
      </c>
      <c r="R51" s="50">
        <f t="shared" si="4"/>
        <v>5443371.3799999999</v>
      </c>
      <c r="S51" s="45">
        <v>5000000</v>
      </c>
      <c r="T51" s="107"/>
      <c r="U51" s="117">
        <f t="shared" si="6"/>
        <v>0</v>
      </c>
      <c r="V51" s="117">
        <f t="shared" si="15"/>
        <v>6062400</v>
      </c>
      <c r="W51" s="117">
        <f t="shared" si="7"/>
        <v>0</v>
      </c>
      <c r="X51" s="117">
        <f t="shared" si="8"/>
        <v>0</v>
      </c>
      <c r="Y51" s="117">
        <f t="shared" si="9"/>
        <v>0</v>
      </c>
      <c r="Z51" s="45"/>
      <c r="AA51" s="108"/>
      <c r="AB51" s="107"/>
      <c r="AC51" s="25"/>
      <c r="AE51" s="28" t="s">
        <v>203</v>
      </c>
      <c r="AF51" s="28" t="s">
        <v>203</v>
      </c>
      <c r="AG51" s="28"/>
      <c r="AH51" s="28" t="s">
        <v>203</v>
      </c>
      <c r="AI51" s="28" t="s">
        <v>203</v>
      </c>
    </row>
    <row r="52" spans="1:66" x14ac:dyDescent="0.2">
      <c r="A52" s="128" t="s">
        <v>171</v>
      </c>
      <c r="B52" s="128" t="s">
        <v>172</v>
      </c>
      <c r="C52" s="128" t="s">
        <v>38</v>
      </c>
      <c r="D52" s="3" t="s">
        <v>39</v>
      </c>
      <c r="E52" s="179" t="s">
        <v>173</v>
      </c>
      <c r="F52" s="24" t="s">
        <v>47</v>
      </c>
      <c r="G52" s="4" t="s">
        <v>48</v>
      </c>
      <c r="H52" s="1" t="s">
        <v>16</v>
      </c>
      <c r="I52" s="42">
        <v>216909.59393128069</v>
      </c>
      <c r="J52" s="2"/>
      <c r="K52" s="24">
        <f>ROUND(I52,0)</f>
        <v>216910</v>
      </c>
      <c r="L52" s="24">
        <f t="shared" si="19"/>
        <v>218354</v>
      </c>
      <c r="M52" s="24">
        <v>464000</v>
      </c>
      <c r="N52" s="41">
        <f t="shared" si="26"/>
        <v>472259</v>
      </c>
      <c r="O52" s="50">
        <f t="shared" si="2"/>
        <v>503793</v>
      </c>
      <c r="P52" s="50">
        <f t="shared" si="3"/>
        <v>688200</v>
      </c>
      <c r="Q52" s="50">
        <f t="shared" si="13"/>
        <v>645896</v>
      </c>
      <c r="R52" s="50">
        <f t="shared" si="4"/>
        <v>639705</v>
      </c>
      <c r="S52" s="88">
        <f t="shared" si="14"/>
        <v>587600</v>
      </c>
      <c r="T52" s="87">
        <f t="shared" si="5"/>
        <v>557200</v>
      </c>
      <c r="U52" s="136">
        <f t="shared" si="6"/>
        <v>0</v>
      </c>
      <c r="V52" s="117">
        <f t="shared" si="15"/>
        <v>712500</v>
      </c>
      <c r="W52" s="117">
        <f t="shared" si="7"/>
        <v>0</v>
      </c>
      <c r="X52" s="136">
        <f t="shared" si="8"/>
        <v>0</v>
      </c>
      <c r="Y52" s="117">
        <f t="shared" si="9"/>
        <v>0</v>
      </c>
      <c r="Z52" s="88">
        <f t="shared" si="16"/>
        <v>0</v>
      </c>
      <c r="AA52" s="89">
        <f t="shared" si="10"/>
        <v>0</v>
      </c>
      <c r="AB52" s="57">
        <f t="shared" si="1"/>
        <v>541709</v>
      </c>
      <c r="AC52" s="58"/>
      <c r="AE52" s="28"/>
      <c r="AF52" s="28"/>
      <c r="AG52" s="28"/>
      <c r="AH52" s="28"/>
      <c r="AI52" s="28"/>
    </row>
    <row r="53" spans="1:66" s="26" customFormat="1" ht="25.5" x14ac:dyDescent="0.2">
      <c r="A53" s="129" t="s">
        <v>174</v>
      </c>
      <c r="B53" s="129" t="s">
        <v>175</v>
      </c>
      <c r="C53" s="129" t="s">
        <v>176</v>
      </c>
      <c r="D53" s="130" t="s">
        <v>39</v>
      </c>
      <c r="E53" s="129" t="s">
        <v>177</v>
      </c>
      <c r="F53" s="45" t="s">
        <v>41</v>
      </c>
      <c r="G53" s="8" t="s">
        <v>48</v>
      </c>
      <c r="H53" s="9" t="s">
        <v>18</v>
      </c>
      <c r="I53" s="47">
        <v>95435.279579857903</v>
      </c>
      <c r="K53" s="44"/>
      <c r="L53" s="45">
        <f t="shared" si="19"/>
        <v>0</v>
      </c>
      <c r="M53" s="45">
        <v>3590000</v>
      </c>
      <c r="N53" s="41">
        <f t="shared" si="26"/>
        <v>3653900</v>
      </c>
      <c r="O53" s="50">
        <f t="shared" si="2"/>
        <v>3897881</v>
      </c>
      <c r="P53" s="50">
        <f t="shared" si="3"/>
        <v>5324875</v>
      </c>
      <c r="Q53" s="50">
        <f t="shared" si="13"/>
        <v>4997558</v>
      </c>
      <c r="R53" s="50">
        <f t="shared" si="4"/>
        <v>4949657.59</v>
      </c>
      <c r="S53" s="90">
        <f t="shared" si="14"/>
        <v>4546500</v>
      </c>
      <c r="T53" s="87">
        <f t="shared" si="5"/>
        <v>4311000</v>
      </c>
      <c r="U53" s="136">
        <f t="shared" si="6"/>
        <v>102305</v>
      </c>
      <c r="V53" s="117">
        <f t="shared" si="15"/>
        <v>5512500</v>
      </c>
      <c r="W53" s="117">
        <f t="shared" si="7"/>
        <v>105400</v>
      </c>
      <c r="X53" s="136">
        <f t="shared" si="8"/>
        <v>97331</v>
      </c>
      <c r="Y53" s="117">
        <f t="shared" si="9"/>
        <v>96304.03</v>
      </c>
      <c r="Z53" s="88">
        <f t="shared" si="16"/>
        <v>86200</v>
      </c>
      <c r="AA53" s="89">
        <f t="shared" si="10"/>
        <v>81700</v>
      </c>
      <c r="AB53" s="57">
        <f t="shared" si="1"/>
        <v>4191239</v>
      </c>
      <c r="AC53" s="61">
        <f>74700+5500</f>
        <v>80200</v>
      </c>
      <c r="AE53" s="176" t="s">
        <v>203</v>
      </c>
      <c r="AF53" s="176" t="s">
        <v>203</v>
      </c>
      <c r="AG53" s="176"/>
      <c r="AH53" s="176"/>
      <c r="AI53" s="176"/>
    </row>
    <row r="54" spans="1:66" x14ac:dyDescent="0.2">
      <c r="A54" s="128" t="s">
        <v>178</v>
      </c>
      <c r="B54" s="128" t="s">
        <v>179</v>
      </c>
      <c r="C54" s="128" t="s">
        <v>38</v>
      </c>
      <c r="D54" s="3" t="s">
        <v>39</v>
      </c>
      <c r="E54" s="179" t="s">
        <v>180</v>
      </c>
      <c r="F54" s="24"/>
      <c r="G54" s="4" t="s">
        <v>48</v>
      </c>
      <c r="H54" s="1" t="s">
        <v>18</v>
      </c>
      <c r="I54" s="42">
        <v>16460.920605498919</v>
      </c>
      <c r="J54" s="2"/>
      <c r="K54" s="25"/>
      <c r="L54" s="24">
        <f t="shared" si="19"/>
        <v>0</v>
      </c>
      <c r="M54" s="24">
        <f>ROUND(L54/121*123.1,0)</f>
        <v>0</v>
      </c>
      <c r="N54" s="24"/>
      <c r="O54" s="50">
        <f t="shared" si="2"/>
        <v>0</v>
      </c>
      <c r="P54" s="50">
        <f t="shared" si="3"/>
        <v>0</v>
      </c>
      <c r="Q54" s="50">
        <f t="shared" si="13"/>
        <v>0</v>
      </c>
      <c r="R54" s="50">
        <f t="shared" si="4"/>
        <v>0</v>
      </c>
      <c r="S54" s="88">
        <f t="shared" si="14"/>
        <v>0</v>
      </c>
      <c r="T54" s="87">
        <f t="shared" si="5"/>
        <v>0</v>
      </c>
      <c r="U54" s="136">
        <f t="shared" si="6"/>
        <v>21008</v>
      </c>
      <c r="V54" s="117">
        <f t="shared" si="15"/>
        <v>0</v>
      </c>
      <c r="W54" s="117">
        <f t="shared" si="7"/>
        <v>21700</v>
      </c>
      <c r="X54" s="136">
        <f t="shared" si="8"/>
        <v>19986</v>
      </c>
      <c r="Y54" s="117">
        <f t="shared" si="9"/>
        <v>19774.73</v>
      </c>
      <c r="Z54" s="88">
        <f t="shared" si="16"/>
        <v>17700</v>
      </c>
      <c r="AA54" s="89">
        <f t="shared" si="10"/>
        <v>16800</v>
      </c>
      <c r="AB54" s="57">
        <f t="shared" si="1"/>
        <v>0</v>
      </c>
      <c r="AC54" s="59">
        <f>ROUND(I54,0)</f>
        <v>16461</v>
      </c>
      <c r="AE54" s="28"/>
      <c r="AF54" s="28"/>
      <c r="AG54" s="28"/>
      <c r="AH54" s="28"/>
      <c r="AI54" s="28"/>
    </row>
    <row r="55" spans="1:66" s="102" customFormat="1" x14ac:dyDescent="0.2">
      <c r="A55" s="128" t="s">
        <v>181</v>
      </c>
      <c r="B55" s="131" t="s">
        <v>179</v>
      </c>
      <c r="C55" s="131" t="s">
        <v>38</v>
      </c>
      <c r="D55" s="109" t="s">
        <v>39</v>
      </c>
      <c r="E55" s="179" t="s">
        <v>182</v>
      </c>
      <c r="F55" s="93" t="s">
        <v>47</v>
      </c>
      <c r="G55" s="110" t="s">
        <v>48</v>
      </c>
      <c r="H55" s="111" t="s">
        <v>16</v>
      </c>
      <c r="I55" s="6">
        <v>336916.35430611332</v>
      </c>
      <c r="J55" s="112"/>
      <c r="K55" s="93">
        <f>ROUND(I55,0)</f>
        <v>336916</v>
      </c>
      <c r="L55" s="93">
        <f>ROUND(K55/120.2*121,0)</f>
        <v>339158</v>
      </c>
      <c r="M55" s="93">
        <v>490000</v>
      </c>
      <c r="N55" s="113">
        <f>ROUND(M55/123.6*125.8,0)</f>
        <v>498722</v>
      </c>
      <c r="O55" s="114">
        <f t="shared" si="2"/>
        <v>532023</v>
      </c>
      <c r="P55" s="50">
        <f t="shared" si="3"/>
        <v>726732</v>
      </c>
      <c r="Q55" s="50">
        <f t="shared" si="13"/>
        <v>682060</v>
      </c>
      <c r="R55" s="50">
        <f t="shared" si="4"/>
        <v>675522.39</v>
      </c>
      <c r="S55" s="88">
        <f t="shared" si="14"/>
        <v>620500</v>
      </c>
      <c r="T55" s="87">
        <f t="shared" si="5"/>
        <v>588400</v>
      </c>
      <c r="U55" s="136">
        <f t="shared" si="6"/>
        <v>0</v>
      </c>
      <c r="V55" s="117">
        <f t="shared" si="15"/>
        <v>752400</v>
      </c>
      <c r="W55" s="117">
        <f t="shared" si="7"/>
        <v>0</v>
      </c>
      <c r="X55" s="136">
        <f t="shared" si="8"/>
        <v>0</v>
      </c>
      <c r="Y55" s="117">
        <f t="shared" si="9"/>
        <v>0</v>
      </c>
      <c r="Z55" s="88">
        <f t="shared" si="16"/>
        <v>0</v>
      </c>
      <c r="AA55" s="89">
        <f t="shared" si="10"/>
        <v>0</v>
      </c>
      <c r="AB55" s="87">
        <f t="shared" si="1"/>
        <v>572063</v>
      </c>
      <c r="AC55" s="115"/>
      <c r="AD55" s="23"/>
      <c r="AE55" s="177"/>
      <c r="AF55" s="177"/>
      <c r="AG55" s="177"/>
      <c r="AH55" s="177"/>
      <c r="AI55" s="177"/>
    </row>
    <row r="56" spans="1:66" s="102" customFormat="1" x14ac:dyDescent="0.2">
      <c r="A56" s="128" t="s">
        <v>181</v>
      </c>
      <c r="B56" s="131" t="s">
        <v>179</v>
      </c>
      <c r="C56" s="131" t="s">
        <v>38</v>
      </c>
      <c r="D56" s="109" t="s">
        <v>39</v>
      </c>
      <c r="E56" s="179" t="s">
        <v>182</v>
      </c>
      <c r="F56" s="93"/>
      <c r="G56" s="110" t="s">
        <v>48</v>
      </c>
      <c r="H56" s="109" t="s">
        <v>18</v>
      </c>
      <c r="I56" s="7">
        <v>16460.920605498919</v>
      </c>
      <c r="J56" s="116"/>
      <c r="K56" s="115"/>
      <c r="L56" s="93">
        <f>ROUND(K56/120.2*121,0)</f>
        <v>0</v>
      </c>
      <c r="M56" s="93">
        <f>ROUND(L56/121*123.1,0)</f>
        <v>0</v>
      </c>
      <c r="N56" s="93"/>
      <c r="O56" s="114">
        <f t="shared" si="2"/>
        <v>0</v>
      </c>
      <c r="P56" s="50">
        <f t="shared" si="3"/>
        <v>0</v>
      </c>
      <c r="Q56" s="50">
        <f t="shared" si="13"/>
        <v>0</v>
      </c>
      <c r="R56" s="50">
        <f t="shared" si="4"/>
        <v>0</v>
      </c>
      <c r="S56" s="88">
        <f t="shared" si="14"/>
        <v>0</v>
      </c>
      <c r="T56" s="87">
        <f t="shared" si="5"/>
        <v>0</v>
      </c>
      <c r="U56" s="136">
        <f t="shared" si="6"/>
        <v>21008</v>
      </c>
      <c r="V56" s="117">
        <f t="shared" si="15"/>
        <v>0</v>
      </c>
      <c r="W56" s="117">
        <f t="shared" si="7"/>
        <v>21700</v>
      </c>
      <c r="X56" s="136">
        <f t="shared" si="8"/>
        <v>19986</v>
      </c>
      <c r="Y56" s="117">
        <f t="shared" si="9"/>
        <v>19774.73</v>
      </c>
      <c r="Z56" s="88">
        <f t="shared" si="16"/>
        <v>17700</v>
      </c>
      <c r="AA56" s="89">
        <f t="shared" si="10"/>
        <v>16800</v>
      </c>
      <c r="AB56" s="87">
        <f t="shared" si="1"/>
        <v>0</v>
      </c>
      <c r="AC56" s="93">
        <f>ROUND(I56,0)</f>
        <v>16461</v>
      </c>
      <c r="AD56" s="23"/>
      <c r="AE56" s="177"/>
      <c r="AF56" s="177"/>
      <c r="AG56" s="177"/>
      <c r="AH56" s="177"/>
      <c r="AI56" s="177"/>
    </row>
    <row r="57" spans="1:66" x14ac:dyDescent="0.2">
      <c r="A57" s="128" t="s">
        <v>183</v>
      </c>
      <c r="B57" s="128" t="s">
        <v>179</v>
      </c>
      <c r="C57" s="128" t="s">
        <v>38</v>
      </c>
      <c r="D57" s="3" t="s">
        <v>39</v>
      </c>
      <c r="E57" s="132" t="s">
        <v>184</v>
      </c>
      <c r="F57" s="67" t="s">
        <v>41</v>
      </c>
      <c r="G57" s="68"/>
      <c r="H57" s="1"/>
      <c r="I57" s="6"/>
      <c r="K57" s="69"/>
      <c r="L57" s="67"/>
      <c r="M57" s="67">
        <v>1895000</v>
      </c>
      <c r="N57" s="70">
        <f t="shared" ref="N57:N58" si="27">ROUND(M57/123.6*125.8,0)</f>
        <v>1928730</v>
      </c>
      <c r="O57" s="71">
        <f t="shared" si="2"/>
        <v>2057516</v>
      </c>
      <c r="P57" s="50">
        <f t="shared" si="3"/>
        <v>2810770</v>
      </c>
      <c r="Q57" s="50">
        <f t="shared" si="13"/>
        <v>2637994</v>
      </c>
      <c r="R57" s="50">
        <f t="shared" si="4"/>
        <v>2612709.39</v>
      </c>
      <c r="S57" s="90">
        <f t="shared" si="14"/>
        <v>2399900</v>
      </c>
      <c r="T57" s="91">
        <f t="shared" si="5"/>
        <v>2275600</v>
      </c>
      <c r="U57" s="136">
        <f t="shared" si="6"/>
        <v>343227</v>
      </c>
      <c r="V57" s="117">
        <f t="shared" si="15"/>
        <v>2909900</v>
      </c>
      <c r="W57" s="117">
        <f t="shared" si="7"/>
        <v>353300</v>
      </c>
      <c r="X57" s="136">
        <f t="shared" si="8"/>
        <v>326542</v>
      </c>
      <c r="Y57" s="117">
        <f t="shared" si="9"/>
        <v>323098.90000000002</v>
      </c>
      <c r="Z57" s="90">
        <f>ROUND(AA57/103.5*109.2,-2)</f>
        <v>289200</v>
      </c>
      <c r="AA57" s="92">
        <f t="shared" si="10"/>
        <v>274100</v>
      </c>
      <c r="AB57" s="57">
        <f t="shared" si="1"/>
        <v>2212366</v>
      </c>
      <c r="AC57" s="59">
        <f>251500+17600</f>
        <v>269100</v>
      </c>
      <c r="AE57" s="28"/>
      <c r="AF57" s="28" t="s">
        <v>203</v>
      </c>
      <c r="AG57" s="28"/>
      <c r="AH57" s="28"/>
      <c r="AI57" s="28"/>
    </row>
    <row r="58" spans="1:66" x14ac:dyDescent="0.2">
      <c r="A58" s="128" t="s">
        <v>185</v>
      </c>
      <c r="B58" s="128" t="s">
        <v>179</v>
      </c>
      <c r="C58" s="128" t="s">
        <v>38</v>
      </c>
      <c r="D58" s="133" t="s">
        <v>39</v>
      </c>
      <c r="E58" s="150" t="s">
        <v>186</v>
      </c>
      <c r="F58" s="24" t="s">
        <v>41</v>
      </c>
      <c r="G58" s="4" t="s">
        <v>42</v>
      </c>
      <c r="H58" s="3" t="s">
        <v>18</v>
      </c>
      <c r="I58" s="7">
        <v>459995.10044096032</v>
      </c>
      <c r="J58" s="25"/>
      <c r="K58" s="25"/>
      <c r="L58" s="24">
        <f>ROUND(K58/120.2*121,0)</f>
        <v>0</v>
      </c>
      <c r="M58" s="24">
        <v>2380000</v>
      </c>
      <c r="N58" s="24">
        <f t="shared" si="27"/>
        <v>2422362</v>
      </c>
      <c r="O58" s="24">
        <f t="shared" si="2"/>
        <v>2584110</v>
      </c>
      <c r="P58" s="50">
        <f t="shared" si="3"/>
        <v>3530124</v>
      </c>
      <c r="Q58" s="50">
        <f t="shared" si="13"/>
        <v>3313129</v>
      </c>
      <c r="R58" s="50">
        <f t="shared" si="4"/>
        <v>3281373.13</v>
      </c>
      <c r="S58" s="88">
        <f t="shared" si="14"/>
        <v>3014100</v>
      </c>
      <c r="T58" s="88">
        <f t="shared" si="5"/>
        <v>2858000</v>
      </c>
      <c r="U58" s="136">
        <f t="shared" si="6"/>
        <v>456568</v>
      </c>
      <c r="V58" s="117">
        <f t="shared" si="15"/>
        <v>3654500</v>
      </c>
      <c r="W58" s="117">
        <f t="shared" si="7"/>
        <v>470000</v>
      </c>
      <c r="X58" s="136">
        <f t="shared" si="8"/>
        <v>434373</v>
      </c>
      <c r="Y58" s="117">
        <f t="shared" si="9"/>
        <v>429793.04</v>
      </c>
      <c r="Z58" s="88">
        <f>ROUND(AA58/103.5*109.2,-2)</f>
        <v>384700</v>
      </c>
      <c r="AA58" s="93">
        <f t="shared" si="10"/>
        <v>364600</v>
      </c>
      <c r="AB58" s="57">
        <f t="shared" si="1"/>
        <v>2778592</v>
      </c>
      <c r="AC58" s="59">
        <f>340871+17000</f>
        <v>357871</v>
      </c>
      <c r="AE58" s="28" t="s">
        <v>203</v>
      </c>
      <c r="AF58" s="28" t="s">
        <v>203</v>
      </c>
      <c r="AG58" s="28"/>
      <c r="AH58" s="28"/>
      <c r="AI58" s="28"/>
    </row>
    <row r="59" spans="1:66" ht="13.5" thickBot="1" x14ac:dyDescent="0.25">
      <c r="A59" s="134"/>
      <c r="B59" s="134"/>
      <c r="C59" s="134"/>
      <c r="D59" s="1"/>
      <c r="E59" s="135" t="s">
        <v>187</v>
      </c>
      <c r="F59" s="73"/>
      <c r="G59" s="74"/>
      <c r="H59" s="75"/>
      <c r="I59" s="76"/>
      <c r="J59" s="77"/>
      <c r="K59" s="77"/>
      <c r="L59" s="73"/>
      <c r="M59" s="73"/>
      <c r="N59" s="73"/>
      <c r="O59" s="73"/>
      <c r="P59" s="73"/>
      <c r="Q59" s="73"/>
      <c r="R59" s="73"/>
      <c r="S59" s="94"/>
      <c r="T59" s="94"/>
      <c r="U59" s="136">
        <f t="shared" si="6"/>
        <v>4413878</v>
      </c>
      <c r="V59" s="117">
        <f t="shared" si="15"/>
        <v>0</v>
      </c>
      <c r="W59" s="117">
        <f t="shared" si="7"/>
        <v>4543300</v>
      </c>
      <c r="X59" s="136">
        <f t="shared" si="8"/>
        <v>4199314</v>
      </c>
      <c r="Y59" s="117">
        <f t="shared" si="9"/>
        <v>4155038.46</v>
      </c>
      <c r="Z59" s="94">
        <f t="shared" ref="Z59" si="28">ROUND(AA59/103.5*109.2,-2)</f>
        <v>3719100</v>
      </c>
      <c r="AA59" s="95">
        <v>3524970</v>
      </c>
      <c r="AB59" s="64"/>
      <c r="AC59" s="65"/>
      <c r="AE59" s="28"/>
      <c r="AF59" s="28"/>
      <c r="AG59" s="28"/>
      <c r="AH59" s="28"/>
      <c r="AI59" s="28"/>
    </row>
    <row r="60" spans="1:66" ht="13.5" thickBot="1" x14ac:dyDescent="0.25">
      <c r="E60" s="72" t="s">
        <v>188</v>
      </c>
      <c r="F60" s="103"/>
      <c r="G60" s="104"/>
      <c r="H60" s="104"/>
      <c r="I60" s="105">
        <f>SUM(I5:I55)</f>
        <v>66818369.415542334</v>
      </c>
      <c r="J60" s="104"/>
      <c r="K60" s="106">
        <f t="shared" ref="K60:T60" si="29">SUM(K5:K58)</f>
        <v>59142859</v>
      </c>
      <c r="L60" s="106">
        <f t="shared" si="29"/>
        <v>59536490</v>
      </c>
      <c r="M60" s="106">
        <f t="shared" si="29"/>
        <v>153490914</v>
      </c>
      <c r="N60" s="106">
        <f t="shared" si="29"/>
        <v>164801977</v>
      </c>
      <c r="O60" s="106">
        <f t="shared" si="29"/>
        <v>177806244</v>
      </c>
      <c r="P60" s="138">
        <f>SUM(P5:P58)</f>
        <v>238495697</v>
      </c>
      <c r="Q60" s="138">
        <f>SUM(Q5:Q59)</f>
        <v>224107029</v>
      </c>
      <c r="R60" s="122">
        <f t="shared" si="29"/>
        <v>221959020.17999998</v>
      </c>
      <c r="S60" s="96">
        <f t="shared" si="29"/>
        <v>203880100</v>
      </c>
      <c r="T60" s="96">
        <f t="shared" si="29"/>
        <v>188578400</v>
      </c>
      <c r="U60" s="139">
        <f t="shared" ref="U60:AA60" si="30">SUM(U5:U59)</f>
        <v>20985028</v>
      </c>
      <c r="V60" s="139">
        <f t="shared" si="30"/>
        <v>246900800</v>
      </c>
      <c r="W60" s="139">
        <f t="shared" si="30"/>
        <v>21601800</v>
      </c>
      <c r="X60" s="126">
        <f t="shared" si="30"/>
        <v>20601168</v>
      </c>
      <c r="Y60" s="126">
        <f t="shared" si="30"/>
        <v>20383943.239999998</v>
      </c>
      <c r="Z60" s="96">
        <f t="shared" si="30"/>
        <v>18245300</v>
      </c>
      <c r="AA60" s="97">
        <f t="shared" si="30"/>
        <v>17677770</v>
      </c>
      <c r="AB60" s="62">
        <f>SUM(AB5:AB58)</f>
        <v>191188086</v>
      </c>
      <c r="AC60" s="63">
        <f>SUM(AC5:AC58)</f>
        <v>13892832</v>
      </c>
    </row>
    <row r="61" spans="1:66" x14ac:dyDescent="0.2">
      <c r="F61" s="33"/>
      <c r="K61" s="33"/>
      <c r="L61" s="33"/>
      <c r="M61" s="33"/>
      <c r="N61" s="33"/>
      <c r="O61" s="33"/>
      <c r="P61" s="33"/>
      <c r="Q61" s="33"/>
      <c r="R61" s="33"/>
      <c r="S61" s="98"/>
      <c r="T61" s="98"/>
      <c r="U61" s="98"/>
      <c r="V61" s="98"/>
      <c r="W61" s="98"/>
      <c r="X61" s="98"/>
      <c r="Y61" s="127"/>
      <c r="Z61" s="98"/>
      <c r="AA61" s="99"/>
      <c r="AB61" s="62"/>
      <c r="AC61" s="63"/>
    </row>
    <row r="62" spans="1:66" x14ac:dyDescent="0.2">
      <c r="A62" s="35" t="s">
        <v>189</v>
      </c>
      <c r="F62" s="34"/>
      <c r="K62" s="34"/>
      <c r="L62" s="34"/>
      <c r="M62" s="34"/>
      <c r="N62" s="34"/>
      <c r="O62" s="34"/>
      <c r="P62" s="34"/>
      <c r="Q62" s="34"/>
      <c r="R62" s="34"/>
      <c r="S62" s="100"/>
      <c r="T62" s="100"/>
      <c r="U62" s="100"/>
      <c r="V62" s="100"/>
      <c r="W62" s="100"/>
      <c r="X62" s="100"/>
      <c r="Y62" s="34"/>
      <c r="Z62" s="100"/>
      <c r="AA62" s="100"/>
      <c r="AB62" s="64"/>
      <c r="AC62" s="65"/>
    </row>
    <row r="63" spans="1:66" ht="13.5" thickBot="1" x14ac:dyDescent="0.25">
      <c r="A63" s="35" t="s">
        <v>190</v>
      </c>
      <c r="F63" s="34"/>
      <c r="K63" s="34"/>
      <c r="L63" s="34"/>
      <c r="M63" s="34"/>
      <c r="N63" s="34"/>
      <c r="O63" s="34"/>
      <c r="P63" s="34">
        <f>P60+U60</f>
        <v>259480725</v>
      </c>
      <c r="Q63" s="34">
        <f>Q60+X60</f>
        <v>244708197</v>
      </c>
      <c r="R63" s="34"/>
      <c r="S63" s="100"/>
      <c r="T63" s="100"/>
      <c r="U63" s="100"/>
      <c r="V63" s="100"/>
      <c r="W63" s="100"/>
      <c r="X63" s="100"/>
      <c r="Y63" s="34"/>
      <c r="Z63" s="100"/>
      <c r="AA63" s="101">
        <f>R60+Y60</f>
        <v>242342963.41999999</v>
      </c>
      <c r="AB63" s="64"/>
      <c r="AC63" s="66">
        <f>AB60+AC60</f>
        <v>205080918</v>
      </c>
    </row>
    <row r="64" spans="1:66" ht="13.5" thickTop="1" x14ac:dyDescent="0.2">
      <c r="M64" s="36"/>
      <c r="AC64" s="36"/>
    </row>
    <row r="66" spans="29:29" x14ac:dyDescent="0.2">
      <c r="AC66" s="37"/>
    </row>
    <row r="67" spans="29:29" x14ac:dyDescent="0.2">
      <c r="AC67" s="36"/>
    </row>
    <row r="68" spans="29:29" x14ac:dyDescent="0.2">
      <c r="AC68" s="36"/>
    </row>
    <row r="69" spans="29:29" x14ac:dyDescent="0.2">
      <c r="AC69" s="38"/>
    </row>
    <row r="70" spans="29:29" x14ac:dyDescent="0.2">
      <c r="AC70" s="38"/>
    </row>
    <row r="71" spans="29:29" x14ac:dyDescent="0.2">
      <c r="AC71" s="38"/>
    </row>
    <row r="72" spans="29:29" x14ac:dyDescent="0.2">
      <c r="AC72" s="38"/>
    </row>
    <row r="73" spans="29:29" x14ac:dyDescent="0.2">
      <c r="AC73" s="38"/>
    </row>
    <row r="74" spans="29:29" x14ac:dyDescent="0.2">
      <c r="AC74" s="36"/>
    </row>
    <row r="75" spans="29:29" x14ac:dyDescent="0.2">
      <c r="AC75" s="36"/>
    </row>
    <row r="76" spans="29:29" x14ac:dyDescent="0.2">
      <c r="AC76" s="39"/>
    </row>
    <row r="79" spans="29:29" x14ac:dyDescent="0.2">
      <c r="AC79" s="36"/>
    </row>
    <row r="80" spans="29:29" x14ac:dyDescent="0.2">
      <c r="AC80" s="36"/>
    </row>
    <row r="81" spans="29:29" x14ac:dyDescent="0.2">
      <c r="AC81" s="38"/>
    </row>
    <row r="83" spans="29:29" x14ac:dyDescent="0.2">
      <c r="AC83" s="37"/>
    </row>
  </sheetData>
  <autoFilter ref="A1:AC63" xr:uid="{00000000-0009-0000-0000-000000000000}"/>
  <mergeCells count="1">
    <mergeCell ref="F1:F3"/>
  </mergeCells>
  <pageMargins left="0.39370078740157483" right="0.39370078740157483" top="1.7322834645669292" bottom="0.94488188976377963" header="0.31496062992125984" footer="0.70866141732283472"/>
  <pageSetup paperSize="9" scale="64" fitToHeight="3" orientation="landscape" r:id="rId1"/>
  <headerFooter>
    <oddFooter>&amp;L&amp;F &amp;A&amp;C&amp;P&amp;R&amp;D</oddFooter>
  </headerFooter>
  <rowBreaks count="1" manualBreakCount="1">
    <brk id="29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6C420-9355-456F-9E7C-F7130CE7E2D2}">
  <dimension ref="A1:H18"/>
  <sheetViews>
    <sheetView workbookViewId="0">
      <selection activeCell="E21" sqref="E21"/>
    </sheetView>
  </sheetViews>
  <sheetFormatPr defaultRowHeight="15" x14ac:dyDescent="0.25"/>
  <cols>
    <col min="2" max="2" width="13.28515625" bestFit="1" customWidth="1"/>
    <col min="3" max="3" width="18.42578125" bestFit="1" customWidth="1"/>
    <col min="4" max="4" width="23.5703125" bestFit="1" customWidth="1"/>
    <col min="5" max="5" width="15" bestFit="1" customWidth="1"/>
    <col min="6" max="6" width="16.28515625" bestFit="1" customWidth="1"/>
    <col min="7" max="7" width="14" bestFit="1" customWidth="1"/>
    <col min="8" max="8" width="13.42578125" bestFit="1" customWidth="1"/>
  </cols>
  <sheetData>
    <row r="1" spans="1:8" x14ac:dyDescent="0.25">
      <c r="A1" s="152"/>
      <c r="B1" s="152"/>
      <c r="C1" s="152"/>
      <c r="D1" s="152"/>
      <c r="E1" s="152"/>
      <c r="F1" s="152"/>
      <c r="G1" s="152"/>
      <c r="H1" s="152"/>
    </row>
    <row r="2" spans="1:8" x14ac:dyDescent="0.25">
      <c r="A2" s="152"/>
      <c r="B2" s="153" t="s">
        <v>191</v>
      </c>
      <c r="C2" s="153" t="s">
        <v>192</v>
      </c>
      <c r="D2" s="153" t="s">
        <v>193</v>
      </c>
      <c r="E2" s="153" t="s">
        <v>194</v>
      </c>
      <c r="F2" s="154"/>
      <c r="G2" s="153" t="s">
        <v>195</v>
      </c>
      <c r="H2" s="154"/>
    </row>
    <row r="3" spans="1:8" x14ac:dyDescent="0.25">
      <c r="A3" s="152"/>
      <c r="B3" s="155"/>
      <c r="C3" s="155"/>
      <c r="D3" s="155"/>
      <c r="E3" s="156" t="s">
        <v>196</v>
      </c>
      <c r="F3" s="156" t="s">
        <v>197</v>
      </c>
      <c r="G3" s="156" t="s">
        <v>196</v>
      </c>
      <c r="H3" s="156" t="s">
        <v>198</v>
      </c>
    </row>
    <row r="4" spans="1:8" x14ac:dyDescent="0.25">
      <c r="A4" s="152"/>
      <c r="B4" s="163">
        <v>45658</v>
      </c>
      <c r="C4" s="155" t="s">
        <v>199</v>
      </c>
      <c r="D4" s="155" t="s">
        <v>111</v>
      </c>
      <c r="E4" s="157"/>
      <c r="F4" s="157">
        <v>5998317</v>
      </c>
      <c r="G4" s="158"/>
      <c r="H4" s="158">
        <v>346669</v>
      </c>
    </row>
    <row r="5" spans="1:8" x14ac:dyDescent="0.25">
      <c r="A5" s="152"/>
      <c r="B5" s="163">
        <v>45658</v>
      </c>
      <c r="C5" s="155" t="s">
        <v>200</v>
      </c>
      <c r="D5" s="155" t="s">
        <v>160</v>
      </c>
      <c r="E5" s="157"/>
      <c r="F5" s="157">
        <v>3972136</v>
      </c>
      <c r="G5" s="158"/>
      <c r="H5" s="158">
        <v>322102</v>
      </c>
    </row>
    <row r="6" spans="1:8" x14ac:dyDescent="0.25">
      <c r="A6" s="152"/>
      <c r="B6" s="163">
        <v>45658</v>
      </c>
      <c r="C6" s="155" t="s">
        <v>201</v>
      </c>
      <c r="D6" s="155" t="s">
        <v>164</v>
      </c>
      <c r="E6" s="157"/>
      <c r="F6" s="157">
        <v>289288</v>
      </c>
      <c r="G6" s="158"/>
      <c r="H6" s="158"/>
    </row>
    <row r="7" spans="1:8" x14ac:dyDescent="0.25">
      <c r="A7" s="152"/>
      <c r="B7" s="155"/>
      <c r="C7" s="155"/>
      <c r="D7" s="155"/>
      <c r="E7" s="157"/>
      <c r="F7" s="157"/>
      <c r="G7" s="158"/>
      <c r="H7" s="158"/>
    </row>
    <row r="8" spans="1:8" x14ac:dyDescent="0.25">
      <c r="A8" s="152"/>
      <c r="B8" s="155"/>
      <c r="C8" s="155"/>
      <c r="D8" s="155"/>
      <c r="E8" s="158"/>
      <c r="F8" s="158"/>
      <c r="G8" s="155"/>
      <c r="H8" s="155"/>
    </row>
    <row r="9" spans="1:8" x14ac:dyDescent="0.25">
      <c r="A9" s="152"/>
      <c r="B9" s="155"/>
      <c r="C9" s="155"/>
      <c r="D9" s="155"/>
      <c r="E9" s="158"/>
      <c r="F9" s="158"/>
      <c r="G9" s="155"/>
      <c r="H9" s="155"/>
    </row>
    <row r="10" spans="1:8" x14ac:dyDescent="0.25">
      <c r="A10" s="152"/>
      <c r="B10" s="155"/>
      <c r="C10" s="155"/>
      <c r="D10" s="155"/>
      <c r="E10" s="155"/>
      <c r="F10" s="155"/>
      <c r="G10" s="155"/>
      <c r="H10" s="155"/>
    </row>
    <row r="11" spans="1:8" x14ac:dyDescent="0.25">
      <c r="A11" s="152"/>
      <c r="B11" s="155"/>
      <c r="C11" s="155"/>
      <c r="D11" s="155"/>
      <c r="E11" s="155"/>
      <c r="F11" s="155"/>
      <c r="G11" s="155"/>
      <c r="H11" s="155"/>
    </row>
    <row r="12" spans="1:8" x14ac:dyDescent="0.25">
      <c r="A12" s="152"/>
      <c r="B12" s="159"/>
      <c r="C12" s="155"/>
      <c r="D12" s="155"/>
      <c r="E12" s="155"/>
      <c r="F12" s="158"/>
      <c r="G12" s="155"/>
      <c r="H12" s="155"/>
    </row>
    <row r="13" spans="1:8" x14ac:dyDescent="0.25">
      <c r="A13" s="152"/>
      <c r="B13" s="160" t="s">
        <v>188</v>
      </c>
      <c r="C13" s="155"/>
      <c r="D13" s="155"/>
      <c r="E13" s="161">
        <f>SUM(E4:E11)</f>
        <v>0</v>
      </c>
      <c r="F13" s="161">
        <f>SUM(F4:F12)</f>
        <v>10259741</v>
      </c>
      <c r="G13" s="161">
        <f>SUM(G4:G9)</f>
        <v>0</v>
      </c>
      <c r="H13" s="161">
        <f>SUM(H4:H8)</f>
        <v>668771</v>
      </c>
    </row>
    <row r="14" spans="1:8" x14ac:dyDescent="0.25">
      <c r="A14" s="152"/>
      <c r="B14" s="152"/>
      <c r="C14" s="152"/>
      <c r="D14" s="152"/>
      <c r="E14" s="152"/>
      <c r="F14" s="152"/>
      <c r="G14" s="152"/>
      <c r="H14" s="152"/>
    </row>
    <row r="15" spans="1:8" x14ac:dyDescent="0.25">
      <c r="A15" s="152"/>
      <c r="B15" s="152"/>
      <c r="C15" s="152"/>
      <c r="D15" s="152"/>
      <c r="E15" s="152"/>
      <c r="F15" s="152"/>
      <c r="G15" s="152"/>
      <c r="H15" s="152"/>
    </row>
    <row r="16" spans="1:8" x14ac:dyDescent="0.25">
      <c r="A16" s="152"/>
      <c r="B16" s="152"/>
      <c r="C16" s="152"/>
      <c r="D16" s="152"/>
      <c r="E16" s="152"/>
      <c r="F16" s="152"/>
      <c r="G16" s="152"/>
      <c r="H16" s="152"/>
    </row>
    <row r="17" spans="1:8" x14ac:dyDescent="0.25">
      <c r="A17" s="152"/>
      <c r="B17" s="160" t="s">
        <v>202</v>
      </c>
      <c r="C17" s="161">
        <f>F13+H13</f>
        <v>10928512</v>
      </c>
      <c r="D17" s="162"/>
      <c r="E17" s="152"/>
      <c r="F17" s="152"/>
      <c r="G17" s="152"/>
      <c r="H17" s="152"/>
    </row>
    <row r="18" spans="1:8" x14ac:dyDescent="0.25">
      <c r="A18" s="152"/>
      <c r="B18" s="152"/>
      <c r="C18" s="152"/>
      <c r="D18" s="152"/>
      <c r="E18" s="152"/>
      <c r="F18" s="152"/>
      <c r="G18" s="152"/>
      <c r="H18" s="15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2" ma:contentTypeDescription="Een nieuw document maken." ma:contentTypeScope="" ma:versionID="ad7adb011c3e746f856a4bad62472bcc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59cb03d3d0df4f03520a63c4b2a50b02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15DC73-3097-4701-AA72-B64E8FC688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A08AF-1B08-44AE-9C94-56383CC6D9C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B6F45C-95AD-4137-9895-73D7FA2661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Index per 01-01-2026</vt:lpstr>
      <vt:lpstr>ADC 2025</vt:lpstr>
      <vt:lpstr>'Index per 01-01-2026'!Afdrukbereik</vt:lpstr>
      <vt:lpstr>'Index per 01-01-2026'!Afdruktitels</vt:lpstr>
    </vt:vector>
  </TitlesOfParts>
  <Manager/>
  <Company>RvO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 Cornelisse</dc:creator>
  <cp:keywords/>
  <dc:description/>
  <cp:lastModifiedBy>Judith Huisman</cp:lastModifiedBy>
  <cp:revision/>
  <dcterms:created xsi:type="dcterms:W3CDTF">2014-09-26T07:20:39Z</dcterms:created>
  <dcterms:modified xsi:type="dcterms:W3CDTF">2026-10-13T13:27:32Z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</Properties>
</file>