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Gooise Meren/Publicatie/"/>
    </mc:Choice>
  </mc:AlternateContent>
  <xr:revisionPtr revIDLastSave="18" documentId="13_ncr:1_{62B1D239-330A-4908-9D95-E92E06958D0E}" xr6:coauthVersionLast="47" xr6:coauthVersionMax="47" xr10:uidLastSave="{6C20882A-D7F1-44D5-84D9-B8CA44282BAF}"/>
  <bookViews>
    <workbookView xWindow="2160" yWindow="-16320" windowWidth="29040" windowHeight="15720" tabRatio="830" xr2:uid="{00000000-000D-0000-FFFF-FFFF00000000}"/>
  </bookViews>
  <sheets>
    <sheet name="Bussum" sheetId="17" r:id="rId1"/>
    <sheet name="Muiden en Muiderberg" sheetId="20" r:id="rId2"/>
    <sheet name="Naarden" sheetId="21" r:id="rId3"/>
  </sheets>
  <externalReferences>
    <externalReference r:id="rId4"/>
  </externalReferences>
  <definedNames>
    <definedName name="_afr2">#REF!</definedName>
    <definedName name="_xlnm._FilterDatabase" localSheetId="0" hidden="1">Bussum!$A$1:$V$44</definedName>
    <definedName name="_xlnm._FilterDatabase" localSheetId="1" hidden="1">'Muiden en Muiderberg'!$B$1:$T$27</definedName>
    <definedName name="_xlnm._FilterDatabase" localSheetId="2" hidden="1">Naarden!$A$1:$V$36</definedName>
    <definedName name="_vvd2">#REF!</definedName>
    <definedName name="_xlnm.Print_Area" localSheetId="0">Bussum!$B$1:$V$80</definedName>
    <definedName name="_xlnm.Print_Area" localSheetId="1">'Muiden en Muiderberg'!$B$1:$T$52</definedName>
    <definedName name="_xlnm.Print_Area" localSheetId="2">Naarden!$B$1:$V$76</definedName>
    <definedName name="_xlnm.Print_Titles" localSheetId="0">Bussum!$1:$4</definedName>
    <definedName name="_xlnm.Print_Titles" localSheetId="1">'Muiden en Muiderberg'!$1:$4</definedName>
    <definedName name="_xlnm.Print_Titles" localSheetId="2">Naarden!$1:$4</definedName>
    <definedName name="afrmut">#REF!</definedName>
    <definedName name="cad">Bussum!#REF!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Bussum!#REF!</definedName>
    <definedName name="indexafronding">#REF!</definedName>
    <definedName name="kosten">Bussum!#REF!</definedName>
    <definedName name="ppo">#REF!</definedName>
    <definedName name="Premie">#REF!</definedName>
    <definedName name="premieoud">#REF!</definedName>
    <definedName name="pvo">#REF!</definedName>
    <definedName name="Uitg.">[1]Specificatie!$C$4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0" i="20" l="1"/>
  <c r="N60" i="20" s="1"/>
  <c r="P60" i="20" s="1"/>
  <c r="R60" i="20" s="1"/>
  <c r="K60" i="20"/>
  <c r="M60" i="20" s="1"/>
  <c r="O60" i="20" s="1"/>
  <c r="Q60" i="20" s="1"/>
  <c r="I60" i="20"/>
  <c r="Q84" i="21"/>
  <c r="S84" i="21" s="1"/>
  <c r="U84" i="21" s="1"/>
  <c r="P84" i="21"/>
  <c r="R84" i="21" s="1"/>
  <c r="T84" i="21" s="1"/>
  <c r="V84" i="21" s="1"/>
  <c r="T59" i="20"/>
  <c r="V86" i="17"/>
  <c r="T58" i="20"/>
  <c r="O57" i="20"/>
  <c r="Q57" i="20" s="1"/>
  <c r="S57" i="20" s="1"/>
  <c r="L57" i="20"/>
  <c r="N57" i="20" s="1"/>
  <c r="P57" i="20" s="1"/>
  <c r="R57" i="20" s="1"/>
  <c r="T57" i="20" s="1"/>
  <c r="K57" i="20"/>
  <c r="I57" i="20"/>
  <c r="Q85" i="17"/>
  <c r="S85" i="17" s="1"/>
  <c r="U85" i="17" s="1"/>
  <c r="P85" i="17"/>
  <c r="R85" i="17" s="1"/>
  <c r="T85" i="17" s="1"/>
  <c r="V85" i="17" s="1"/>
  <c r="I85" i="17"/>
  <c r="J85" i="17" s="1"/>
  <c r="K85" i="17" s="1"/>
  <c r="U38" i="21"/>
  <c r="T38" i="21"/>
  <c r="T60" i="20" l="1"/>
  <c r="V68" i="21"/>
  <c r="V67" i="21"/>
  <c r="V62" i="21"/>
  <c r="V61" i="21"/>
  <c r="V60" i="21"/>
  <c r="V59" i="21"/>
  <c r="V58" i="21"/>
  <c r="V57" i="21"/>
  <c r="V56" i="21"/>
  <c r="V55" i="21"/>
  <c r="V54" i="21"/>
  <c r="V53" i="21"/>
  <c r="V52" i="21"/>
  <c r="V51" i="21"/>
  <c r="V50" i="21"/>
  <c r="V49" i="21"/>
  <c r="V48" i="21"/>
  <c r="V47" i="21"/>
  <c r="V46" i="21"/>
  <c r="V45" i="21"/>
  <c r="V44" i="21"/>
  <c r="V43" i="21"/>
  <c r="V42" i="21"/>
  <c r="V41" i="21"/>
  <c r="V36" i="21"/>
  <c r="V7" i="21"/>
  <c r="V8" i="21"/>
  <c r="V9" i="21"/>
  <c r="V10" i="21"/>
  <c r="V11" i="21"/>
  <c r="V12" i="21"/>
  <c r="V13" i="21"/>
  <c r="V14" i="21"/>
  <c r="V15" i="21"/>
  <c r="V16" i="21"/>
  <c r="V17" i="21"/>
  <c r="V18" i="21"/>
  <c r="V19" i="21"/>
  <c r="V20" i="21"/>
  <c r="V21" i="21"/>
  <c r="V22" i="21"/>
  <c r="V23" i="21"/>
  <c r="V24" i="21"/>
  <c r="V25" i="21"/>
  <c r="V26" i="21"/>
  <c r="V27" i="21"/>
  <c r="V28" i="21"/>
  <c r="V29" i="21"/>
  <c r="V30" i="21"/>
  <c r="V31" i="21"/>
  <c r="V32" i="21"/>
  <c r="V33" i="21"/>
  <c r="V34" i="21"/>
  <c r="V35" i="21"/>
  <c r="V6" i="21"/>
  <c r="U70" i="21"/>
  <c r="U72" i="21" s="1"/>
  <c r="T70" i="21"/>
  <c r="T72" i="21" s="1"/>
  <c r="U68" i="21"/>
  <c r="T68" i="21"/>
  <c r="U67" i="21"/>
  <c r="T67" i="21"/>
  <c r="U64" i="21"/>
  <c r="T64" i="21"/>
  <c r="T42" i="21"/>
  <c r="U42" i="21"/>
  <c r="T43" i="21"/>
  <c r="U43" i="21"/>
  <c r="T44" i="21"/>
  <c r="U44" i="21"/>
  <c r="T45" i="21"/>
  <c r="U45" i="21"/>
  <c r="T46" i="21"/>
  <c r="U46" i="21"/>
  <c r="T47" i="21"/>
  <c r="U47" i="21"/>
  <c r="T48" i="21"/>
  <c r="U48" i="21"/>
  <c r="T49" i="21"/>
  <c r="U49" i="21"/>
  <c r="T50" i="21"/>
  <c r="U50" i="21"/>
  <c r="T51" i="21"/>
  <c r="U51" i="21"/>
  <c r="T52" i="21"/>
  <c r="U52" i="21"/>
  <c r="T53" i="21"/>
  <c r="U53" i="21"/>
  <c r="T54" i="21"/>
  <c r="U54" i="21"/>
  <c r="T55" i="21"/>
  <c r="U55" i="21"/>
  <c r="T56" i="21"/>
  <c r="U56" i="21"/>
  <c r="T57" i="21"/>
  <c r="U57" i="21"/>
  <c r="T58" i="21"/>
  <c r="U58" i="21"/>
  <c r="T59" i="21"/>
  <c r="U59" i="21"/>
  <c r="T60" i="21"/>
  <c r="U60" i="21"/>
  <c r="T61" i="21"/>
  <c r="U61" i="21"/>
  <c r="T62" i="21"/>
  <c r="U62" i="21"/>
  <c r="U41" i="21"/>
  <c r="T41" i="21"/>
  <c r="T7" i="21"/>
  <c r="U7" i="21"/>
  <c r="T8" i="21"/>
  <c r="U8" i="21"/>
  <c r="T9" i="21"/>
  <c r="U9" i="21"/>
  <c r="T10" i="21"/>
  <c r="U10" i="21"/>
  <c r="T11" i="21"/>
  <c r="U11" i="21"/>
  <c r="T12" i="21"/>
  <c r="U12" i="21"/>
  <c r="T13" i="21"/>
  <c r="U13" i="21"/>
  <c r="T14" i="21"/>
  <c r="U14" i="21"/>
  <c r="T15" i="21"/>
  <c r="U15" i="21"/>
  <c r="T16" i="21"/>
  <c r="U16" i="21"/>
  <c r="T17" i="21"/>
  <c r="U17" i="21"/>
  <c r="T18" i="21"/>
  <c r="U18" i="21"/>
  <c r="T19" i="21"/>
  <c r="U19" i="21"/>
  <c r="T20" i="21"/>
  <c r="U20" i="21"/>
  <c r="T21" i="21"/>
  <c r="U21" i="21"/>
  <c r="T22" i="21"/>
  <c r="U22" i="21"/>
  <c r="T23" i="21"/>
  <c r="U23" i="21"/>
  <c r="T24" i="21"/>
  <c r="U24" i="21"/>
  <c r="T25" i="21"/>
  <c r="U25" i="21"/>
  <c r="T26" i="21"/>
  <c r="U26" i="21"/>
  <c r="T27" i="21"/>
  <c r="U27" i="21"/>
  <c r="T28" i="21"/>
  <c r="U28" i="21"/>
  <c r="T29" i="21"/>
  <c r="U29" i="21"/>
  <c r="T30" i="21"/>
  <c r="U30" i="21"/>
  <c r="T31" i="21"/>
  <c r="U31" i="21"/>
  <c r="T32" i="21"/>
  <c r="U32" i="21"/>
  <c r="T33" i="21"/>
  <c r="U33" i="21"/>
  <c r="T34" i="21"/>
  <c r="U34" i="21"/>
  <c r="T35" i="21"/>
  <c r="U35" i="21"/>
  <c r="T36" i="21"/>
  <c r="U6" i="21"/>
  <c r="T6" i="21"/>
  <c r="R36" i="17"/>
  <c r="T36" i="17" s="1"/>
  <c r="Q36" i="17"/>
  <c r="S36" i="17" s="1"/>
  <c r="U36" i="17" s="1"/>
  <c r="V36" i="17" l="1"/>
  <c r="P50" i="21"/>
  <c r="R50" i="21" s="1"/>
  <c r="P55" i="21"/>
  <c r="R55" i="21" s="1"/>
  <c r="P68" i="17" l="1"/>
  <c r="R68" i="17" s="1"/>
  <c r="T68" i="17" s="1"/>
  <c r="P67" i="17"/>
  <c r="R67" i="17" s="1"/>
  <c r="T67" i="17" s="1"/>
  <c r="P19" i="17"/>
  <c r="R19" i="17" s="1"/>
  <c r="T19" i="17" s="1"/>
  <c r="P15" i="17"/>
  <c r="R15" i="17" s="1"/>
  <c r="T15" i="17" s="1"/>
  <c r="I6" i="17" l="1"/>
  <c r="J6" i="17" s="1"/>
  <c r="I7" i="17"/>
  <c r="J7" i="17" s="1"/>
  <c r="K7" i="17" s="1"/>
  <c r="I8" i="17"/>
  <c r="J8" i="17" s="1"/>
  <c r="K8" i="17" s="1"/>
  <c r="I9" i="17"/>
  <c r="J9" i="17" s="1"/>
  <c r="K9" i="17" s="1"/>
  <c r="I10" i="17"/>
  <c r="J10" i="17" s="1"/>
  <c r="K10" i="17" s="1"/>
  <c r="I11" i="17"/>
  <c r="J11" i="17" s="1"/>
  <c r="K11" i="17" s="1"/>
  <c r="I12" i="17"/>
  <c r="J12" i="17" s="1"/>
  <c r="K12" i="17" s="1"/>
  <c r="I13" i="17"/>
  <c r="J13" i="17" s="1"/>
  <c r="K13" i="17" s="1"/>
  <c r="I14" i="17"/>
  <c r="J14" i="17" s="1"/>
  <c r="K14" i="17" s="1"/>
  <c r="I15" i="17"/>
  <c r="J15" i="17" s="1"/>
  <c r="K15" i="17" s="1"/>
  <c r="I16" i="17"/>
  <c r="J16" i="17" s="1"/>
  <c r="K16" i="17" s="1"/>
  <c r="I17" i="17"/>
  <c r="J17" i="17" s="1"/>
  <c r="K17" i="17" s="1"/>
  <c r="I18" i="17"/>
  <c r="J18" i="17" s="1"/>
  <c r="K18" i="17" s="1"/>
  <c r="I19" i="17"/>
  <c r="J19" i="17" s="1"/>
  <c r="K19" i="17" s="1"/>
  <c r="J20" i="17"/>
  <c r="K20" i="17" s="1"/>
  <c r="I21" i="17"/>
  <c r="J21" i="17" s="1"/>
  <c r="K21" i="17" s="1"/>
  <c r="I22" i="17"/>
  <c r="J22" i="17" s="1"/>
  <c r="K22" i="17" s="1"/>
  <c r="I23" i="17"/>
  <c r="J23" i="17" s="1"/>
  <c r="K23" i="17" s="1"/>
  <c r="I24" i="17"/>
  <c r="J24" i="17" s="1"/>
  <c r="K24" i="17" s="1"/>
  <c r="I25" i="17"/>
  <c r="J25" i="17" s="1"/>
  <c r="K25" i="17" s="1"/>
  <c r="I26" i="17"/>
  <c r="J26" i="17" s="1"/>
  <c r="K26" i="17" s="1"/>
  <c r="I27" i="17"/>
  <c r="J27" i="17" s="1"/>
  <c r="K27" i="17" s="1"/>
  <c r="I28" i="17"/>
  <c r="J28" i="17" s="1"/>
  <c r="K28" i="17" s="1"/>
  <c r="I29" i="17"/>
  <c r="J29" i="17" s="1"/>
  <c r="K29" i="17" s="1"/>
  <c r="I30" i="17"/>
  <c r="J30" i="17" s="1"/>
  <c r="K30" i="17" s="1"/>
  <c r="I31" i="17"/>
  <c r="J31" i="17" s="1"/>
  <c r="K31" i="17" s="1"/>
  <c r="I32" i="17"/>
  <c r="J32" i="17" s="1"/>
  <c r="K32" i="17" s="1"/>
  <c r="I33" i="17"/>
  <c r="J33" i="17" s="1"/>
  <c r="K33" i="17" s="1"/>
  <c r="I34" i="17"/>
  <c r="J34" i="17" s="1"/>
  <c r="K34" i="17" s="1"/>
  <c r="I35" i="17"/>
  <c r="J35" i="17" s="1"/>
  <c r="K35" i="17" s="1"/>
  <c r="I37" i="17"/>
  <c r="J37" i="17" s="1"/>
  <c r="K37" i="17" s="1"/>
  <c r="I38" i="17"/>
  <c r="J38" i="17" s="1"/>
  <c r="K38" i="17" s="1"/>
  <c r="I39" i="17"/>
  <c r="J39" i="17" s="1"/>
  <c r="K39" i="17" s="1"/>
  <c r="I40" i="17"/>
  <c r="J40" i="17" s="1"/>
  <c r="K40" i="17" s="1"/>
  <c r="I41" i="17"/>
  <c r="J41" i="17" s="1"/>
  <c r="K41" i="17" s="1"/>
  <c r="H44" i="17"/>
  <c r="I47" i="17"/>
  <c r="J47" i="17" s="1"/>
  <c r="K47" i="17" s="1"/>
  <c r="I48" i="17"/>
  <c r="J48" i="17" s="1"/>
  <c r="K48" i="17" s="1"/>
  <c r="I49" i="17"/>
  <c r="J49" i="17" s="1"/>
  <c r="K49" i="17" s="1"/>
  <c r="I50" i="17"/>
  <c r="J50" i="17" s="1"/>
  <c r="K50" i="17" s="1"/>
  <c r="I51" i="17"/>
  <c r="J51" i="17" s="1"/>
  <c r="K51" i="17" s="1"/>
  <c r="I52" i="17"/>
  <c r="J52" i="17" s="1"/>
  <c r="K52" i="17" s="1"/>
  <c r="I53" i="17"/>
  <c r="J53" i="17" s="1"/>
  <c r="K53" i="17" s="1"/>
  <c r="I54" i="17"/>
  <c r="J54" i="17" s="1"/>
  <c r="K54" i="17" s="1"/>
  <c r="I55" i="17"/>
  <c r="J55" i="17" s="1"/>
  <c r="K55" i="17" s="1"/>
  <c r="I56" i="17"/>
  <c r="J56" i="17"/>
  <c r="K56" i="17" s="1"/>
  <c r="I57" i="17"/>
  <c r="J57" i="17" s="1"/>
  <c r="K57" i="17" s="1"/>
  <c r="I58" i="17"/>
  <c r="J58" i="17" s="1"/>
  <c r="K58" i="17" s="1"/>
  <c r="I59" i="17"/>
  <c r="J59" i="17" s="1"/>
  <c r="K59" i="17" s="1"/>
  <c r="I60" i="17"/>
  <c r="J60" i="17" s="1"/>
  <c r="K60" i="17" s="1"/>
  <c r="I61" i="17"/>
  <c r="J61" i="17" s="1"/>
  <c r="K61" i="17" s="1"/>
  <c r="I66" i="17"/>
  <c r="J66" i="17" s="1"/>
  <c r="K66" i="17" s="1"/>
  <c r="I67" i="17"/>
  <c r="J67" i="17" s="1"/>
  <c r="I68" i="17"/>
  <c r="K68" i="17"/>
  <c r="I69" i="17"/>
  <c r="J69" i="17" s="1"/>
  <c r="K69" i="17" s="1"/>
  <c r="I70" i="17"/>
  <c r="J70" i="17" s="1"/>
  <c r="K70" i="17" s="1"/>
  <c r="I72" i="17" l="1"/>
  <c r="I44" i="17"/>
  <c r="I63" i="17"/>
  <c r="J63" i="17"/>
  <c r="K63" i="17"/>
  <c r="K67" i="17"/>
  <c r="K72" i="17" s="1"/>
  <c r="J72" i="17"/>
  <c r="J44" i="17"/>
  <c r="K6" i="17"/>
  <c r="K44" i="17" s="1"/>
  <c r="L40" i="20"/>
  <c r="L16" i="20"/>
  <c r="L41" i="20"/>
  <c r="L33" i="20"/>
  <c r="L32" i="20"/>
  <c r="L24" i="20"/>
  <c r="L19" i="20"/>
  <c r="L18" i="20"/>
  <c r="I75" i="17" l="1"/>
  <c r="J75" i="17"/>
  <c r="K75" i="17"/>
  <c r="L15" i="20"/>
  <c r="N15" i="20" s="1"/>
  <c r="P15" i="20" s="1"/>
  <c r="R15" i="20" s="1"/>
  <c r="L10" i="20"/>
  <c r="L6" i="20"/>
  <c r="P68" i="21"/>
  <c r="R68" i="21" s="1"/>
  <c r="P67" i="21"/>
  <c r="R67" i="21" s="1"/>
  <c r="Q62" i="21"/>
  <c r="S62" i="21" s="1"/>
  <c r="P62" i="21"/>
  <c r="R62" i="21" s="1"/>
  <c r="P60" i="21"/>
  <c r="R60" i="21" s="1"/>
  <c r="P58" i="21"/>
  <c r="R58" i="21" s="1"/>
  <c r="P56" i="21"/>
  <c r="R56" i="21" s="1"/>
  <c r="P53" i="21"/>
  <c r="R53" i="21" s="1"/>
  <c r="P52" i="21"/>
  <c r="R52" i="21" s="1"/>
  <c r="P49" i="21"/>
  <c r="R49" i="21" s="1"/>
  <c r="P46" i="21"/>
  <c r="R46" i="21" s="1"/>
  <c r="P44" i="21"/>
  <c r="R44" i="21" s="1"/>
  <c r="P43" i="21"/>
  <c r="R43" i="21" s="1"/>
  <c r="P41" i="21"/>
  <c r="R41" i="21" s="1"/>
  <c r="P7" i="21"/>
  <c r="R7" i="21" s="1"/>
  <c r="P8" i="21"/>
  <c r="R8" i="21" s="1"/>
  <c r="P9" i="21"/>
  <c r="R9" i="21" s="1"/>
  <c r="P10" i="21"/>
  <c r="R10" i="21" s="1"/>
  <c r="P12" i="21"/>
  <c r="R12" i="21" s="1"/>
  <c r="P13" i="21"/>
  <c r="R13" i="21" s="1"/>
  <c r="P14" i="21"/>
  <c r="R14" i="21" s="1"/>
  <c r="P15" i="21"/>
  <c r="R15" i="21" s="1"/>
  <c r="P16" i="21"/>
  <c r="R16" i="21" s="1"/>
  <c r="P18" i="21"/>
  <c r="R18" i="21" s="1"/>
  <c r="P20" i="21"/>
  <c r="R20" i="21" s="1"/>
  <c r="P21" i="21"/>
  <c r="R21" i="21" s="1"/>
  <c r="P22" i="21"/>
  <c r="R22" i="21" s="1"/>
  <c r="P23" i="21"/>
  <c r="R23" i="21" s="1"/>
  <c r="P24" i="21"/>
  <c r="R24" i="21" s="1"/>
  <c r="P25" i="21"/>
  <c r="R25" i="21" s="1"/>
  <c r="P26" i="21"/>
  <c r="R26" i="21" s="1"/>
  <c r="P28" i="21"/>
  <c r="R28" i="21" s="1"/>
  <c r="P30" i="21"/>
  <c r="R30" i="21" s="1"/>
  <c r="P31" i="21"/>
  <c r="R31" i="21" s="1"/>
  <c r="P32" i="21"/>
  <c r="R32" i="21" s="1"/>
  <c r="P33" i="21"/>
  <c r="R33" i="21" s="1"/>
  <c r="P34" i="21"/>
  <c r="R34" i="21" s="1"/>
  <c r="P35" i="21"/>
  <c r="R35" i="21" s="1"/>
  <c r="P36" i="21"/>
  <c r="R36" i="21" s="1"/>
  <c r="P6" i="21"/>
  <c r="R6" i="21" s="1"/>
  <c r="R70" i="21" l="1"/>
  <c r="P70" i="21"/>
  <c r="O50" i="21"/>
  <c r="Q50" i="21" s="1"/>
  <c r="S50" i="21" s="1"/>
  <c r="K50" i="21"/>
  <c r="L50" i="21" s="1"/>
  <c r="O55" i="21"/>
  <c r="Q55" i="21" s="1"/>
  <c r="S55" i="21" s="1"/>
  <c r="J55" i="21"/>
  <c r="K55" i="21" s="1"/>
  <c r="L55" i="21" s="1"/>
  <c r="O35" i="21"/>
  <c r="Q35" i="21" s="1"/>
  <c r="S35" i="21" s="1"/>
  <c r="L35" i="21"/>
  <c r="O60" i="21"/>
  <c r="Q60" i="21" s="1"/>
  <c r="S60" i="21" s="1"/>
  <c r="J60" i="21"/>
  <c r="K60" i="21" s="1"/>
  <c r="L60" i="21" s="1"/>
  <c r="O58" i="21"/>
  <c r="Q58" i="21" s="1"/>
  <c r="S58" i="21" s="1"/>
  <c r="J58" i="21"/>
  <c r="K58" i="21" s="1"/>
  <c r="L58" i="21" s="1"/>
  <c r="O56" i="21"/>
  <c r="Q56" i="21" s="1"/>
  <c r="S56" i="21" s="1"/>
  <c r="J56" i="21"/>
  <c r="K56" i="21" s="1"/>
  <c r="L56" i="21" s="1"/>
  <c r="M34" i="21"/>
  <c r="O34" i="21" s="1"/>
  <c r="Q34" i="21" s="1"/>
  <c r="S34" i="21" s="1"/>
  <c r="J34" i="21"/>
  <c r="K34" i="21" s="1"/>
  <c r="L34" i="21" s="1"/>
  <c r="O33" i="21"/>
  <c r="Q33" i="21" s="1"/>
  <c r="S33" i="21" s="1"/>
  <c r="J33" i="21"/>
  <c r="K33" i="21" s="1"/>
  <c r="L33" i="21" s="1"/>
  <c r="O32" i="21"/>
  <c r="Q32" i="21" s="1"/>
  <c r="S32" i="21" s="1"/>
  <c r="J32" i="21"/>
  <c r="K32" i="21" s="1"/>
  <c r="L32" i="21" s="1"/>
  <c r="O31" i="21"/>
  <c r="Q31" i="21" s="1"/>
  <c r="S31" i="21" s="1"/>
  <c r="J31" i="21"/>
  <c r="K31" i="21" s="1"/>
  <c r="L31" i="21" s="1"/>
  <c r="O30" i="21" l="1"/>
  <c r="Q30" i="21" s="1"/>
  <c r="S30" i="21" s="1"/>
  <c r="J30" i="21"/>
  <c r="K30" i="21" s="1"/>
  <c r="L30" i="21" s="1"/>
  <c r="O28" i="21"/>
  <c r="Q28" i="21" s="1"/>
  <c r="S28" i="21" s="1"/>
  <c r="J28" i="21"/>
  <c r="K28" i="21" s="1"/>
  <c r="L28" i="21" s="1"/>
  <c r="O26" i="21"/>
  <c r="Q26" i="21" s="1"/>
  <c r="S26" i="21" s="1"/>
  <c r="J26" i="21"/>
  <c r="K26" i="21" s="1"/>
  <c r="L26" i="21" s="1"/>
  <c r="O25" i="21"/>
  <c r="Q25" i="21" s="1"/>
  <c r="S25" i="21" s="1"/>
  <c r="J25" i="21"/>
  <c r="K25" i="21" s="1"/>
  <c r="L25" i="21" s="1"/>
  <c r="O24" i="21"/>
  <c r="Q24" i="21" s="1"/>
  <c r="S24" i="21" s="1"/>
  <c r="J24" i="21"/>
  <c r="K24" i="21" s="1"/>
  <c r="L24" i="21" s="1"/>
  <c r="O23" i="21"/>
  <c r="Q23" i="21" s="1"/>
  <c r="S23" i="21" s="1"/>
  <c r="J23" i="21"/>
  <c r="K23" i="21" s="1"/>
  <c r="L23" i="21" s="1"/>
  <c r="O22" i="21"/>
  <c r="Q22" i="21" s="1"/>
  <c r="S22" i="21" s="1"/>
  <c r="J22" i="21"/>
  <c r="K22" i="21" s="1"/>
  <c r="L22" i="21" s="1"/>
  <c r="O53" i="21"/>
  <c r="Q53" i="21" s="1"/>
  <c r="S53" i="21" s="1"/>
  <c r="J53" i="21"/>
  <c r="K53" i="21" s="1"/>
  <c r="L53" i="21" s="1"/>
  <c r="O20" i="21"/>
  <c r="Q20" i="21" s="1"/>
  <c r="S20" i="21" s="1"/>
  <c r="J20" i="21"/>
  <c r="K20" i="21" s="1"/>
  <c r="L20" i="21" s="1"/>
  <c r="O49" i="21"/>
  <c r="Q49" i="21" s="1"/>
  <c r="S49" i="21" s="1"/>
  <c r="J49" i="21"/>
  <c r="K49" i="21" s="1"/>
  <c r="L49" i="21" s="1"/>
  <c r="O18" i="21"/>
  <c r="Q18" i="21" s="1"/>
  <c r="S18" i="21" s="1"/>
  <c r="J18" i="21"/>
  <c r="K18" i="21" s="1"/>
  <c r="L18" i="21" s="1"/>
  <c r="O46" i="21"/>
  <c r="Q46" i="21" s="1"/>
  <c r="S46" i="21" s="1"/>
  <c r="J46" i="21"/>
  <c r="K46" i="21" s="1"/>
  <c r="L46" i="21" s="1"/>
  <c r="O44" i="21"/>
  <c r="Q44" i="21" s="1"/>
  <c r="S44" i="21" s="1"/>
  <c r="J44" i="21"/>
  <c r="K44" i="21" s="1"/>
  <c r="L44" i="21" s="1"/>
  <c r="O16" i="21"/>
  <c r="Q16" i="21" s="1"/>
  <c r="S16" i="21" s="1"/>
  <c r="J16" i="21"/>
  <c r="K16" i="21" s="1"/>
  <c r="L16" i="21" s="1"/>
  <c r="O15" i="21"/>
  <c r="Q15" i="21" s="1"/>
  <c r="S15" i="21" s="1"/>
  <c r="J15" i="21"/>
  <c r="K15" i="21" s="1"/>
  <c r="L15" i="21" s="1"/>
  <c r="O43" i="21"/>
  <c r="Q43" i="21" s="1"/>
  <c r="S43" i="21" s="1"/>
  <c r="J43" i="21"/>
  <c r="K43" i="21" s="1"/>
  <c r="L43" i="21" s="1"/>
  <c r="O14" i="21"/>
  <c r="Q14" i="21" s="1"/>
  <c r="S14" i="21" s="1"/>
  <c r="J14" i="21"/>
  <c r="K14" i="21" s="1"/>
  <c r="L14" i="21" s="1"/>
  <c r="O9" i="21"/>
  <c r="Q9" i="21" s="1"/>
  <c r="S9" i="21" s="1"/>
  <c r="J9" i="21"/>
  <c r="K9" i="21" s="1"/>
  <c r="L9" i="21" s="1"/>
  <c r="O13" i="21"/>
  <c r="Q13" i="21" s="1"/>
  <c r="S13" i="21" s="1"/>
  <c r="J13" i="21"/>
  <c r="K13" i="21" s="1"/>
  <c r="L13" i="21" s="1"/>
  <c r="O12" i="21"/>
  <c r="Q12" i="21" s="1"/>
  <c r="S12" i="21" s="1"/>
  <c r="J12" i="21"/>
  <c r="K12" i="21" s="1"/>
  <c r="L12" i="21" s="1"/>
  <c r="O10" i="21"/>
  <c r="Q10" i="21" s="1"/>
  <c r="S10" i="21" s="1"/>
  <c r="J10" i="21"/>
  <c r="K10" i="21" s="1"/>
  <c r="L10" i="21" s="1"/>
  <c r="O41" i="21"/>
  <c r="Q41" i="21" s="1"/>
  <c r="S41" i="21" s="1"/>
  <c r="J41" i="21"/>
  <c r="K41" i="21" s="1"/>
  <c r="L41" i="21" s="1"/>
  <c r="O8" i="21"/>
  <c r="Q8" i="21" s="1"/>
  <c r="S8" i="21" s="1"/>
  <c r="J8" i="21"/>
  <c r="K8" i="21" s="1"/>
  <c r="L8" i="21" s="1"/>
  <c r="O7" i="21"/>
  <c r="Q7" i="21" s="1"/>
  <c r="S7" i="21" s="1"/>
  <c r="J7" i="21"/>
  <c r="K7" i="21" s="1"/>
  <c r="L7" i="21" s="1"/>
  <c r="O6" i="21"/>
  <c r="Q6" i="21" s="1"/>
  <c r="S6" i="21" s="1"/>
  <c r="J6" i="21"/>
  <c r="K6" i="21" s="1"/>
  <c r="L6" i="21" s="1"/>
  <c r="O68" i="21"/>
  <c r="Q68" i="21" s="1"/>
  <c r="S68" i="21" s="1"/>
  <c r="L68" i="21"/>
  <c r="O67" i="21"/>
  <c r="Q67" i="21" s="1"/>
  <c r="S67" i="21" s="1"/>
  <c r="L67" i="21"/>
  <c r="O33" i="20"/>
  <c r="Q33" i="20" s="1"/>
  <c r="S33" i="20" s="1"/>
  <c r="O10" i="20"/>
  <c r="Q10" i="20" s="1"/>
  <c r="S10" i="20" s="1"/>
  <c r="O15" i="20"/>
  <c r="Q15" i="20" s="1"/>
  <c r="S15" i="20" s="1"/>
  <c r="T15" i="20" s="1"/>
  <c r="L35" i="20"/>
  <c r="N35" i="20" s="1"/>
  <c r="P35" i="20" s="1"/>
  <c r="R35" i="20" s="1"/>
  <c r="K35" i="20"/>
  <c r="M35" i="20" s="1"/>
  <c r="O35" i="20" s="1"/>
  <c r="Q35" i="20" s="1"/>
  <c r="S35" i="20" s="1"/>
  <c r="I35" i="20"/>
  <c r="M11" i="20"/>
  <c r="O11" i="20" s="1"/>
  <c r="Q11" i="20" s="1"/>
  <c r="S11" i="20" s="1"/>
  <c r="L11" i="20"/>
  <c r="N11" i="20" s="1"/>
  <c r="P11" i="20" s="1"/>
  <c r="R11" i="20" s="1"/>
  <c r="T11" i="20" s="1"/>
  <c r="I11" i="20"/>
  <c r="M23" i="20"/>
  <c r="O23" i="20" s="1"/>
  <c r="Q23" i="20" s="1"/>
  <c r="S23" i="20" s="1"/>
  <c r="L23" i="20"/>
  <c r="N23" i="20" s="1"/>
  <c r="P23" i="20" s="1"/>
  <c r="R23" i="20" s="1"/>
  <c r="T23" i="20" s="1"/>
  <c r="I23" i="20"/>
  <c r="L21" i="20"/>
  <c r="N21" i="20" s="1"/>
  <c r="P21" i="20" s="1"/>
  <c r="R21" i="20" s="1"/>
  <c r="K21" i="20"/>
  <c r="M21" i="20" s="1"/>
  <c r="O21" i="20" s="1"/>
  <c r="Q21" i="20" s="1"/>
  <c r="S21" i="20" s="1"/>
  <c r="I21" i="20"/>
  <c r="M17" i="20"/>
  <c r="O17" i="20" s="1"/>
  <c r="Q17" i="20" s="1"/>
  <c r="S17" i="20" s="1"/>
  <c r="L17" i="20"/>
  <c r="N17" i="20" s="1"/>
  <c r="P17" i="20" s="1"/>
  <c r="R17" i="20" s="1"/>
  <c r="T17" i="20" s="1"/>
  <c r="I17" i="20"/>
  <c r="M13" i="20"/>
  <c r="O13" i="20" s="1"/>
  <c r="Q13" i="20" s="1"/>
  <c r="S13" i="20" s="1"/>
  <c r="L13" i="20"/>
  <c r="N13" i="20" s="1"/>
  <c r="P13" i="20" s="1"/>
  <c r="R13" i="20" s="1"/>
  <c r="T13" i="20" s="1"/>
  <c r="I13" i="20"/>
  <c r="M12" i="20"/>
  <c r="O12" i="20" s="1"/>
  <c r="Q12" i="20" s="1"/>
  <c r="S12" i="20" s="1"/>
  <c r="L12" i="20"/>
  <c r="N12" i="20" s="1"/>
  <c r="P12" i="20" s="1"/>
  <c r="R12" i="20" s="1"/>
  <c r="T12" i="20" s="1"/>
  <c r="I12" i="20"/>
  <c r="M9" i="20"/>
  <c r="O9" i="20" s="1"/>
  <c r="Q9" i="20" s="1"/>
  <c r="S9" i="20" s="1"/>
  <c r="L9" i="20"/>
  <c r="N9" i="20" s="1"/>
  <c r="P9" i="20" s="1"/>
  <c r="R9" i="20" s="1"/>
  <c r="T9" i="20" s="1"/>
  <c r="I9" i="20"/>
  <c r="M8" i="20"/>
  <c r="O8" i="20" s="1"/>
  <c r="Q8" i="20" s="1"/>
  <c r="S8" i="20" s="1"/>
  <c r="L8" i="20"/>
  <c r="N8" i="20" s="1"/>
  <c r="P8" i="20" s="1"/>
  <c r="R8" i="20" s="1"/>
  <c r="T8" i="20" s="1"/>
  <c r="I8" i="20"/>
  <c r="M7" i="20"/>
  <c r="O7" i="20" s="1"/>
  <c r="Q7" i="20" s="1"/>
  <c r="S7" i="20" s="1"/>
  <c r="L7" i="20"/>
  <c r="N7" i="20" s="1"/>
  <c r="P7" i="20" s="1"/>
  <c r="R7" i="20" s="1"/>
  <c r="T7" i="20" s="1"/>
  <c r="I7" i="20"/>
  <c r="K15" i="20"/>
  <c r="I15" i="20"/>
  <c r="N33" i="20"/>
  <c r="P33" i="20" s="1"/>
  <c r="R33" i="20" s="1"/>
  <c r="T33" i="20" s="1"/>
  <c r="K10" i="20"/>
  <c r="I10" i="20"/>
  <c r="N10" i="20" s="1"/>
  <c r="P10" i="20" s="1"/>
  <c r="R10" i="20" s="1"/>
  <c r="T10" i="20" s="1"/>
  <c r="Q50" i="17"/>
  <c r="S50" i="17" s="1"/>
  <c r="U50" i="17" s="1"/>
  <c r="P50" i="17"/>
  <c r="R50" i="17" s="1"/>
  <c r="T50" i="17" s="1"/>
  <c r="V50" i="17" s="1"/>
  <c r="L34" i="20"/>
  <c r="N34" i="20" s="1"/>
  <c r="P34" i="20" s="1"/>
  <c r="R34" i="20" s="1"/>
  <c r="O21" i="21"/>
  <c r="Q21" i="21" s="1"/>
  <c r="S21" i="21" s="1"/>
  <c r="J21" i="21"/>
  <c r="K21" i="21" s="1"/>
  <c r="L21" i="21" s="1"/>
  <c r="M34" i="20"/>
  <c r="O34" i="20" s="1"/>
  <c r="Q34" i="20" s="1"/>
  <c r="S34" i="20" s="1"/>
  <c r="T34" i="20" l="1"/>
  <c r="T21" i="20"/>
  <c r="T35" i="20"/>
  <c r="S70" i="21"/>
  <c r="Q70" i="21"/>
  <c r="L37" i="20"/>
  <c r="O42" i="17"/>
  <c r="Q42" i="17" s="1"/>
  <c r="S42" i="17" s="1"/>
  <c r="U42" i="17" s="1"/>
  <c r="N42" i="17"/>
  <c r="P42" i="17" s="1"/>
  <c r="R42" i="17" s="1"/>
  <c r="T42" i="17" s="1"/>
  <c r="V42" i="17" s="1"/>
  <c r="O52" i="21" l="1"/>
  <c r="Q52" i="21" s="1"/>
  <c r="S52" i="21" s="1"/>
  <c r="O42" i="21"/>
  <c r="Q42" i="21" s="1"/>
  <c r="S42" i="21" s="1"/>
  <c r="O70" i="21"/>
  <c r="O29" i="21"/>
  <c r="Q29" i="21" s="1"/>
  <c r="S29" i="21" s="1"/>
  <c r="M20" i="20" l="1"/>
  <c r="O20" i="20" s="1"/>
  <c r="Q20" i="20" s="1"/>
  <c r="S20" i="20" s="1"/>
  <c r="L20" i="20"/>
  <c r="N20" i="20" s="1"/>
  <c r="P20" i="20" s="1"/>
  <c r="R20" i="20" s="1"/>
  <c r="T20" i="20" s="1"/>
  <c r="O7" i="17"/>
  <c r="Q7" i="17" s="1"/>
  <c r="S7" i="17" s="1"/>
  <c r="U7" i="17" s="1"/>
  <c r="O8" i="17"/>
  <c r="Q8" i="17" s="1"/>
  <c r="S8" i="17" s="1"/>
  <c r="U8" i="17" s="1"/>
  <c r="O11" i="17"/>
  <c r="Q11" i="17" s="1"/>
  <c r="S11" i="17" s="1"/>
  <c r="U11" i="17" s="1"/>
  <c r="O12" i="17"/>
  <c r="Q12" i="17" s="1"/>
  <c r="S12" i="17" s="1"/>
  <c r="U12" i="17" s="1"/>
  <c r="O13" i="17"/>
  <c r="Q13" i="17" s="1"/>
  <c r="S13" i="17" s="1"/>
  <c r="U13" i="17" s="1"/>
  <c r="O14" i="17"/>
  <c r="Q14" i="17" s="1"/>
  <c r="S14" i="17" s="1"/>
  <c r="U14" i="17" s="1"/>
  <c r="O16" i="17"/>
  <c r="Q16" i="17" s="1"/>
  <c r="S16" i="17" s="1"/>
  <c r="U16" i="17" s="1"/>
  <c r="O17" i="17"/>
  <c r="Q17" i="17" s="1"/>
  <c r="S17" i="17" s="1"/>
  <c r="U17" i="17" s="1"/>
  <c r="O19" i="17"/>
  <c r="Q19" i="17" s="1"/>
  <c r="S19" i="17" s="1"/>
  <c r="U19" i="17" s="1"/>
  <c r="V19" i="17" s="1"/>
  <c r="O20" i="17"/>
  <c r="Q20" i="17" s="1"/>
  <c r="S20" i="17" s="1"/>
  <c r="U20" i="17" s="1"/>
  <c r="O22" i="17"/>
  <c r="Q22" i="17" s="1"/>
  <c r="S22" i="17" s="1"/>
  <c r="U22" i="17" s="1"/>
  <c r="O25" i="17"/>
  <c r="Q25" i="17" s="1"/>
  <c r="S25" i="17" s="1"/>
  <c r="U25" i="17" s="1"/>
  <c r="O26" i="17"/>
  <c r="Q26" i="17" s="1"/>
  <c r="S26" i="17" s="1"/>
  <c r="U26" i="17" s="1"/>
  <c r="O27" i="17"/>
  <c r="Q27" i="17" s="1"/>
  <c r="S27" i="17" s="1"/>
  <c r="U27" i="17" s="1"/>
  <c r="O29" i="17"/>
  <c r="Q29" i="17" s="1"/>
  <c r="S29" i="17" s="1"/>
  <c r="U29" i="17" s="1"/>
  <c r="O30" i="17"/>
  <c r="Q30" i="17" s="1"/>
  <c r="S30" i="17" s="1"/>
  <c r="U30" i="17" s="1"/>
  <c r="O31" i="17"/>
  <c r="Q31" i="17" s="1"/>
  <c r="S31" i="17" s="1"/>
  <c r="U31" i="17" s="1"/>
  <c r="O33" i="17"/>
  <c r="Q33" i="17" s="1"/>
  <c r="S33" i="17" s="1"/>
  <c r="U33" i="17" s="1"/>
  <c r="O34" i="17"/>
  <c r="Q34" i="17" s="1"/>
  <c r="S34" i="17" s="1"/>
  <c r="U34" i="17" s="1"/>
  <c r="O35" i="17"/>
  <c r="Q35" i="17" s="1"/>
  <c r="S35" i="17" s="1"/>
  <c r="U35" i="17" s="1"/>
  <c r="O37" i="17"/>
  <c r="Q37" i="17" s="1"/>
  <c r="S37" i="17" s="1"/>
  <c r="U37" i="17" s="1"/>
  <c r="O39" i="17"/>
  <c r="Q39" i="17" s="1"/>
  <c r="S39" i="17" s="1"/>
  <c r="U39" i="17" s="1"/>
  <c r="O40" i="17"/>
  <c r="Q40" i="17" s="1"/>
  <c r="S40" i="17" s="1"/>
  <c r="U40" i="17" s="1"/>
  <c r="O41" i="17"/>
  <c r="Q41" i="17" s="1"/>
  <c r="S41" i="17" s="1"/>
  <c r="U41" i="17" s="1"/>
  <c r="L25" i="20"/>
  <c r="N25" i="20" s="1"/>
  <c r="P25" i="20" s="1"/>
  <c r="R25" i="20" s="1"/>
  <c r="M41" i="20"/>
  <c r="O41" i="20" s="1"/>
  <c r="Q41" i="20" s="1"/>
  <c r="S41" i="20" s="1"/>
  <c r="M40" i="20"/>
  <c r="O40" i="20" s="1"/>
  <c r="Q40" i="20" s="1"/>
  <c r="M16" i="20"/>
  <c r="O16" i="20" s="1"/>
  <c r="Q16" i="20" s="1"/>
  <c r="S16" i="20" s="1"/>
  <c r="M18" i="20"/>
  <c r="O18" i="20" s="1"/>
  <c r="Q18" i="20" s="1"/>
  <c r="S18" i="20" s="1"/>
  <c r="M19" i="20"/>
  <c r="O19" i="20" s="1"/>
  <c r="Q19" i="20" s="1"/>
  <c r="S19" i="20" s="1"/>
  <c r="M24" i="20"/>
  <c r="O24" i="20" s="1"/>
  <c r="Q24" i="20" s="1"/>
  <c r="S24" i="20" s="1"/>
  <c r="M25" i="20"/>
  <c r="O25" i="20" s="1"/>
  <c r="Q25" i="20" s="1"/>
  <c r="S25" i="20" s="1"/>
  <c r="M26" i="20"/>
  <c r="O26" i="20" s="1"/>
  <c r="Q26" i="20" s="1"/>
  <c r="S26" i="20" s="1"/>
  <c r="M27" i="20"/>
  <c r="O27" i="20" s="1"/>
  <c r="Q27" i="20" s="1"/>
  <c r="S27" i="20" s="1"/>
  <c r="M6" i="20"/>
  <c r="O6" i="20" s="1"/>
  <c r="Q6" i="20" s="1"/>
  <c r="S6" i="20" s="1"/>
  <c r="Q43" i="20" l="1"/>
  <c r="S40" i="20"/>
  <c r="S43" i="20" s="1"/>
  <c r="T25" i="20"/>
  <c r="O43" i="20"/>
  <c r="M43" i="20"/>
  <c r="M38" i="17" l="1"/>
  <c r="O38" i="17" s="1"/>
  <c r="Q38" i="17" s="1"/>
  <c r="S38" i="17" s="1"/>
  <c r="U38" i="17" s="1"/>
  <c r="M32" i="17"/>
  <c r="O32" i="17" s="1"/>
  <c r="Q32" i="17" s="1"/>
  <c r="S32" i="17" s="1"/>
  <c r="U32" i="17" s="1"/>
  <c r="M28" i="17"/>
  <c r="O28" i="17" s="1"/>
  <c r="Q28" i="17" s="1"/>
  <c r="S28" i="17" s="1"/>
  <c r="U28" i="17" s="1"/>
  <c r="M56" i="17"/>
  <c r="O56" i="17" s="1"/>
  <c r="Q56" i="17" s="1"/>
  <c r="S56" i="17" s="1"/>
  <c r="U56" i="17" s="1"/>
  <c r="M24" i="17"/>
  <c r="O24" i="17" s="1"/>
  <c r="Q24" i="17" s="1"/>
  <c r="S24" i="17" s="1"/>
  <c r="U24" i="17" s="1"/>
  <c r="M21" i="17"/>
  <c r="O21" i="17" s="1"/>
  <c r="Q21" i="17" s="1"/>
  <c r="S21" i="17" s="1"/>
  <c r="U21" i="17" s="1"/>
  <c r="M23" i="17"/>
  <c r="O23" i="17" s="1"/>
  <c r="Q23" i="17" s="1"/>
  <c r="S23" i="17" s="1"/>
  <c r="U23" i="17" s="1"/>
  <c r="M18" i="17"/>
  <c r="O18" i="17" s="1"/>
  <c r="Q18" i="17" s="1"/>
  <c r="S18" i="17" s="1"/>
  <c r="U18" i="17" s="1"/>
  <c r="M15" i="17"/>
  <c r="O15" i="17" s="1"/>
  <c r="Q15" i="17" s="1"/>
  <c r="S15" i="17" s="1"/>
  <c r="U15" i="17" s="1"/>
  <c r="V15" i="17" s="1"/>
  <c r="M10" i="17"/>
  <c r="O10" i="17" s="1"/>
  <c r="Q10" i="17" s="1"/>
  <c r="S10" i="17" s="1"/>
  <c r="U10" i="17" s="1"/>
  <c r="M9" i="17"/>
  <c r="O9" i="17" s="1"/>
  <c r="Q9" i="17" s="1"/>
  <c r="S9" i="17" s="1"/>
  <c r="U9" i="17" s="1"/>
  <c r="M6" i="17"/>
  <c r="O6" i="17" s="1"/>
  <c r="Q6" i="17" s="1"/>
  <c r="S6" i="17" s="1"/>
  <c r="U6" i="17" s="1"/>
  <c r="U44" i="17" s="1"/>
  <c r="M70" i="17"/>
  <c r="O70" i="17" s="1"/>
  <c r="Q70" i="17" s="1"/>
  <c r="S70" i="17" s="1"/>
  <c r="U70" i="17" s="1"/>
  <c r="M69" i="17"/>
  <c r="O69" i="17" s="1"/>
  <c r="Q69" i="17" s="1"/>
  <c r="S69" i="17" s="1"/>
  <c r="U69" i="17" s="1"/>
  <c r="M67" i="17"/>
  <c r="O67" i="17" s="1"/>
  <c r="Q67" i="17" s="1"/>
  <c r="S67" i="17" s="1"/>
  <c r="U67" i="17" s="1"/>
  <c r="V67" i="17" s="1"/>
  <c r="M66" i="17"/>
  <c r="O66" i="17" s="1"/>
  <c r="M61" i="17"/>
  <c r="O61" i="17" s="1"/>
  <c r="Q61" i="17" s="1"/>
  <c r="S61" i="17" s="1"/>
  <c r="U61" i="17" s="1"/>
  <c r="M60" i="17"/>
  <c r="O60" i="17" s="1"/>
  <c r="Q60" i="17" s="1"/>
  <c r="S60" i="17" s="1"/>
  <c r="U60" i="17" s="1"/>
  <c r="M59" i="17"/>
  <c r="O59" i="17" s="1"/>
  <c r="Q59" i="17" s="1"/>
  <c r="S59" i="17" s="1"/>
  <c r="U59" i="17" s="1"/>
  <c r="M58" i="17"/>
  <c r="O58" i="17" s="1"/>
  <c r="Q58" i="17" s="1"/>
  <c r="S58" i="17" s="1"/>
  <c r="U58" i="17" s="1"/>
  <c r="M57" i="17"/>
  <c r="O57" i="17" s="1"/>
  <c r="Q57" i="17" s="1"/>
  <c r="S57" i="17" s="1"/>
  <c r="U57" i="17" s="1"/>
  <c r="M55" i="17"/>
  <c r="O55" i="17" s="1"/>
  <c r="Q55" i="17" s="1"/>
  <c r="S55" i="17" s="1"/>
  <c r="U55" i="17" s="1"/>
  <c r="M54" i="17"/>
  <c r="O54" i="17" s="1"/>
  <c r="Q54" i="17" s="1"/>
  <c r="S54" i="17" s="1"/>
  <c r="U54" i="17" s="1"/>
  <c r="M53" i="17"/>
  <c r="O53" i="17" s="1"/>
  <c r="Q53" i="17" s="1"/>
  <c r="S53" i="17" s="1"/>
  <c r="U53" i="17" s="1"/>
  <c r="M52" i="17"/>
  <c r="O52" i="17" s="1"/>
  <c r="Q52" i="17" s="1"/>
  <c r="S52" i="17" s="1"/>
  <c r="U52" i="17" s="1"/>
  <c r="M51" i="17"/>
  <c r="O51" i="17" s="1"/>
  <c r="Q51" i="17" s="1"/>
  <c r="S51" i="17" s="1"/>
  <c r="U51" i="17" s="1"/>
  <c r="M68" i="17"/>
  <c r="O68" i="17" s="1"/>
  <c r="Q68" i="17" s="1"/>
  <c r="S68" i="17" s="1"/>
  <c r="U68" i="17" s="1"/>
  <c r="V68" i="17" s="1"/>
  <c r="M49" i="17"/>
  <c r="O49" i="17" s="1"/>
  <c r="Q49" i="17" s="1"/>
  <c r="S49" i="17" s="1"/>
  <c r="U49" i="17" s="1"/>
  <c r="M48" i="17"/>
  <c r="O48" i="17" s="1"/>
  <c r="Q48" i="17" s="1"/>
  <c r="S48" i="17" s="1"/>
  <c r="U48" i="17" s="1"/>
  <c r="M47" i="17"/>
  <c r="O47" i="17" s="1"/>
  <c r="Q47" i="17" s="1"/>
  <c r="S47" i="17" s="1"/>
  <c r="U47" i="17" s="1"/>
  <c r="U63" i="17" s="1"/>
  <c r="S63" i="17" l="1"/>
  <c r="S44" i="17"/>
  <c r="Q63" i="17"/>
  <c r="Q44" i="17"/>
  <c r="O72" i="17"/>
  <c r="Q66" i="17"/>
  <c r="O44" i="17"/>
  <c r="O63" i="17"/>
  <c r="Q72" i="17" l="1"/>
  <c r="Q75" i="17" s="1"/>
  <c r="S66" i="17"/>
  <c r="O75" i="17"/>
  <c r="V70" i="21"/>
  <c r="N70" i="21"/>
  <c r="K22" i="20"/>
  <c r="M22" i="20" s="1"/>
  <c r="O22" i="20" s="1"/>
  <c r="Q22" i="20" s="1"/>
  <c r="S22" i="20" s="1"/>
  <c r="K14" i="20"/>
  <c r="M14" i="20" s="1"/>
  <c r="O14" i="20" s="1"/>
  <c r="S72" i="17" l="1"/>
  <c r="S75" i="17" s="1"/>
  <c r="U66" i="17"/>
  <c r="U72" i="17" s="1"/>
  <c r="U75" i="17" s="1"/>
  <c r="O29" i="20"/>
  <c r="Q14" i="20"/>
  <c r="M29" i="20"/>
  <c r="K32" i="20"/>
  <c r="M32" i="20" s="1"/>
  <c r="O32" i="20" s="1"/>
  <c r="Q32" i="20" s="1"/>
  <c r="Q37" i="20" l="1"/>
  <c r="S32" i="20"/>
  <c r="S37" i="20" s="1"/>
  <c r="Q29" i="20"/>
  <c r="S14" i="20"/>
  <c r="S29" i="20" s="1"/>
  <c r="S45" i="20" s="1"/>
  <c r="Q45" i="20"/>
  <c r="O37" i="20"/>
  <c r="O45" i="20" s="1"/>
  <c r="M37" i="20"/>
  <c r="M45" i="20" s="1"/>
  <c r="M47" i="21"/>
  <c r="O47" i="21" s="1"/>
  <c r="Q47" i="21" s="1"/>
  <c r="S47" i="21" s="1"/>
  <c r="M27" i="21"/>
  <c r="O27" i="21" s="1"/>
  <c r="Q27" i="21" s="1"/>
  <c r="S27" i="21" s="1"/>
  <c r="M19" i="21"/>
  <c r="O19" i="21" s="1"/>
  <c r="Q19" i="21" s="1"/>
  <c r="S19" i="21" s="1"/>
  <c r="M17" i="21"/>
  <c r="O17" i="21" s="1"/>
  <c r="Q17" i="21" s="1"/>
  <c r="S17" i="21" s="1"/>
  <c r="M11" i="21"/>
  <c r="O11" i="21" s="1"/>
  <c r="Q11" i="21" s="1"/>
  <c r="S11" i="21" s="1"/>
  <c r="S38" i="21" s="1"/>
  <c r="M48" i="21"/>
  <c r="O48" i="21" s="1"/>
  <c r="Q48" i="21" s="1"/>
  <c r="S48" i="21" s="1"/>
  <c r="M61" i="21"/>
  <c r="O61" i="21" s="1"/>
  <c r="Q61" i="21" s="1"/>
  <c r="S61" i="21" s="1"/>
  <c r="M59" i="21"/>
  <c r="O59" i="21" s="1"/>
  <c r="Q59" i="21" s="1"/>
  <c r="S59" i="21" s="1"/>
  <c r="M57" i="21"/>
  <c r="O57" i="21" s="1"/>
  <c r="Q57" i="21" s="1"/>
  <c r="S57" i="21" s="1"/>
  <c r="M54" i="21"/>
  <c r="O54" i="21" s="1"/>
  <c r="Q54" i="21" s="1"/>
  <c r="S54" i="21" s="1"/>
  <c r="M51" i="21"/>
  <c r="O51" i="21" s="1"/>
  <c r="Q51" i="21" s="1"/>
  <c r="S51" i="21" s="1"/>
  <c r="M45" i="21"/>
  <c r="O45" i="21" s="1"/>
  <c r="Q45" i="21" s="1"/>
  <c r="S45" i="21" s="1"/>
  <c r="S64" i="21" s="1"/>
  <c r="S72" i="21" s="1"/>
  <c r="Q64" i="21" l="1"/>
  <c r="Q38" i="21"/>
  <c r="Q72" i="21" s="1"/>
  <c r="O38" i="21"/>
  <c r="O64" i="21"/>
  <c r="O72" i="21" l="1"/>
  <c r="I22" i="20" l="1"/>
  <c r="I32" i="20"/>
  <c r="I16" i="20"/>
  <c r="I41" i="20"/>
  <c r="K27" i="21"/>
  <c r="L27" i="21" s="1"/>
  <c r="K19" i="21"/>
  <c r="L19" i="21" s="1"/>
  <c r="K47" i="21"/>
  <c r="L47" i="21" s="1"/>
  <c r="K17" i="21"/>
  <c r="L17" i="21" s="1"/>
  <c r="K11" i="21"/>
  <c r="L11" i="21" s="1"/>
  <c r="K48" i="21"/>
  <c r="L48" i="21" s="1"/>
  <c r="K61" i="21"/>
  <c r="L61" i="21" s="1"/>
  <c r="K59" i="21"/>
  <c r="L59" i="21" s="1"/>
  <c r="K57" i="21"/>
  <c r="L57" i="21" s="1"/>
  <c r="K54" i="21"/>
  <c r="L54" i="21" s="1"/>
  <c r="K45" i="21"/>
  <c r="L45" i="21" s="1"/>
  <c r="K51" i="21"/>
  <c r="L51" i="21" s="1"/>
  <c r="K42" i="21"/>
  <c r="L42" i="21" s="1"/>
  <c r="P48" i="17"/>
  <c r="R48" i="17" s="1"/>
  <c r="T48" i="17" s="1"/>
  <c r="V48" i="17" s="1"/>
  <c r="N27" i="21" l="1"/>
  <c r="P27" i="21" s="1"/>
  <c r="R27" i="21" s="1"/>
  <c r="N42" i="21"/>
  <c r="P42" i="21" s="1"/>
  <c r="R42" i="21" s="1"/>
  <c r="N45" i="21"/>
  <c r="P45" i="21" s="1"/>
  <c r="R45" i="21" s="1"/>
  <c r="N19" i="21"/>
  <c r="P19" i="21" s="1"/>
  <c r="R19" i="21" s="1"/>
  <c r="N57" i="21"/>
  <c r="P57" i="21" s="1"/>
  <c r="R57" i="21" s="1"/>
  <c r="N11" i="21"/>
  <c r="P11" i="21" s="1"/>
  <c r="R11" i="21" s="1"/>
  <c r="N51" i="21"/>
  <c r="P51" i="21" s="1"/>
  <c r="R51" i="21" s="1"/>
  <c r="N59" i="21"/>
  <c r="P59" i="21" s="1"/>
  <c r="R59" i="21" s="1"/>
  <c r="N17" i="21"/>
  <c r="P17" i="21" s="1"/>
  <c r="R17" i="21" s="1"/>
  <c r="N54" i="21"/>
  <c r="P54" i="21" s="1"/>
  <c r="R54" i="21" s="1"/>
  <c r="N61" i="21"/>
  <c r="P61" i="21" s="1"/>
  <c r="R61" i="21" s="1"/>
  <c r="N48" i="21"/>
  <c r="P48" i="21" s="1"/>
  <c r="R48" i="21" s="1"/>
  <c r="N47" i="21"/>
  <c r="P47" i="21" s="1"/>
  <c r="R47" i="21" s="1"/>
  <c r="N41" i="20"/>
  <c r="P41" i="20" s="1"/>
  <c r="R41" i="20" s="1"/>
  <c r="T41" i="20" s="1"/>
  <c r="N32" i="20"/>
  <c r="P32" i="20" s="1"/>
  <c r="R32" i="20" s="1"/>
  <c r="N16" i="20"/>
  <c r="P16" i="20" s="1"/>
  <c r="R16" i="20" s="1"/>
  <c r="T16" i="20" s="1"/>
  <c r="J22" i="20"/>
  <c r="L22" i="20" s="1"/>
  <c r="N22" i="20" s="1"/>
  <c r="P22" i="20" s="1"/>
  <c r="R22" i="20" s="1"/>
  <c r="T22" i="20" s="1"/>
  <c r="I14" i="20"/>
  <c r="T32" i="20" l="1"/>
  <c r="R37" i="20"/>
  <c r="V64" i="21"/>
  <c r="R64" i="21"/>
  <c r="P37" i="20"/>
  <c r="P64" i="21"/>
  <c r="T37" i="20"/>
  <c r="N37" i="20"/>
  <c r="J14" i="20"/>
  <c r="N14" i="20" s="1"/>
  <c r="P14" i="20" s="1"/>
  <c r="R14" i="20" s="1"/>
  <c r="T14" i="20" s="1"/>
  <c r="P20" i="17"/>
  <c r="R20" i="17" s="1"/>
  <c r="T20" i="17" s="1"/>
  <c r="V20" i="17" s="1"/>
  <c r="J29" i="21"/>
  <c r="K29" i="21" s="1"/>
  <c r="L29" i="21" s="1"/>
  <c r="N29" i="21" l="1"/>
  <c r="P29" i="21" s="1"/>
  <c r="R29" i="21" s="1"/>
  <c r="P41" i="17"/>
  <c r="R41" i="17" s="1"/>
  <c r="T41" i="17" s="1"/>
  <c r="V41" i="17" s="1"/>
  <c r="R38" i="21" l="1"/>
  <c r="R72" i="21" s="1"/>
  <c r="P38" i="21"/>
  <c r="P72" i="21" s="1"/>
  <c r="P11" i="17"/>
  <c r="R11" i="17" s="1"/>
  <c r="T11" i="17" s="1"/>
  <c r="V11" i="17" s="1"/>
  <c r="N56" i="17" l="1"/>
  <c r="P56" i="17" l="1"/>
  <c r="R56" i="17" s="1"/>
  <c r="T56" i="17" s="1"/>
  <c r="V56" i="17" s="1"/>
  <c r="N63" i="17"/>
  <c r="M63" i="17"/>
  <c r="I40" i="20" l="1"/>
  <c r="I6" i="20"/>
  <c r="N6" i="20" s="1"/>
  <c r="P6" i="20" s="1"/>
  <c r="R6" i="20" s="1"/>
  <c r="P66" i="17"/>
  <c r="R66" i="17" s="1"/>
  <c r="T66" i="17" s="1"/>
  <c r="P49" i="17"/>
  <c r="R49" i="17" s="1"/>
  <c r="T49" i="17" s="1"/>
  <c r="V49" i="17" s="1"/>
  <c r="P51" i="17"/>
  <c r="R51" i="17" s="1"/>
  <c r="T51" i="17" s="1"/>
  <c r="V51" i="17" s="1"/>
  <c r="P52" i="17"/>
  <c r="R52" i="17" s="1"/>
  <c r="T52" i="17" s="1"/>
  <c r="V52" i="17" s="1"/>
  <c r="P53" i="17"/>
  <c r="R53" i="17" s="1"/>
  <c r="T53" i="17" s="1"/>
  <c r="V53" i="17" s="1"/>
  <c r="P54" i="17"/>
  <c r="R54" i="17" s="1"/>
  <c r="T54" i="17" s="1"/>
  <c r="V54" i="17" s="1"/>
  <c r="P55" i="17"/>
  <c r="R55" i="17" s="1"/>
  <c r="T55" i="17" s="1"/>
  <c r="V55" i="17" s="1"/>
  <c r="P57" i="17"/>
  <c r="R57" i="17" s="1"/>
  <c r="T57" i="17" s="1"/>
  <c r="V57" i="17" s="1"/>
  <c r="P58" i="17"/>
  <c r="R58" i="17" s="1"/>
  <c r="T58" i="17" s="1"/>
  <c r="V58" i="17" s="1"/>
  <c r="P59" i="17"/>
  <c r="R59" i="17" s="1"/>
  <c r="T59" i="17" s="1"/>
  <c r="V59" i="17" s="1"/>
  <c r="P60" i="17"/>
  <c r="R60" i="17" s="1"/>
  <c r="T60" i="17" s="1"/>
  <c r="V60" i="17" s="1"/>
  <c r="P61" i="17"/>
  <c r="R61" i="17" s="1"/>
  <c r="T61" i="17" s="1"/>
  <c r="V61" i="17" s="1"/>
  <c r="P47" i="17"/>
  <c r="R47" i="17" s="1"/>
  <c r="T47" i="17" s="1"/>
  <c r="P40" i="17"/>
  <c r="R40" i="17" s="1"/>
  <c r="T40" i="17" s="1"/>
  <c r="V40" i="17" s="1"/>
  <c r="P39" i="17"/>
  <c r="R39" i="17" s="1"/>
  <c r="T39" i="17" s="1"/>
  <c r="V39" i="17" s="1"/>
  <c r="P38" i="17"/>
  <c r="R38" i="17" s="1"/>
  <c r="T38" i="17" s="1"/>
  <c r="V38" i="17" s="1"/>
  <c r="P37" i="17"/>
  <c r="R37" i="17" s="1"/>
  <c r="T37" i="17" s="1"/>
  <c r="V37" i="17" s="1"/>
  <c r="P35" i="17"/>
  <c r="R35" i="17" s="1"/>
  <c r="T35" i="17" s="1"/>
  <c r="V35" i="17" s="1"/>
  <c r="P34" i="17"/>
  <c r="R34" i="17" s="1"/>
  <c r="T34" i="17" s="1"/>
  <c r="V34" i="17" s="1"/>
  <c r="P33" i="17"/>
  <c r="R33" i="17" s="1"/>
  <c r="T33" i="17" s="1"/>
  <c r="V33" i="17" s="1"/>
  <c r="P32" i="17"/>
  <c r="R32" i="17" s="1"/>
  <c r="T32" i="17" s="1"/>
  <c r="V32" i="17" s="1"/>
  <c r="P31" i="17"/>
  <c r="R31" i="17" s="1"/>
  <c r="T31" i="17" s="1"/>
  <c r="V31" i="17" s="1"/>
  <c r="P30" i="17"/>
  <c r="R30" i="17" s="1"/>
  <c r="T30" i="17" s="1"/>
  <c r="V30" i="17" s="1"/>
  <c r="P29" i="17"/>
  <c r="R29" i="17" s="1"/>
  <c r="T29" i="17" s="1"/>
  <c r="V29" i="17" s="1"/>
  <c r="P28" i="17"/>
  <c r="R28" i="17" s="1"/>
  <c r="T28" i="17" s="1"/>
  <c r="V28" i="17" s="1"/>
  <c r="P27" i="17"/>
  <c r="R27" i="17" s="1"/>
  <c r="T27" i="17" s="1"/>
  <c r="V27" i="17" s="1"/>
  <c r="P25" i="17"/>
  <c r="R25" i="17" s="1"/>
  <c r="T25" i="17" s="1"/>
  <c r="V25" i="17" s="1"/>
  <c r="P24" i="17"/>
  <c r="R24" i="17" s="1"/>
  <c r="T24" i="17" s="1"/>
  <c r="V24" i="17" s="1"/>
  <c r="P23" i="17"/>
  <c r="R23" i="17" s="1"/>
  <c r="T23" i="17" s="1"/>
  <c r="V23" i="17" s="1"/>
  <c r="P22" i="17"/>
  <c r="R22" i="17" s="1"/>
  <c r="T22" i="17" s="1"/>
  <c r="V22" i="17" s="1"/>
  <c r="P21" i="17"/>
  <c r="R21" i="17" s="1"/>
  <c r="T21" i="17" s="1"/>
  <c r="V21" i="17" s="1"/>
  <c r="P18" i="17"/>
  <c r="R18" i="17" s="1"/>
  <c r="T18" i="17" s="1"/>
  <c r="V18" i="17" s="1"/>
  <c r="P17" i="17"/>
  <c r="R17" i="17" s="1"/>
  <c r="T17" i="17" s="1"/>
  <c r="V17" i="17" s="1"/>
  <c r="P7" i="17"/>
  <c r="R7" i="17" s="1"/>
  <c r="T7" i="17" s="1"/>
  <c r="V7" i="17" s="1"/>
  <c r="P8" i="17"/>
  <c r="R8" i="17" s="1"/>
  <c r="T8" i="17" s="1"/>
  <c r="V8" i="17" s="1"/>
  <c r="P9" i="17"/>
  <c r="R9" i="17" s="1"/>
  <c r="T9" i="17" s="1"/>
  <c r="V9" i="17" s="1"/>
  <c r="P12" i="17"/>
  <c r="R12" i="17" s="1"/>
  <c r="T12" i="17" s="1"/>
  <c r="V12" i="17" s="1"/>
  <c r="P13" i="17"/>
  <c r="R13" i="17" s="1"/>
  <c r="T13" i="17" s="1"/>
  <c r="V13" i="17" s="1"/>
  <c r="P14" i="17"/>
  <c r="R14" i="17" s="1"/>
  <c r="T14" i="17" s="1"/>
  <c r="V14" i="17" s="1"/>
  <c r="P16" i="17"/>
  <c r="R16" i="17" s="1"/>
  <c r="T16" i="17" s="1"/>
  <c r="V16" i="17" s="1"/>
  <c r="N6" i="17"/>
  <c r="P6" i="17" s="1"/>
  <c r="R6" i="17" s="1"/>
  <c r="T6" i="17" s="1"/>
  <c r="V6" i="17" l="1"/>
  <c r="T63" i="17"/>
  <c r="V47" i="17"/>
  <c r="V66" i="17"/>
  <c r="T6" i="20"/>
  <c r="R63" i="17"/>
  <c r="V63" i="17"/>
  <c r="P63" i="17"/>
  <c r="N40" i="20"/>
  <c r="P40" i="20" s="1"/>
  <c r="R40" i="20" s="1"/>
  <c r="N26" i="17"/>
  <c r="I26" i="20"/>
  <c r="I18" i="20"/>
  <c r="I27" i="20"/>
  <c r="I24" i="20"/>
  <c r="N24" i="20" s="1"/>
  <c r="P24" i="20" s="1"/>
  <c r="R24" i="20" s="1"/>
  <c r="I19" i="20"/>
  <c r="N19" i="20" s="1"/>
  <c r="P19" i="20" s="1"/>
  <c r="R19" i="20" s="1"/>
  <c r="I43" i="20"/>
  <c r="P69" i="17"/>
  <c r="R69" i="17" s="1"/>
  <c r="T69" i="17" s="1"/>
  <c r="P70" i="17"/>
  <c r="R70" i="17" s="1"/>
  <c r="T70" i="17" s="1"/>
  <c r="V70" i="17" s="1"/>
  <c r="V69" i="17" l="1"/>
  <c r="T72" i="17"/>
  <c r="T19" i="20"/>
  <c r="T24" i="20"/>
  <c r="T40" i="20"/>
  <c r="R43" i="20"/>
  <c r="P43" i="20"/>
  <c r="R72" i="17"/>
  <c r="P26" i="17"/>
  <c r="R26" i="17" s="1"/>
  <c r="T26" i="17" s="1"/>
  <c r="V26" i="17" s="1"/>
  <c r="P72" i="17"/>
  <c r="N43" i="20"/>
  <c r="N64" i="21"/>
  <c r="N72" i="17"/>
  <c r="L43" i="20"/>
  <c r="J43" i="20"/>
  <c r="J27" i="20"/>
  <c r="N18" i="20"/>
  <c r="P18" i="20" s="1"/>
  <c r="R18" i="20" s="1"/>
  <c r="N26" i="20"/>
  <c r="P26" i="20" s="1"/>
  <c r="R26" i="20" s="1"/>
  <c r="T26" i="20" s="1"/>
  <c r="I29" i="20"/>
  <c r="M44" i="17"/>
  <c r="T18" i="20" l="1"/>
  <c r="N27" i="20"/>
  <c r="P27" i="20" s="1"/>
  <c r="R27" i="20" s="1"/>
  <c r="I37" i="20"/>
  <c r="I45" i="20" s="1"/>
  <c r="L29" i="20"/>
  <c r="J29" i="20"/>
  <c r="N10" i="17"/>
  <c r="K43" i="20"/>
  <c r="T27" i="20" l="1"/>
  <c r="R29" i="20"/>
  <c r="R45" i="20" s="1"/>
  <c r="P29" i="20"/>
  <c r="P45" i="20" s="1"/>
  <c r="N29" i="20"/>
  <c r="N45" i="20" s="1"/>
  <c r="N44" i="17"/>
  <c r="N75" i="17" s="1"/>
  <c r="P10" i="17"/>
  <c r="R10" i="17" s="1"/>
  <c r="T10" i="17" s="1"/>
  <c r="J37" i="20"/>
  <c r="J45" i="20" s="1"/>
  <c r="L45" i="20"/>
  <c r="M72" i="21"/>
  <c r="K29" i="20"/>
  <c r="V10" i="17" l="1"/>
  <c r="V44" i="17" s="1"/>
  <c r="T44" i="17"/>
  <c r="T75" i="17" s="1"/>
  <c r="R44" i="17"/>
  <c r="R75" i="17" s="1"/>
  <c r="P44" i="17"/>
  <c r="P75" i="17" s="1"/>
  <c r="K37" i="20"/>
  <c r="K45" i="20" s="1"/>
  <c r="L72" i="21"/>
  <c r="K72" i="21"/>
  <c r="J72" i="21"/>
  <c r="N38" i="21" l="1"/>
  <c r="N72" i="21" l="1"/>
  <c r="V38" i="21"/>
  <c r="V72" i="21" s="1"/>
  <c r="M72" i="17"/>
  <c r="M75" i="17" s="1"/>
  <c r="T43" i="20" l="1"/>
  <c r="T29" i="20" l="1"/>
  <c r="T45" i="20" l="1"/>
  <c r="V72" i="17"/>
  <c r="V75" i="17" s="1"/>
  <c r="Y84" i="21" l="1"/>
  <c r="Z84" i="21" s="1"/>
  <c r="Y42" i="21"/>
  <c r="Y43" i="21"/>
  <c r="Y44" i="21"/>
  <c r="Y45" i="21"/>
  <c r="Y46" i="21"/>
  <c r="Y47" i="21"/>
  <c r="Y48" i="21"/>
  <c r="Y49" i="21"/>
  <c r="Y50" i="21"/>
  <c r="Y51" i="21"/>
  <c r="Y52" i="21"/>
  <c r="Y53" i="21"/>
  <c r="Y54" i="21"/>
  <c r="Y55" i="21"/>
  <c r="Y56" i="21"/>
  <c r="Y57" i="21"/>
  <c r="Y58" i="21"/>
  <c r="Y59" i="21"/>
  <c r="Y60" i="21"/>
  <c r="Y61" i="21"/>
  <c r="Y62" i="21"/>
  <c r="Y7" i="21"/>
  <c r="Y8" i="21"/>
  <c r="Y9" i="21"/>
  <c r="Y10" i="21"/>
  <c r="Y11" i="21"/>
  <c r="Y12" i="21"/>
  <c r="Y13" i="21"/>
  <c r="Y14" i="21"/>
  <c r="Y15" i="21"/>
  <c r="Y16" i="21"/>
  <c r="Y17" i="21"/>
  <c r="Y18" i="21"/>
  <c r="Y19" i="21"/>
  <c r="Y20" i="21"/>
  <c r="Y21" i="21"/>
  <c r="Y22" i="21"/>
  <c r="Y23" i="21"/>
  <c r="Y24" i="21"/>
  <c r="Y25" i="21"/>
  <c r="Y26" i="21"/>
  <c r="Y27" i="21"/>
  <c r="Y28" i="21"/>
  <c r="Y29" i="21"/>
  <c r="Y30" i="21"/>
  <c r="Y31" i="21"/>
  <c r="Y32" i="21"/>
  <c r="Y33" i="21"/>
  <c r="Y34" i="21"/>
  <c r="Y35" i="21"/>
  <c r="Y36" i="21"/>
  <c r="Z12" i="21"/>
  <c r="Z18" i="21"/>
  <c r="Z31" i="21"/>
  <c r="Z36" i="21"/>
  <c r="Z47" i="21"/>
  <c r="Z52" i="21"/>
  <c r="Z7" i="21"/>
  <c r="Z19" i="21"/>
  <c r="Z25" i="21"/>
  <c r="Y41" i="21"/>
  <c r="Z41" i="21" s="1"/>
  <c r="Z53" i="21"/>
  <c r="Z59" i="21"/>
  <c r="Z16" i="21"/>
  <c r="Z44" i="21"/>
  <c r="Z23" i="21"/>
  <c r="Z45" i="21"/>
  <c r="Z57" i="21"/>
  <c r="Z17" i="21"/>
  <c r="Z30" i="21"/>
  <c r="Z51" i="21"/>
  <c r="Z8" i="21"/>
  <c r="Z13" i="21"/>
  <c r="Z20" i="21"/>
  <c r="Z26" i="21"/>
  <c r="Z42" i="21"/>
  <c r="Z54" i="21"/>
  <c r="Z60" i="21"/>
  <c r="Z49" i="21"/>
  <c r="Z9" i="21"/>
  <c r="Z22" i="21"/>
  <c r="Z34" i="21"/>
  <c r="Z56" i="21"/>
  <c r="Z35" i="21"/>
  <c r="Y68" i="21"/>
  <c r="Z68" i="21" s="1"/>
  <c r="Z14" i="21"/>
  <c r="Z27" i="21"/>
  <c r="Z32" i="21"/>
  <c r="Z43" i="21"/>
  <c r="Z48" i="21"/>
  <c r="Z61" i="21"/>
  <c r="Z15" i="21"/>
  <c r="Z21" i="21"/>
  <c r="Z28" i="21"/>
  <c r="Z33" i="21"/>
  <c r="Z55" i="21"/>
  <c r="Z62" i="21"/>
  <c r="Z50" i="21"/>
  <c r="Z10" i="21"/>
  <c r="Z29" i="21"/>
  <c r="Y67" i="21"/>
  <c r="Z67" i="21" s="1"/>
  <c r="Z11" i="21"/>
  <c r="Z24" i="21"/>
  <c r="Z46" i="21"/>
  <c r="Z58" i="21"/>
  <c r="Y6" i="21"/>
  <c r="Z6" i="21" s="1"/>
  <c r="Y70" i="21" l="1"/>
  <c r="Z70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  <author>dober</author>
    <author>tc={B2A4CF54-AF07-4B7E-9FE5-C30D2C37D530}</author>
  </authors>
  <commentList>
    <comment ref="N15" authorId="0" shapeId="0" xr:uid="{888D6AF9-A111-4661-99F1-268760ED167C}">
      <text>
        <r>
          <rPr>
            <sz val="9"/>
            <color indexed="81"/>
            <rFont val="Tahoma"/>
            <family val="2"/>
          </rPr>
          <t>opnamedatum 150523</t>
        </r>
      </text>
    </comment>
    <comment ref="N19" authorId="0" shapeId="0" xr:uid="{5E047D95-0DEA-425D-8006-C1258CB48E6C}">
      <text>
        <r>
          <rPr>
            <sz val="9"/>
            <color indexed="81"/>
            <rFont val="Tahoma"/>
            <family val="2"/>
          </rPr>
          <t>opnamedatum 150523</t>
        </r>
      </text>
    </comment>
    <comment ref="M21" authorId="1" shapeId="0" xr:uid="{2AF9A8E6-4F49-4FF2-89D9-168AF85E46BE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Totaal Gemeentewerf Bussum</t>
        </r>
      </text>
    </comment>
    <comment ref="B36" authorId="2" shapeId="0" xr:uid="{B2A4CF54-AF07-4B7E-9FE5-C30D2C37D53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Parkeergarage is onderdeel van VVE en is verzekerd via VVE. De opstal moet komen te vervallen en allen de inventaris moet verzekerd blijven.</t>
      </text>
    </comment>
    <comment ref="M47" authorId="1" shapeId="0" xr:uid="{8F10491B-1378-4C5D-A372-BE11CF0C2845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Tijdelijk gehuisvestigd op Amersfoortseweg 12-A</t>
        </r>
      </text>
    </comment>
    <comment ref="N67" authorId="0" shapeId="0" xr:uid="{6529BE79-4E81-4781-A974-93265D890A2F}">
      <text>
        <r>
          <rPr>
            <sz val="9"/>
            <color indexed="81"/>
            <rFont val="Tahoma"/>
            <family val="2"/>
          </rPr>
          <t>opnamedatum 130723</t>
        </r>
      </text>
    </comment>
    <comment ref="N68" authorId="0" shapeId="0" xr:uid="{C75A4556-97E0-4BDE-B39E-62DA6F5A5223}">
      <text>
        <r>
          <rPr>
            <sz val="9"/>
            <color indexed="81"/>
            <rFont val="Tahoma"/>
            <family val="2"/>
          </rPr>
          <t>opnamedatum 130723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  <author>dober</author>
  </authors>
  <commentList>
    <comment ref="L11" authorId="0" shapeId="0" xr:uid="{B38A9C92-5DA1-4E5C-8571-E66A6A1F501E}">
      <text>
        <r>
          <rPr>
            <sz val="9"/>
            <color indexed="81"/>
            <rFont val="Tahoma"/>
            <family val="2"/>
          </rPr>
          <t>opnamedatum 130723</t>
        </r>
      </text>
    </comment>
    <comment ref="L15" authorId="0" shapeId="0" xr:uid="{C00D9EC3-C9AE-42DA-8644-90EA8261A401}">
      <text>
        <r>
          <rPr>
            <sz val="9"/>
            <color indexed="81"/>
            <rFont val="Tahoma"/>
            <family val="2"/>
          </rPr>
          <t>opnamedatum 130723</t>
        </r>
      </text>
    </comment>
    <comment ref="B33" authorId="1" shapeId="0" xr:uid="{1693F1DA-DE84-4724-9318-CE2E46B2FBC7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Pand is 19-10-2021 opgeleverd, taxatie is gedaan door Van Ameyde maar hier nooit rapport van gezien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dober</author>
    <author>Petra Cornelisse</author>
  </authors>
  <commentList>
    <comment ref="B9" authorId="0" shapeId="0" xr:uid="{B2D095E9-CB61-4974-879D-DE14C921E244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Pand is getaxeerd door Van Ameyde, maar nooit taxatierapport hiervan gezien. </t>
        </r>
      </text>
    </comment>
    <comment ref="B36" authorId="0" shapeId="0" xr:uid="{5BAE5EBE-7E87-4F52-84CE-E32B781B7F85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Pand is getaxeerd door Van Ameyde, maar nooit taxatierapport hiervan gezien. </t>
        </r>
      </text>
    </comment>
    <comment ref="B41" authorId="0" shapeId="0" xr:uid="{3641E6FD-633C-4721-92A4-8E2A540FB82E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De Tweemaster zit tijdelijk op dit adres, ook inventaris. In ieder geval heel 2023 nog</t>
        </r>
      </text>
    </comment>
    <comment ref="M42" authorId="0" shapeId="0" xr:uid="{8C589B2E-46A7-475B-A562-780C39CEE9A0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Waar komt dit bedrag vandaan? De indon school zit hier tijdelijk samen met de Juliana Daltonschool.</t>
        </r>
      </text>
    </comment>
    <comment ref="N50" authorId="1" shapeId="0" xr:uid="{D152FD6C-3E56-4ABB-B21A-07E728E8034F}">
      <text>
        <r>
          <rPr>
            <sz val="9"/>
            <color indexed="81"/>
            <rFont val="Tahoma"/>
            <family val="2"/>
          </rPr>
          <t>opnamedatum 130723</t>
        </r>
      </text>
    </comment>
    <comment ref="N55" authorId="1" shapeId="0" xr:uid="{69DF86CF-EA6E-457D-8789-B9F130C852E0}">
      <text>
        <r>
          <rPr>
            <sz val="9"/>
            <color indexed="81"/>
            <rFont val="Tahoma"/>
            <family val="2"/>
          </rPr>
          <t>opnamedatum 130723</t>
        </r>
      </text>
    </comment>
    <comment ref="B56" authorId="0" shapeId="0" xr:uid="{0A7FD9EA-6339-4773-9A60-381EB4D42EE2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De Tweemaster zit tijdelijk op Amersfoortsestraatweg 12-A, ook inventaris. In ieder geval heel 2023 nog</t>
        </r>
      </text>
    </comment>
    <comment ref="B57" authorId="0" shapeId="0" xr:uid="{C1DFA7EE-6AE4-47C4-9101-9D19A41557AD}">
      <text>
        <r>
          <rPr>
            <b/>
            <sz val="9"/>
            <color indexed="81"/>
            <rFont val="Tahoma"/>
            <family val="2"/>
          </rPr>
          <t>dober:</t>
        </r>
        <r>
          <rPr>
            <sz val="9"/>
            <color indexed="81"/>
            <rFont val="Tahoma"/>
            <family val="2"/>
          </rPr>
          <t xml:space="preserve">
De Tweemaster zit tijdelijk op Amersfoortsestraatweg 12-A, ook inventaris. In ieder geval heel 2023 nog</t>
        </r>
      </text>
    </comment>
  </commentList>
</comments>
</file>

<file path=xl/sharedStrings.xml><?xml version="1.0" encoding="utf-8"?>
<sst xmlns="http://schemas.openxmlformats.org/spreadsheetml/2006/main" count="1201" uniqueCount="628">
  <si>
    <t>Totaal</t>
  </si>
  <si>
    <t>Huizerweg</t>
  </si>
  <si>
    <t>Ceintuurbaan</t>
  </si>
  <si>
    <t xml:space="preserve">Complete pompinstallatie met  aandrijfmotor, leidingen , afsluiters,  electrische apparatuur en toebehoren in gebouwtje nabij de vijver. </t>
  </si>
  <si>
    <t>Nassaulaan</t>
  </si>
  <si>
    <t>Ong.</t>
  </si>
  <si>
    <t>Vijzelgemaal, op bovenbouw vanaf het maaiveld</t>
  </si>
  <si>
    <t>Brinklaan</t>
  </si>
  <si>
    <t>Woonhuis</t>
  </si>
  <si>
    <t>Berging &amp; Toiletruimte</t>
  </si>
  <si>
    <t>36a</t>
  </si>
  <si>
    <t>Vm. schoolgehouw</t>
  </si>
  <si>
    <t>Dagverblijf voor lichamelijk gehandicapten</t>
  </si>
  <si>
    <t>Bremstraat</t>
  </si>
  <si>
    <t>gymnastieklokaal</t>
  </si>
  <si>
    <t>Gymnastieklokaal</t>
  </si>
  <si>
    <t>Akkerlaan</t>
  </si>
  <si>
    <t>Willem Kalflaan</t>
  </si>
  <si>
    <t>Dr. Schaepmanlaan</t>
  </si>
  <si>
    <t>Kwartellaan</t>
  </si>
  <si>
    <t>2a</t>
  </si>
  <si>
    <t>Meerweg</t>
  </si>
  <si>
    <t>Sportcomplex</t>
  </si>
  <si>
    <t>Zanderijweg</t>
  </si>
  <si>
    <t>Olmenlaan/Veerstraat</t>
  </si>
  <si>
    <t>wandelpassage "De Passage"</t>
  </si>
  <si>
    <t>Totaal Gemeentelijk Bezit:</t>
  </si>
  <si>
    <t>Fortlaan</t>
  </si>
  <si>
    <t>Vondelschool</t>
  </si>
  <si>
    <t>Basisschool Juliana</t>
  </si>
  <si>
    <t>Basisschool De Hoeksteen</t>
  </si>
  <si>
    <t>Basisschool R.K. Montessori</t>
  </si>
  <si>
    <t>Meentweg</t>
  </si>
  <si>
    <t>Gooilandschool met gymnastieklok.</t>
  </si>
  <si>
    <t>Busken Huetlaan</t>
  </si>
  <si>
    <t>Bussumse Montessorischool</t>
  </si>
  <si>
    <t>Dependance Kat. Montessorieschool</t>
  </si>
  <si>
    <t>Indonschool</t>
  </si>
  <si>
    <t>Aagje Dekenlaan</t>
  </si>
  <si>
    <t>Willem de Zwijgercollege</t>
  </si>
  <si>
    <t>Beerensteinerlaan</t>
  </si>
  <si>
    <t>Graaf Florislaan</t>
  </si>
  <si>
    <t>Kon. Emmaschool (Incl. uitbr. 10e lokaal)</t>
  </si>
  <si>
    <t>Brediusweg</t>
  </si>
  <si>
    <t>Emmaschool</t>
  </si>
  <si>
    <t>Schoolgebouw Vrije School Michael</t>
  </si>
  <si>
    <t>Fontein (Schoolgebouwen)</t>
  </si>
  <si>
    <t>Totaal Primair Onderwijs</t>
  </si>
  <si>
    <t>Totaal Voortgezet Onderwijs</t>
  </si>
  <si>
    <t>Brandsma</t>
  </si>
  <si>
    <t>Nieuwe 's-Gravelandseweg</t>
  </si>
  <si>
    <t>15/15a</t>
  </si>
  <si>
    <t>Julianaschool</t>
  </si>
  <si>
    <t>Sportpark Zuid met kantine, kleedkamers</t>
  </si>
  <si>
    <t xml:space="preserve">Voormeulenweg </t>
  </si>
  <si>
    <t>5 7</t>
  </si>
  <si>
    <t>Brandweerkazerne en ambulancepost</t>
  </si>
  <si>
    <t>filmhuis/minitheater</t>
  </si>
  <si>
    <t>Gebouwen op hertenkamp</t>
  </si>
  <si>
    <t>Columbarium</t>
  </si>
  <si>
    <t>Gemeentelijk bezit:</t>
  </si>
  <si>
    <t>Primair Onderwijs:</t>
  </si>
  <si>
    <t>Voortgezet onderwijs:</t>
  </si>
  <si>
    <t>43-45</t>
  </si>
  <si>
    <t>SLOOPWAARDE</t>
  </si>
  <si>
    <t>Lange Heul</t>
  </si>
  <si>
    <t>Gymzaal Brede School</t>
  </si>
  <si>
    <t>Trafohuis</t>
  </si>
  <si>
    <t>Kleedkamers HCAW</t>
  </si>
  <si>
    <t>Brede School met gymzaal en kleedruimten en ruimten voor maatschappelijke doeleinden</t>
  </si>
  <si>
    <t>Omschrijving</t>
  </si>
  <si>
    <t>Risico-adres</t>
  </si>
  <si>
    <t>Postcode</t>
  </si>
  <si>
    <t>Verzekerde som</t>
  </si>
  <si>
    <t>gebouwen</t>
  </si>
  <si>
    <t>inventaris</t>
  </si>
  <si>
    <t>verzekerde som</t>
  </si>
  <si>
    <t>1398 XD</t>
  </si>
  <si>
    <t>Brandweergarage en arrestantenlokaal</t>
  </si>
  <si>
    <t>1399 HX</t>
  </si>
  <si>
    <t>1398 BL</t>
  </si>
  <si>
    <t>Muziektent</t>
  </si>
  <si>
    <t>1398 AN</t>
  </si>
  <si>
    <t>Bergplaats</t>
  </si>
  <si>
    <t>Woning</t>
  </si>
  <si>
    <t>1399 GN</t>
  </si>
  <si>
    <t>1398 XG</t>
  </si>
  <si>
    <t>1399 HH</t>
  </si>
  <si>
    <t>1398 XM</t>
  </si>
  <si>
    <t xml:space="preserve">categorie </t>
  </si>
  <si>
    <t>1411 RC</t>
  </si>
  <si>
    <t>Openbare Toilet</t>
  </si>
  <si>
    <t>Toilet</t>
  </si>
  <si>
    <t>Hertenkamp</t>
  </si>
  <si>
    <t>Alexanderlaan</t>
  </si>
  <si>
    <t xml:space="preserve">Godelindeschool </t>
  </si>
  <si>
    <t>1411 HC</t>
  </si>
  <si>
    <t>1411 HD</t>
  </si>
  <si>
    <t xml:space="preserve">Zwembad en Sporthal </t>
  </si>
  <si>
    <t xml:space="preserve">Sport </t>
  </si>
  <si>
    <t>Sport</t>
  </si>
  <si>
    <t>Wijkonderkomen gemeentewerken</t>
  </si>
  <si>
    <t>Amersfoortsestraatweg</t>
  </si>
  <si>
    <t>Begraafplaats</t>
  </si>
  <si>
    <t>School</t>
  </si>
  <si>
    <t>1411 HR</t>
  </si>
  <si>
    <t>Kleuterschool</t>
  </si>
  <si>
    <t xml:space="preserve">School </t>
  </si>
  <si>
    <t>1411 PL</t>
  </si>
  <si>
    <t xml:space="preserve">Toren van de Grote Kerk te Naarden </t>
  </si>
  <si>
    <t xml:space="preserve">Grote Kerk </t>
  </si>
  <si>
    <t>1411 CT</t>
  </si>
  <si>
    <t xml:space="preserve">Stads- en Streekarchief </t>
  </si>
  <si>
    <t xml:space="preserve">Kantoorpand </t>
  </si>
  <si>
    <t>1411 BZ</t>
  </si>
  <si>
    <t>Comeniussschool</t>
  </si>
  <si>
    <t>1411 BW</t>
  </si>
  <si>
    <t>Gymzaal</t>
  </si>
  <si>
    <t>1412 BW</t>
  </si>
  <si>
    <t xml:space="preserve">Sint Vitus College  </t>
  </si>
  <si>
    <t xml:space="preserve">Werf (Bedr. Verzamelgebouw/brandweer) </t>
  </si>
  <si>
    <t>Werf</t>
  </si>
  <si>
    <t>1411 AP</t>
  </si>
  <si>
    <t>Kinderdagverblijf - voormalig Meerpaalschool</t>
  </si>
  <si>
    <t>1411 TG</t>
  </si>
  <si>
    <t>1412 HD</t>
  </si>
  <si>
    <t>1412 AG</t>
  </si>
  <si>
    <t>1411 SJ</t>
  </si>
  <si>
    <t>Comeniusmuseum</t>
  </si>
  <si>
    <t>1411 RS</t>
  </si>
  <si>
    <t>Kinderboederij</t>
  </si>
  <si>
    <t xml:space="preserve">Kinderboederij </t>
  </si>
  <si>
    <t>1411 PA</t>
  </si>
  <si>
    <t>Winkel</t>
  </si>
  <si>
    <t>1411 EA</t>
  </si>
  <si>
    <t xml:space="preserve">Stadhuis </t>
  </si>
  <si>
    <t>Stadhuis</t>
  </si>
  <si>
    <t xml:space="preserve">Restaurant </t>
  </si>
  <si>
    <t>1411 SG</t>
  </si>
  <si>
    <t>Botenloods</t>
  </si>
  <si>
    <t>1411 EW</t>
  </si>
  <si>
    <t>Begraafplaats Aula en kantoor</t>
  </si>
  <si>
    <t>1411 GT</t>
  </si>
  <si>
    <t>1411 BN</t>
  </si>
  <si>
    <t>1412 CW</t>
  </si>
  <si>
    <t>1411 PD</t>
  </si>
  <si>
    <t>Naarden</t>
  </si>
  <si>
    <t>Gebouw dient tot particuliere woning</t>
  </si>
  <si>
    <t>1411 CR</t>
  </si>
  <si>
    <t>1411 RG</t>
  </si>
  <si>
    <t>1411 SE</t>
  </si>
  <si>
    <t>1411 PV</t>
  </si>
  <si>
    <t>1411 EJ</t>
  </si>
  <si>
    <t>Naarden
Naarden</t>
  </si>
  <si>
    <t>Inhoud parkeergarage</t>
  </si>
  <si>
    <t>parkeergarage Westerpark</t>
  </si>
  <si>
    <t>parkeergarage De Olmen</t>
  </si>
  <si>
    <t>Olmenlaan</t>
  </si>
  <si>
    <t>Kunstgrasvelden etc. VC Muiderberg HC MHC</t>
  </si>
  <si>
    <t>Dijkweg en Gerard Doulaan</t>
  </si>
  <si>
    <t>Muiden</t>
  </si>
  <si>
    <t>Woonplaats</t>
  </si>
  <si>
    <t>Muiderberg</t>
  </si>
  <si>
    <t>Bergplaats begraafplaats Muiderbos</t>
  </si>
  <si>
    <t>MFC de Rijver Gymnastieklokaal en nevenruimten</t>
  </si>
  <si>
    <t xml:space="preserve">Brink </t>
  </si>
  <si>
    <t xml:space="preserve">BS Minister Calsschool </t>
  </si>
  <si>
    <t xml:space="preserve">BS De Tweemaster </t>
  </si>
  <si>
    <t xml:space="preserve">BS Dependance Minister Calsschool </t>
  </si>
  <si>
    <t xml:space="preserve">BS Rehobothschool </t>
  </si>
  <si>
    <t>11-13</t>
  </si>
  <si>
    <t xml:space="preserve">Vitusschool </t>
  </si>
  <si>
    <t xml:space="preserve">Sint Vituscollege </t>
  </si>
  <si>
    <t>38-40</t>
  </si>
  <si>
    <t>Kinderdagverblijf met bijgebouw</t>
  </si>
  <si>
    <t>Woonhuis met bijgebouw</t>
  </si>
  <si>
    <t>Aula begraafplaats</t>
  </si>
  <si>
    <t>opslaggebouw begraafplaats</t>
  </si>
  <si>
    <t xml:space="preserve">Randweg </t>
  </si>
  <si>
    <t xml:space="preserve">Thierenstraat </t>
  </si>
  <si>
    <t>Parkeergarage Nieuwe Brink</t>
  </si>
  <si>
    <t>Getaxeerd</t>
  </si>
  <si>
    <t>BS St Joseph</t>
  </si>
  <si>
    <t>Bussum</t>
  </si>
  <si>
    <t>1403 HH</t>
  </si>
  <si>
    <t>1406 NR</t>
  </si>
  <si>
    <t>1405 BT</t>
  </si>
  <si>
    <t>1405 HM</t>
  </si>
  <si>
    <t>1401 AA</t>
  </si>
  <si>
    <t>1402 BD</t>
  </si>
  <si>
    <t>1404 EP</t>
  </si>
  <si>
    <t>1404 GW</t>
  </si>
  <si>
    <t>1404 EW</t>
  </si>
  <si>
    <t>1403 AA</t>
  </si>
  <si>
    <t>1402 HH</t>
  </si>
  <si>
    <t>Dr. A. Kuyperlaan</t>
  </si>
  <si>
    <t>1402 SB</t>
  </si>
  <si>
    <t>1402 BT</t>
  </si>
  <si>
    <t>1401 GH</t>
  </si>
  <si>
    <t>1403 BE</t>
  </si>
  <si>
    <t>1405 BD</t>
  </si>
  <si>
    <t>1404 CM</t>
  </si>
  <si>
    <t>1406 TD</t>
  </si>
  <si>
    <t>1406 TJ</t>
  </si>
  <si>
    <t>Nieuwe Hilversumseweg</t>
  </si>
  <si>
    <t>1404 DE</t>
  </si>
  <si>
    <t>1403 XT</t>
  </si>
  <si>
    <t>1405 HK</t>
  </si>
  <si>
    <t>Minister A.S. Talmalaan</t>
  </si>
  <si>
    <t>1402 RW</t>
  </si>
  <si>
    <t>1404 CZ</t>
  </si>
  <si>
    <t>1402 TL</t>
  </si>
  <si>
    <t>1401 CL</t>
  </si>
  <si>
    <t>1403 XV</t>
  </si>
  <si>
    <t>Albert Neuhuijslaan</t>
  </si>
  <si>
    <t>1401 BW</t>
  </si>
  <si>
    <t>1401 BC</t>
  </si>
  <si>
    <t>Esther de Boer-Van Rijklaan</t>
  </si>
  <si>
    <t>1403 GD</t>
  </si>
  <si>
    <t>1405 BM</t>
  </si>
  <si>
    <t>H. Kamerling Onnesweg</t>
  </si>
  <si>
    <t>1402 EK</t>
  </si>
  <si>
    <t>Isaäc da Costalaan</t>
  </si>
  <si>
    <t>1401 BH</t>
  </si>
  <si>
    <t>J.J.H. Verhulstlaan</t>
  </si>
  <si>
    <t>1401 CS</t>
  </si>
  <si>
    <t>1403 NH</t>
  </si>
  <si>
    <t>1405 JB</t>
  </si>
  <si>
    <t>Oud-Bussummerweg</t>
  </si>
  <si>
    <t>1401 SP</t>
  </si>
  <si>
    <t>Sint Vitusstraat</t>
  </si>
  <si>
    <t>1404 HS</t>
  </si>
  <si>
    <t>1403 PT</t>
  </si>
  <si>
    <t>1398 AM</t>
  </si>
  <si>
    <t>Gymnastieklokaal De Rijver</t>
  </si>
  <si>
    <t>indexcijfer 125,0</t>
  </si>
  <si>
    <t>#</t>
  </si>
  <si>
    <t>1411 JR</t>
  </si>
  <si>
    <t>Boogbrug in de Oud (monument)</t>
  </si>
  <si>
    <t># taxatie gebouwen conform taxatierapport Troostwijk d.d. 22-03-2019, rapportnummer 00243671001</t>
  </si>
  <si>
    <t>47K</t>
  </si>
  <si>
    <t>Kinderboerderij</t>
  </si>
  <si>
    <t>Postduivenvereniging</t>
  </si>
  <si>
    <t>*3 taxatie gebouwen conform taxatierapport van der Mark d.d. 20-03-2019, rapportnummer 41242/19 incl. funderingen</t>
  </si>
  <si>
    <t>1411 BJ</t>
  </si>
  <si>
    <t>Gymnastieklokaal Keverdijk
(Repititieruimte muziekvereniging Nardinc  met Kantine/Bar)</t>
  </si>
  <si>
    <t>Winkel (antiek/curiosa/cursus edelsmeden)</t>
  </si>
  <si>
    <t>indexcijfer 131,5</t>
  </si>
  <si>
    <t>Tijdelijke huisvesting Bussumse Montesori</t>
  </si>
  <si>
    <t>tijdelijke huisvesting Indonschool Bussum</t>
  </si>
  <si>
    <t>1411 PW</t>
  </si>
  <si>
    <t>Gymzaal "De Kroon"</t>
  </si>
  <si>
    <t>indexcijfer 140,3</t>
  </si>
  <si>
    <t>Ton Kootsingel</t>
  </si>
  <si>
    <t>indexcijfer 150,8</t>
  </si>
  <si>
    <t>BS Rehobothschool 
(en kleuterschool nr 41)</t>
  </si>
  <si>
    <t>voormalig School voor statushouders, De Globe</t>
  </si>
  <si>
    <t>Verlengde Fortlaan 116</t>
  </si>
  <si>
    <t>1412 EA</t>
  </si>
  <si>
    <t>1412 CV</t>
  </si>
  <si>
    <t>premie</t>
  </si>
  <si>
    <t>incl. 21% ass.bel.</t>
  </si>
  <si>
    <t>1399 HA</t>
  </si>
  <si>
    <t>verwijderen - Toren (tbv kindernevendienst) en huisnr toevoegen zie mail 27-1-2020</t>
  </si>
  <si>
    <t>149b</t>
  </si>
  <si>
    <t>Kindcentrum Muiderkring</t>
  </si>
  <si>
    <t>1398 AH</t>
  </si>
  <si>
    <t>meeverzekeren per 191021 zie mail 191021</t>
  </si>
  <si>
    <t>1411 BM</t>
  </si>
  <si>
    <t>bovenverdieping verhuud aan kinderdagverblijf SKBNM</t>
  </si>
  <si>
    <t>indexcijfer 158,3</t>
  </si>
  <si>
    <t>Gooimeer 10a</t>
  </si>
  <si>
    <t>1411 DD</t>
  </si>
  <si>
    <t>ISK Naarden</t>
  </si>
  <si>
    <t>Brandweerkazerne Muiden</t>
  </si>
  <si>
    <t>1398 BT</t>
  </si>
  <si>
    <t>Sporthal De Bredius</t>
  </si>
  <si>
    <t>*11</t>
  </si>
  <si>
    <t>Rijksmonumentnr 531367</t>
  </si>
  <si>
    <t>Bomvrij wachthuis B, uit omstreeks 1873, is gelegen op de Oostelijke batterij van de Karnemelksloot. Het pand is voorzien van dikke muren en, op de voorgevel na, geheel aangeaard.</t>
  </si>
  <si>
    <t>*11 taxatie gebouwen conform taxatierapport Van Ameyde d.d. 24-03-2023, rapportnummer IW230396573-001 en 002 incl BTW en fundering</t>
  </si>
  <si>
    <t>Rijksmonumentnr 531366</t>
  </si>
  <si>
    <t>Bomvrij wachthuis A, uit omstreeks 1873, is gelegen op de Westelijke batterij van de Karnemelksloot. Het pand is voorzien van dikke muren en, op de voorgevel na, geheel aangeaard.</t>
  </si>
  <si>
    <t>inventaris afvoeren zie mail 040423</t>
  </si>
  <si>
    <t>tijdelijke school voor vluchtelingen opname inventaris zie mail 040423</t>
  </si>
  <si>
    <t>Nummer</t>
  </si>
  <si>
    <t xml:space="preserve">Amsterdamse Poort </t>
  </si>
  <si>
    <t xml:space="preserve">Badlaan </t>
  </si>
  <si>
    <t xml:space="preserve">Dijkweg </t>
  </si>
  <si>
    <t>Echolaan</t>
  </si>
  <si>
    <t>Kazernestaat</t>
  </si>
  <si>
    <t>Kazernestraat</t>
  </si>
  <si>
    <t>14-A</t>
  </si>
  <si>
    <t>Kerkpad</t>
  </si>
  <si>
    <t>Kerkstraat</t>
  </si>
  <si>
    <t>Kloosterstraat</t>
  </si>
  <si>
    <t>Nienhuijs Ruyskade</t>
  </si>
  <si>
    <t>Nienhuis Ruyskade</t>
  </si>
  <si>
    <t>26-B</t>
  </si>
  <si>
    <t>Ravelijnspad</t>
  </si>
  <si>
    <t>Weesperweg</t>
  </si>
  <si>
    <t>2-D</t>
  </si>
  <si>
    <t>ong.</t>
  </si>
  <si>
    <t>Grootboek</t>
  </si>
  <si>
    <t>nummer</t>
  </si>
  <si>
    <t>Totaal Fort</t>
  </si>
  <si>
    <t>Constatijn Huygenslaan</t>
  </si>
  <si>
    <t>14-16</t>
  </si>
  <si>
    <t xml:space="preserve">Kruitmolen </t>
  </si>
  <si>
    <t xml:space="preserve">Tesselschadelaan </t>
  </si>
  <si>
    <t>Eindtotaal</t>
  </si>
  <si>
    <t xml:space="preserve">Vestingplein </t>
  </si>
  <si>
    <t>Maxisweg</t>
  </si>
  <si>
    <t>Fort:</t>
  </si>
  <si>
    <t>Onderwijs:</t>
  </si>
  <si>
    <t>Totaal Onderwijs:</t>
  </si>
  <si>
    <t>Nikkelstraat</t>
  </si>
  <si>
    <t xml:space="preserve">1411 AH </t>
  </si>
  <si>
    <t>Adr. Dortmansplein</t>
  </si>
  <si>
    <t xml:space="preserve">Amersfoortsestraatweg </t>
  </si>
  <si>
    <t>14-B</t>
  </si>
  <si>
    <t>16</t>
  </si>
  <si>
    <t>71</t>
  </si>
  <si>
    <t xml:space="preserve">Beethovenlaan </t>
  </si>
  <si>
    <t xml:space="preserve">Burg. M.P. van Wettumweg </t>
  </si>
  <si>
    <t>1</t>
  </si>
  <si>
    <t xml:space="preserve">Cattenhagestraat </t>
  </si>
  <si>
    <t>8, 8-A</t>
  </si>
  <si>
    <t>Energiestraat</t>
  </si>
  <si>
    <t>15</t>
  </si>
  <si>
    <t>Gansoordstraat</t>
  </si>
  <si>
    <t>2</t>
  </si>
  <si>
    <t xml:space="preserve">Keverdijk </t>
  </si>
  <si>
    <t xml:space="preserve">Kloosterstraat </t>
  </si>
  <si>
    <t>33</t>
  </si>
  <si>
    <t xml:space="preserve">Marktstraat </t>
  </si>
  <si>
    <t>20</t>
  </si>
  <si>
    <t>22</t>
  </si>
  <si>
    <t>Nieuwe Haven</t>
  </si>
  <si>
    <t>Oud Blaricumerweg</t>
  </si>
  <si>
    <t xml:space="preserve">Pastoorstraat </t>
  </si>
  <si>
    <t xml:space="preserve">Prinses Margriethof </t>
  </si>
  <si>
    <t xml:space="preserve">Sint Vitusstraat </t>
  </si>
  <si>
    <t>50, 52 en 54</t>
  </si>
  <si>
    <t>Thierenseweg</t>
  </si>
  <si>
    <t>Valkeveenselaan</t>
  </si>
  <si>
    <t xml:space="preserve">Van Limburg Stirumlaan </t>
  </si>
  <si>
    <t>12-A</t>
  </si>
  <si>
    <t>Bussumerstraat</t>
  </si>
  <si>
    <t>41</t>
  </si>
  <si>
    <t xml:space="preserve">Cort van der Lindenlaan </t>
  </si>
  <si>
    <t>3</t>
  </si>
  <si>
    <t>5</t>
  </si>
  <si>
    <t>G. Schipperstraat</t>
  </si>
  <si>
    <t xml:space="preserve">Godelindeweg </t>
  </si>
  <si>
    <t>J.W. Frisolaan</t>
  </si>
  <si>
    <t xml:space="preserve">Meerstraat </t>
  </si>
  <si>
    <t>105</t>
  </si>
  <si>
    <t xml:space="preserve">Verlengde Fortlaan </t>
  </si>
  <si>
    <t>43</t>
  </si>
  <si>
    <t>Westwalstraat 49/
Bussummerstraat 51 en 
Bussumerstraat 41</t>
  </si>
  <si>
    <t>Naardermeer</t>
  </si>
  <si>
    <t>9</t>
  </si>
  <si>
    <t>nieuw? Staat in spec. bij mail 200423</t>
  </si>
  <si>
    <t>n.o.t.g.</t>
  </si>
  <si>
    <t>Struikheiweg</t>
  </si>
  <si>
    <t>1406 TK</t>
  </si>
  <si>
    <t>Sportfondsen Gooise Meren</t>
  </si>
  <si>
    <t>pro rata per 10-05-2023</t>
  </si>
  <si>
    <t>indexcijfer 119,7</t>
  </si>
  <si>
    <t>indexcijfer 115,1</t>
  </si>
  <si>
    <t>KC De Meerstroom</t>
  </si>
  <si>
    <t>*11, *12</t>
  </si>
  <si>
    <t>*12 taxatie inventaris conform taxatierapport Van Ameyde d.d. 30-03-2022, rapportnummer IW220283435 incl. BTW en ICT apparatuur</t>
  </si>
  <si>
    <t>*11 taxatie gebouwen conform taxatierapport Van Ameyde d.d. 04-04-2019, rapportnummer IW190253860 incl. BTW en fundering</t>
  </si>
  <si>
    <t>*7 taxatie gebouwen conform taxatierapport van der Mark d.d. 06-07-2020, rapportnummer 41276/10 incl. BTW excl. fundering</t>
  </si>
  <si>
    <t>*9 taxatie gebouwen conform taxatierapport van der Mark d.d. 06-07-2020, rapportnummer 41276/10 incl. BTW excl. fundering</t>
  </si>
  <si>
    <t>*11 taxatie inventaris conform taxatierapport Van Ameyde d.d. 15-03-2023, rapportnummer IW230396268 (incl. ICT en BTW)</t>
  </si>
  <si>
    <t>*12 taxatie inventaris conform taxatierapport Van Ameyde d.d. 18-10-2022, rapportnummer IW230396267 (incl. BTW)</t>
  </si>
  <si>
    <t>*13 taxatie gebouwen conform taxatierapport Van Ameyde d.d. 18-10-2022, rapportnummer IW220788041 (incl. fundering en BTW)</t>
  </si>
  <si>
    <t>*13</t>
  </si>
  <si>
    <t>Rembrandtlaan</t>
  </si>
  <si>
    <t>1399 VG</t>
  </si>
  <si>
    <t>Vrijstaand pand waarin gevestigd een school</t>
  </si>
  <si>
    <t>zelfde als hieronder?</t>
  </si>
  <si>
    <t>*14 taxatie gebouwen conform taxatierapport Van Ameyde d.d. 18-10-2022, rapportnummer IW220788042 (incl. fundering en BTW)</t>
  </si>
  <si>
    <t>*14</t>
  </si>
  <si>
    <t>Schout</t>
  </si>
  <si>
    <t>1a</t>
  </si>
  <si>
    <t>1412 NA</t>
  </si>
  <si>
    <t>1C</t>
  </si>
  <si>
    <t>12A en 12B</t>
  </si>
  <si>
    <t>16
75</t>
  </si>
  <si>
    <t>Baarhuis</t>
  </si>
  <si>
    <t>27A PRT</t>
  </si>
  <si>
    <t>14C</t>
  </si>
  <si>
    <t>11, 11a</t>
  </si>
  <si>
    <t>Rijksmonumentnr 30179</t>
  </si>
  <si>
    <t>Montessori Lyceum Gooise Meren</t>
  </si>
  <si>
    <t>nieuw?</t>
  </si>
  <si>
    <t>Brandweerkazerne met aanliggend 3 laags kantoorgebouw</t>
  </si>
  <si>
    <t>Rijksmonumentnr 30227</t>
  </si>
  <si>
    <t>Rijksmonumentnr 30243</t>
  </si>
  <si>
    <t xml:space="preserve">De Turfloods (Restaurant) </t>
  </si>
  <si>
    <t>100A</t>
  </si>
  <si>
    <t>3 woningen</t>
  </si>
  <si>
    <t>Scouting Naarden 
(vrijstaande romneyloods)</t>
  </si>
  <si>
    <t>opnamedatum taxatie 130723</t>
  </si>
  <si>
    <t>niet getaxeerd?</t>
  </si>
  <si>
    <t>indexcijfer 123,3</t>
  </si>
  <si>
    <t>indexcijfer 125,2</t>
  </si>
  <si>
    <t>Kinderdagverblijf</t>
  </si>
  <si>
    <t>P.C. Hooft Openbare Basisschool (geen school meer)</t>
  </si>
  <si>
    <t>Echomuur. Rijksmonumentnummer 511950</t>
  </si>
  <si>
    <t>Kerktoren van Kerk aan Zee. Rijksmonumentnummer 30139</t>
  </si>
  <si>
    <t>Sporthal en zwembad 'het lunet'
alsmede een basisschool</t>
  </si>
  <si>
    <t>Amersfoortsestraatweg 
Beethovenlaan</t>
  </si>
  <si>
    <t>1411 HD
1411 HR</t>
  </si>
  <si>
    <t>Clubhuis kantine sportvereniging 
(incl. kunstgrasvelden)</t>
  </si>
  <si>
    <t>Korte Bedekte Weg</t>
  </si>
  <si>
    <t>Balletschool Cabriole</t>
  </si>
  <si>
    <t xml:space="preserve">Botenloods en vlonders/Roeivereniging te Naarden </t>
  </si>
  <si>
    <t>58 en 58a</t>
  </si>
  <si>
    <t>Rijksmonumentnr 30213</t>
  </si>
  <si>
    <t>Rijksmonumentnr 30181</t>
  </si>
  <si>
    <t>1, 1A en 1D</t>
  </si>
  <si>
    <t>rijksmonumentnr 454481</t>
  </si>
  <si>
    <t>8, 8A t/m 8D</t>
  </si>
  <si>
    <t>1398 VA</t>
  </si>
  <si>
    <t>Vrijstaand 2-laag pand, in gebruik als politiepost</t>
  </si>
  <si>
    <t>Voormalige kazerne Bastion VII, bestaande uit twee lagen, waarin gevestigd een bibliotheek en bijeenkomstruimten.</t>
  </si>
  <si>
    <t>rijksmonumentnr 454483</t>
  </si>
  <si>
    <t>Kerktoren van de Sint-Nicolaaskerk. Dateert vermoedelijk uit de 12e eeuw.</t>
  </si>
  <si>
    <t>rijksmonumentnr 30121</t>
  </si>
  <si>
    <t>1398 AL</t>
  </si>
  <si>
    <t>rijksmonumentnr 454487</t>
  </si>
  <si>
    <t>rijksmonumentnr 454479</t>
  </si>
  <si>
    <t>1398 AJ</t>
  </si>
  <si>
    <t>*15 taxatie gebouwen conform taxatierapport Van Ameyde d.d. 18-10-2022, rapportnummer IW220788040 (incl. fundering en BTW)</t>
  </si>
  <si>
    <t>*15</t>
  </si>
  <si>
    <t>*15, *12</t>
  </si>
  <si>
    <t>*15, *11</t>
  </si>
  <si>
    <t xml:space="preserve">Zeestraat </t>
  </si>
  <si>
    <t>1398 BA</t>
  </si>
  <si>
    <t>Vrijstaand fort, onderdeel van de vesting Muiden, deel uitmakend van de Nieuwe Hollandse Waterlinie</t>
  </si>
  <si>
    <t>Voormalig bomvrij gebouw Courtine VII-VIII, ook
genaamd het Muizenfort</t>
  </si>
  <si>
    <t>rijksmonumentnr 454484</t>
  </si>
  <si>
    <t>Vrijstaand pand in gebruik door een stichting</t>
  </si>
  <si>
    <t>2c</t>
  </si>
  <si>
    <t>Gemeentehuis incl. carillon</t>
  </si>
  <si>
    <t>Goois Lyceum en dienstwoning</t>
  </si>
  <si>
    <t>Vossiuslaan
Vondellaan</t>
  </si>
  <si>
    <t>2a
18</t>
  </si>
  <si>
    <t>1401 RT
1401 SB</t>
  </si>
  <si>
    <t>Diverse gebouwen ten behoeve van de
gemeentewerf, onder andere kantoren,
opslaggebouwen en garages</t>
  </si>
  <si>
    <t>49b-3</t>
  </si>
  <si>
    <t>49d</t>
  </si>
  <si>
    <t>gemeentelijk monument</t>
  </si>
  <si>
    <t>27 GAS</t>
  </si>
  <si>
    <t>149 a-h</t>
  </si>
  <si>
    <t>De Ruijterlaan
Piet Heinlaan</t>
  </si>
  <si>
    <t>24
52</t>
  </si>
  <si>
    <t>1403 VE
1403 TZ</t>
  </si>
  <si>
    <t>8, 10</t>
  </si>
  <si>
    <t>2 , 4</t>
  </si>
  <si>
    <t>70a</t>
  </si>
  <si>
    <t>69, 96a t/m d</t>
  </si>
  <si>
    <t>De Nieuwe Vaart</t>
  </si>
  <si>
    <t>1401 GL</t>
  </si>
  <si>
    <t>2 pomp</t>
  </si>
  <si>
    <t>*16 taxatie gebouwen conform taxatierapport Van Ameyde d.d. 18-10-2022, rapportnummer IW220788039 incl. BTW en fundering</t>
  </si>
  <si>
    <t>*16</t>
  </si>
  <si>
    <t>24a, b, c en d</t>
  </si>
  <si>
    <t>Sportcomplex SDO</t>
  </si>
  <si>
    <t>indexcijfer 128,3</t>
  </si>
  <si>
    <t>indexcijfer 131,8</t>
  </si>
  <si>
    <t>H. de Grootstraat /Constatijn Huygenslaan 1-B en 1-C</t>
  </si>
  <si>
    <t>Fortificatie kazemat F (Voormalige kanon remise Bastion IX)</t>
  </si>
  <si>
    <t>Fortificatie Fort E (Voormalig kruitmagazijn Bastion VIII)</t>
  </si>
  <si>
    <t>Fortificatie Fort G(Voormalige kanon remise Bastion VI)</t>
  </si>
  <si>
    <t>Clubgebouw met kleedkamers</t>
  </si>
  <si>
    <t>E10109-103</t>
  </si>
  <si>
    <t>E10206-100</t>
  </si>
  <si>
    <t>E10172-100</t>
  </si>
  <si>
    <t>E10021-101</t>
  </si>
  <si>
    <t>E10110-104</t>
  </si>
  <si>
    <t>E10158-100</t>
  </si>
  <si>
    <t>E10170-100</t>
  </si>
  <si>
    <t>E10076-101</t>
  </si>
  <si>
    <t>E10019-100</t>
  </si>
  <si>
    <t>E10021-104</t>
  </si>
  <si>
    <t>E10021-105</t>
  </si>
  <si>
    <t>E10076-100</t>
  </si>
  <si>
    <t>E10170-101</t>
  </si>
  <si>
    <t>E50036-100</t>
  </si>
  <si>
    <t>E10170-103</t>
  </si>
  <si>
    <t>E10021-106</t>
  </si>
  <si>
    <t>E10021-108</t>
  </si>
  <si>
    <t>E10023-101</t>
  </si>
  <si>
    <t>E10181-100</t>
  </si>
  <si>
    <t>E10181-111</t>
  </si>
  <si>
    <t>E10181-112</t>
  </si>
  <si>
    <t>E10181-113</t>
  </si>
  <si>
    <t>E10181-114</t>
  </si>
  <si>
    <t>E10181-115</t>
  </si>
  <si>
    <t>E10181-116</t>
  </si>
  <si>
    <t>E10181-117</t>
  </si>
  <si>
    <t>E10181-118</t>
  </si>
  <si>
    <t>E10170-104</t>
  </si>
  <si>
    <t>E10108-103</t>
  </si>
  <si>
    <t>E10023-108</t>
  </si>
  <si>
    <t>E10021-114</t>
  </si>
  <si>
    <t>E10023-107</t>
  </si>
  <si>
    <t>E10178-101</t>
  </si>
  <si>
    <t>E10030-100</t>
  </si>
  <si>
    <t>E10030-101</t>
  </si>
  <si>
    <t>E10030-103</t>
  </si>
  <si>
    <t>E10127-100</t>
  </si>
  <si>
    <t>E10030-105</t>
  </si>
  <si>
    <t>E10030-106</t>
  </si>
  <si>
    <t>E10030-107</t>
  </si>
  <si>
    <t>E10030-108</t>
  </si>
  <si>
    <t>E10176-101</t>
  </si>
  <si>
    <t>E10030-109</t>
  </si>
  <si>
    <t>E10030-110</t>
  </si>
  <si>
    <t>E10030-111</t>
  </si>
  <si>
    <t>E10030-104</t>
  </si>
  <si>
    <t>E10030-112</t>
  </si>
  <si>
    <t>E10030-113</t>
  </si>
  <si>
    <t>E10033-100</t>
  </si>
  <si>
    <t>E10033-101</t>
  </si>
  <si>
    <t>E10033-102</t>
  </si>
  <si>
    <t>E10033-103</t>
  </si>
  <si>
    <t>E10033-104</t>
  </si>
  <si>
    <t>E10170-116</t>
  </si>
  <si>
    <t>E10170-117</t>
  </si>
  <si>
    <t>E10170-118</t>
  </si>
  <si>
    <t>E10170-119</t>
  </si>
  <si>
    <t>E10170-120</t>
  </si>
  <si>
    <t>E10170-106</t>
  </si>
  <si>
    <t>E10134-108</t>
  </si>
  <si>
    <t>E10134-100</t>
  </si>
  <si>
    <t>E10134-101</t>
  </si>
  <si>
    <t>E10179-101</t>
  </si>
  <si>
    <t>E10167-101</t>
  </si>
  <si>
    <t>E10170-109</t>
  </si>
  <si>
    <t>E10134-102</t>
  </si>
  <si>
    <t>E10133-109</t>
  </si>
  <si>
    <t>E10133-110</t>
  </si>
  <si>
    <t>E10133-111</t>
  </si>
  <si>
    <t>E10133-112</t>
  </si>
  <si>
    <t>E10133-113</t>
  </si>
  <si>
    <t>E10158-102</t>
  </si>
  <si>
    <t>E10158-103</t>
  </si>
  <si>
    <t>E10158-104</t>
  </si>
  <si>
    <t>E10030-114</t>
  </si>
  <si>
    <t>E10030-115</t>
  </si>
  <si>
    <t>E10038-100</t>
  </si>
  <si>
    <t>E10038-101</t>
  </si>
  <si>
    <t>E10168-101</t>
  </si>
  <si>
    <t>E10168-102</t>
  </si>
  <si>
    <t>E10138-101</t>
  </si>
  <si>
    <t>E10138-102</t>
  </si>
  <si>
    <t>E10138-103</t>
  </si>
  <si>
    <t>E10019-102</t>
  </si>
  <si>
    <t>E10019-103</t>
  </si>
  <si>
    <t>E10019-104</t>
  </si>
  <si>
    <t>E10019-105</t>
  </si>
  <si>
    <t>E10019-106</t>
  </si>
  <si>
    <t>E10019-107</t>
  </si>
  <si>
    <t>E10019-108</t>
  </si>
  <si>
    <t>E10019-109</t>
  </si>
  <si>
    <t>E10019-110</t>
  </si>
  <si>
    <t>E10019-111</t>
  </si>
  <si>
    <t>E10019-112</t>
  </si>
  <si>
    <t>E10019-113</t>
  </si>
  <si>
    <t>E10019-114</t>
  </si>
  <si>
    <t>E10019-115</t>
  </si>
  <si>
    <t>E10019-116</t>
  </si>
  <si>
    <t>E10019-117</t>
  </si>
  <si>
    <t>E10019-118</t>
  </si>
  <si>
    <t>E10019-119</t>
  </si>
  <si>
    <t>E10019-120</t>
  </si>
  <si>
    <t>E10019-121</t>
  </si>
  <si>
    <t>E10019-122</t>
  </si>
  <si>
    <t>E10019-123</t>
  </si>
  <si>
    <t>E10019-124</t>
  </si>
  <si>
    <t>E10181-108 en E10181-109</t>
  </si>
  <si>
    <t>E10181-108 en E10181-110</t>
  </si>
  <si>
    <t>E10181-108 en E10181-111</t>
  </si>
  <si>
    <t>E10181-108 en E10181-112</t>
  </si>
  <si>
    <t>E10181-108 en E10181-113</t>
  </si>
  <si>
    <t>E10035-100</t>
  </si>
  <si>
    <t>E10035-101</t>
  </si>
  <si>
    <t>E10035-102</t>
  </si>
  <si>
    <t>E10035-103</t>
  </si>
  <si>
    <t>E10035-104</t>
  </si>
  <si>
    <t>E10035-105</t>
  </si>
  <si>
    <t>E10035-106</t>
  </si>
  <si>
    <t>E10035-107</t>
  </si>
  <si>
    <t>E10170-110</t>
  </si>
  <si>
    <t>E10170-111</t>
  </si>
  <si>
    <t>E10170-112</t>
  </si>
  <si>
    <t>E10170-113</t>
  </si>
  <si>
    <t>E10170-114</t>
  </si>
  <si>
    <t>E10170-115</t>
  </si>
  <si>
    <t>E10030-116</t>
  </si>
  <si>
    <t>E10030-117</t>
  </si>
  <si>
    <t>E10134-109</t>
  </si>
  <si>
    <t>E10134-110</t>
  </si>
  <si>
    <t>indexcijfer 132,4</t>
  </si>
  <si>
    <t>indexcijfer 136,2</t>
  </si>
  <si>
    <t>Mutaties 2026</t>
  </si>
  <si>
    <r>
      <t xml:space="preserve">Kon. Emmaschool (Incl. uitbr. 10e lokaal </t>
    </r>
    <r>
      <rPr>
        <sz val="10"/>
        <color rgb="FFFF0000"/>
        <rFont val="Arial"/>
        <family val="2"/>
      </rPr>
      <t>en BSO</t>
    </r>
    <r>
      <rPr>
        <sz val="10"/>
        <rFont val="Arial"/>
        <family val="2"/>
      </rPr>
      <t>)</t>
    </r>
  </si>
  <si>
    <t>aanpassing omschrijving zie Finly 291225</t>
  </si>
  <si>
    <r>
      <t>P.C. Hooft Openbare Basisschool (geen school meer)</t>
    </r>
    <r>
      <rPr>
        <sz val="10"/>
        <color rgb="FFFF0000"/>
        <rFont val="Arial"/>
        <family val="2"/>
      </rPr>
      <t xml:space="preserve"> incl. BSO</t>
    </r>
  </si>
  <si>
    <t>Badlaan</t>
  </si>
  <si>
    <t>26a</t>
  </si>
  <si>
    <t>nieuw per 140126 zie Finly</t>
  </si>
  <si>
    <t>Aula</t>
  </si>
  <si>
    <t>Leegstaand gebouw wordt uiteindelijk een schoolgebouw</t>
  </si>
  <si>
    <t>nieuw per 301225 zie Finly 280126</t>
  </si>
  <si>
    <t>nieuw per 160326 zie Finly 130326</t>
  </si>
  <si>
    <t>1399 VN</t>
  </si>
  <si>
    <t>Tesselschadelaan</t>
  </si>
  <si>
    <t>aantekening leegstand zie Finly</t>
  </si>
  <si>
    <r>
      <t xml:space="preserve">KC De Meerstroom </t>
    </r>
    <r>
      <rPr>
        <sz val="10"/>
        <color rgb="FFFF0000"/>
        <rFont val="Arial"/>
        <family val="2"/>
      </rPr>
      <t>(leegstandbeheer)</t>
    </r>
  </si>
  <si>
    <r>
      <t xml:space="preserve">Montessori Lyceum Gooise Meren </t>
    </r>
    <r>
      <rPr>
        <sz val="10"/>
        <color rgb="FFFF0000"/>
        <rFont val="Arial"/>
        <family val="2"/>
      </rPr>
      <t>(leegstand beheer/mogelijk gesloopt)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</si>
</sst>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* #,##0.00_-;\-&quot;€&quot;* #,##0.00_-;_-&quot;€&quot;* &quot;-&quot;??_-;_-@_-"/>
    <numFmt numFmtId="165" formatCode="_-* #,##0.00_-;\-* #,##0.00_-;_-* &quot;-&quot;??_-;_-@_-"/>
    <numFmt numFmtId="166" formatCode="_-&quot;€&quot;\ * #,##0.00_-;_-&quot;€&quot;\ * #,##0.00\-;_-&quot;€&quot;\ * &quot;-&quot;??_-;_-@_-"/>
    <numFmt numFmtId="167" formatCode="_-[$€-413]\ * #,##0.00_-;_-[$€-413]\ * #,##0.00\-;_-[$€-413]\ * &quot;-&quot;??_-;_-@_-"/>
    <numFmt numFmtId="168" formatCode="_ [$€-413]\ * #,##0.00_ ;_ [$€-413]\ * \-#,##0.00_ ;_ [$€-413]\ * &quot;-&quot;??_ ;_ @_ "/>
    <numFmt numFmtId="169" formatCode="_-* #,##0.00_-;_-* #,##0.00\-;_-* &quot;-&quot;??_-;_-@_-"/>
  </numFmts>
  <fonts count="24">
    <font>
      <sz val="10"/>
      <name val="Times New Roman"/>
    </font>
    <font>
      <sz val="10"/>
      <name val="Times New Roman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2"/>
      <name val="Helv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0"/>
      <color indexed="8"/>
      <name val="Arial"/>
      <family val="2"/>
    </font>
    <font>
      <sz val="9"/>
      <name val="ArialMT"/>
    </font>
    <font>
      <sz val="10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5" fillId="0" borderId="0"/>
    <xf numFmtId="0" fontId="13" fillId="0" borderId="0"/>
    <xf numFmtId="0" fontId="16" fillId="0" borderId="0"/>
    <xf numFmtId="169" fontId="5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259">
    <xf numFmtId="0" fontId="0" fillId="0" borderId="0" xfId="0"/>
    <xf numFmtId="165" fontId="2" fillId="0" borderId="0" xfId="1" applyFont="1" applyAlignment="1">
      <alignment horizontal="left" vertical="top"/>
    </xf>
    <xf numFmtId="2" fontId="2" fillId="0" borderId="0" xfId="1" applyNumberFormat="1" applyFont="1" applyBorder="1" applyAlignment="1">
      <alignment horizontal="left" vertical="top" wrapText="1"/>
    </xf>
    <xf numFmtId="165" fontId="2" fillId="0" borderId="0" xfId="1" applyFont="1" applyBorder="1" applyAlignment="1">
      <alignment horizontal="left" vertical="top"/>
    </xf>
    <xf numFmtId="2" fontId="2" fillId="0" borderId="0" xfId="1" applyNumberFormat="1" applyFont="1" applyAlignment="1">
      <alignment horizontal="left" vertical="top"/>
    </xf>
    <xf numFmtId="1" fontId="2" fillId="0" borderId="0" xfId="1" applyNumberFormat="1" applyFont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164" fontId="2" fillId="0" borderId="0" xfId="1" applyNumberFormat="1" applyFont="1" applyBorder="1" applyAlignment="1">
      <alignment horizontal="left" vertical="top"/>
    </xf>
    <xf numFmtId="0" fontId="5" fillId="0" borderId="0" xfId="0" applyFont="1"/>
    <xf numFmtId="15" fontId="2" fillId="0" borderId="0" xfId="1" applyNumberFormat="1" applyFont="1" applyAlignment="1">
      <alignment vertical="top" wrapText="1"/>
    </xf>
    <xf numFmtId="166" fontId="8" fillId="0" borderId="6" xfId="0" applyNumberFormat="1" applyFont="1" applyBorder="1"/>
    <xf numFmtId="167" fontId="8" fillId="0" borderId="6" xfId="0" applyNumberFormat="1" applyFont="1" applyBorder="1"/>
    <xf numFmtId="0" fontId="5" fillId="0" borderId="6" xfId="0" applyFont="1" applyBorder="1"/>
    <xf numFmtId="0" fontId="5" fillId="0" borderId="6" xfId="0" applyFont="1" applyBorder="1" applyAlignment="1">
      <alignment vertical="top" wrapText="1"/>
    </xf>
    <xf numFmtId="167" fontId="5" fillId="0" borderId="6" xfId="0" applyNumberFormat="1" applyFont="1" applyBorder="1"/>
    <xf numFmtId="0" fontId="5" fillId="0" borderId="0" xfId="0" applyFont="1" applyAlignment="1">
      <alignment vertical="top" wrapText="1"/>
    </xf>
    <xf numFmtId="49" fontId="5" fillId="0" borderId="0" xfId="0" applyNumberFormat="1" applyFont="1"/>
    <xf numFmtId="167" fontId="5" fillId="0" borderId="0" xfId="0" applyNumberFormat="1" applyFont="1"/>
    <xf numFmtId="167" fontId="6" fillId="0" borderId="8" xfId="0" applyNumberFormat="1" applyFont="1" applyBorder="1"/>
    <xf numFmtId="0" fontId="8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167" fontId="6" fillId="0" borderId="0" xfId="0" applyNumberFormat="1" applyFont="1"/>
    <xf numFmtId="0" fontId="5" fillId="0" borderId="6" xfId="0" applyFont="1" applyBorder="1" applyAlignment="1">
      <alignment vertical="top"/>
    </xf>
    <xf numFmtId="49" fontId="5" fillId="0" borderId="6" xfId="0" applyNumberFormat="1" applyFont="1" applyBorder="1" applyAlignment="1">
      <alignment vertical="top"/>
    </xf>
    <xf numFmtId="167" fontId="5" fillId="0" borderId="6" xfId="0" applyNumberFormat="1" applyFont="1" applyBorder="1" applyAlignment="1">
      <alignment vertical="top"/>
    </xf>
    <xf numFmtId="165" fontId="2" fillId="0" borderId="0" xfId="1" applyFont="1" applyFill="1" applyBorder="1" applyAlignment="1">
      <alignment horizontal="left" vertical="top"/>
    </xf>
    <xf numFmtId="0" fontId="10" fillId="0" borderId="0" xfId="0" applyFont="1"/>
    <xf numFmtId="0" fontId="12" fillId="0" borderId="0" xfId="0" applyFont="1"/>
    <xf numFmtId="0" fontId="9" fillId="0" borderId="0" xfId="0" applyFont="1"/>
    <xf numFmtId="0" fontId="5" fillId="0" borderId="0" xfId="0" applyFont="1" applyAlignment="1">
      <alignment vertical="top"/>
    </xf>
    <xf numFmtId="2" fontId="2" fillId="0" borderId="6" xfId="0" quotePrefix="1" applyNumberFormat="1" applyFont="1" applyBorder="1" applyAlignment="1" applyProtection="1">
      <alignment horizontal="left" vertical="top"/>
      <protection locked="0"/>
    </xf>
    <xf numFmtId="1" fontId="2" fillId="0" borderId="6" xfId="0" applyNumberFormat="1" applyFont="1" applyBorder="1" applyAlignment="1" applyProtection="1">
      <alignment horizontal="left" vertical="top"/>
      <protection locked="0"/>
    </xf>
    <xf numFmtId="164" fontId="2" fillId="0" borderId="6" xfId="1" applyNumberFormat="1" applyFont="1" applyFill="1" applyBorder="1" applyAlignment="1" applyProtection="1">
      <alignment horizontal="left" vertical="top"/>
      <protection locked="0"/>
    </xf>
    <xf numFmtId="164" fontId="2" fillId="0" borderId="6" xfId="1" applyNumberFormat="1" applyFont="1" applyBorder="1" applyAlignment="1" applyProtection="1">
      <alignment horizontal="left" vertical="top"/>
      <protection locked="0"/>
    </xf>
    <xf numFmtId="2" fontId="2" fillId="0" borderId="6" xfId="0" applyNumberFormat="1" applyFont="1" applyBorder="1" applyAlignment="1" applyProtection="1">
      <alignment horizontal="left" vertical="top"/>
      <protection locked="0"/>
    </xf>
    <xf numFmtId="2" fontId="2" fillId="0" borderId="6" xfId="0" quotePrefix="1" applyNumberFormat="1" applyFont="1" applyBorder="1" applyAlignment="1" applyProtection="1">
      <alignment horizontal="left" vertical="top" wrapText="1"/>
      <protection locked="0"/>
    </xf>
    <xf numFmtId="164" fontId="5" fillId="0" borderId="6" xfId="1" applyNumberFormat="1" applyFont="1" applyFill="1" applyBorder="1" applyAlignment="1" applyProtection="1">
      <alignment horizontal="left" vertical="top"/>
      <protection locked="0"/>
    </xf>
    <xf numFmtId="2" fontId="3" fillId="0" borderId="0" xfId="1" applyNumberFormat="1" applyFont="1" applyFill="1" applyBorder="1" applyAlignment="1">
      <alignment horizontal="left" vertical="top" wrapText="1"/>
    </xf>
    <xf numFmtId="2" fontId="3" fillId="0" borderId="0" xfId="1" applyNumberFormat="1" applyFont="1" applyFill="1" applyBorder="1" applyAlignment="1">
      <alignment vertical="top" wrapText="1"/>
    </xf>
    <xf numFmtId="2" fontId="3" fillId="0" borderId="0" xfId="1" applyNumberFormat="1" applyFont="1" applyFill="1" applyBorder="1" applyAlignment="1">
      <alignment vertical="top"/>
    </xf>
    <xf numFmtId="166" fontId="7" fillId="2" borderId="0" xfId="0" applyNumberFormat="1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top"/>
    </xf>
    <xf numFmtId="14" fontId="7" fillId="2" borderId="0" xfId="0" applyNumberFormat="1" applyFont="1" applyFill="1" applyAlignment="1">
      <alignment horizontal="center" vertical="top"/>
    </xf>
    <xf numFmtId="15" fontId="5" fillId="0" borderId="6" xfId="1" applyNumberFormat="1" applyFont="1" applyBorder="1" applyAlignment="1" applyProtection="1">
      <alignment vertical="top" wrapText="1"/>
      <protection locked="0"/>
    </xf>
    <xf numFmtId="1" fontId="5" fillId="0" borderId="6" xfId="0" applyNumberFormat="1" applyFont="1" applyBorder="1" applyAlignment="1" applyProtection="1">
      <alignment horizontal="left" vertical="top"/>
      <protection locked="0"/>
    </xf>
    <xf numFmtId="2" fontId="5" fillId="0" borderId="6" xfId="0" quotePrefix="1" applyNumberFormat="1" applyFont="1" applyBorder="1" applyAlignment="1" applyProtection="1">
      <alignment horizontal="left" vertical="top" wrapText="1"/>
      <protection locked="0"/>
    </xf>
    <xf numFmtId="2" fontId="5" fillId="0" borderId="6" xfId="0" applyNumberFormat="1" applyFont="1" applyBorder="1" applyAlignment="1" applyProtection="1">
      <alignment horizontal="left" vertical="top" wrapText="1"/>
      <protection locked="0"/>
    </xf>
    <xf numFmtId="2" fontId="5" fillId="0" borderId="6" xfId="0" quotePrefix="1" applyNumberFormat="1" applyFont="1" applyBorder="1" applyAlignment="1" applyProtection="1">
      <alignment horizontal="left" vertical="top"/>
      <protection locked="0"/>
    </xf>
    <xf numFmtId="2" fontId="5" fillId="0" borderId="6" xfId="0" applyNumberFormat="1" applyFont="1" applyBorder="1" applyAlignment="1" applyProtection="1">
      <alignment horizontal="left" vertical="top"/>
      <protection locked="0"/>
    </xf>
    <xf numFmtId="167" fontId="5" fillId="0" borderId="5" xfId="0" applyNumberFormat="1" applyFont="1" applyBorder="1" applyAlignment="1">
      <alignment vertical="top"/>
    </xf>
    <xf numFmtId="164" fontId="2" fillId="0" borderId="5" xfId="1" applyNumberFormat="1" applyFont="1" applyFill="1" applyBorder="1" applyAlignment="1" applyProtection="1">
      <alignment horizontal="left" vertical="top"/>
      <protection locked="0"/>
    </xf>
    <xf numFmtId="0" fontId="8" fillId="0" borderId="0" xfId="0" applyFont="1" applyAlignment="1">
      <alignment vertical="top"/>
    </xf>
    <xf numFmtId="44" fontId="6" fillId="0" borderId="0" xfId="2" applyFont="1" applyFill="1" applyBorder="1" applyAlignment="1">
      <alignment wrapText="1"/>
    </xf>
    <xf numFmtId="0" fontId="7" fillId="2" borderId="2" xfId="0" applyFont="1" applyFill="1" applyBorder="1" applyAlignment="1">
      <alignment vertical="top"/>
    </xf>
    <xf numFmtId="0" fontId="7" fillId="2" borderId="3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vertical="top"/>
    </xf>
    <xf numFmtId="166" fontId="7" fillId="2" borderId="3" xfId="0" applyNumberFormat="1" applyFont="1" applyFill="1" applyBorder="1" applyAlignment="1">
      <alignment horizontal="center" vertical="top"/>
    </xf>
    <xf numFmtId="166" fontId="7" fillId="2" borderId="9" xfId="0" applyNumberFormat="1" applyFont="1" applyFill="1" applyBorder="1" applyAlignment="1">
      <alignment horizontal="center" vertical="top"/>
    </xf>
    <xf numFmtId="0" fontId="8" fillId="2" borderId="4" xfId="0" applyFont="1" applyFill="1" applyBorder="1" applyAlignment="1">
      <alignment vertical="top"/>
    </xf>
    <xf numFmtId="166" fontId="7" fillId="2" borderId="10" xfId="0" applyNumberFormat="1" applyFont="1" applyFill="1" applyBorder="1" applyAlignment="1">
      <alignment horizontal="center" vertical="top"/>
    </xf>
    <xf numFmtId="14" fontId="7" fillId="2" borderId="10" xfId="0" applyNumberFormat="1" applyFont="1" applyFill="1" applyBorder="1" applyAlignment="1">
      <alignment horizontal="center" vertical="top"/>
    </xf>
    <xf numFmtId="0" fontId="8" fillId="2" borderId="11" xfId="0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14" fontId="7" fillId="2" borderId="12" xfId="0" applyNumberFormat="1" applyFont="1" applyFill="1" applyBorder="1" applyAlignment="1">
      <alignment horizontal="center" vertical="top"/>
    </xf>
    <xf numFmtId="2" fontId="3" fillId="2" borderId="13" xfId="1" applyNumberFormat="1" applyFont="1" applyFill="1" applyBorder="1" applyAlignment="1">
      <alignment horizontal="left" vertical="top" wrapText="1"/>
    </xf>
    <xf numFmtId="168" fontId="5" fillId="0" borderId="0" xfId="0" applyNumberFormat="1" applyFont="1"/>
    <xf numFmtId="167" fontId="11" fillId="0" borderId="6" xfId="0" applyNumberFormat="1" applyFont="1" applyBorder="1"/>
    <xf numFmtId="164" fontId="11" fillId="0" borderId="6" xfId="1" applyNumberFormat="1" applyFont="1" applyFill="1" applyBorder="1" applyAlignment="1" applyProtection="1">
      <alignment horizontal="left" vertical="top"/>
      <protection locked="0"/>
    </xf>
    <xf numFmtId="165" fontId="11" fillId="0" borderId="0" xfId="1" applyFont="1" applyAlignment="1">
      <alignment horizontal="left" vertical="top"/>
    </xf>
    <xf numFmtId="0" fontId="11" fillId="0" borderId="0" xfId="0" applyFont="1"/>
    <xf numFmtId="165" fontId="11" fillId="0" borderId="0" xfId="1" applyFont="1" applyBorder="1" applyAlignment="1">
      <alignment horizontal="left" vertical="top"/>
    </xf>
    <xf numFmtId="167" fontId="11" fillId="0" borderId="0" xfId="0" applyNumberFormat="1" applyFont="1"/>
    <xf numFmtId="165" fontId="5" fillId="0" borderId="0" xfId="1" applyFont="1" applyAlignment="1">
      <alignment horizontal="left" vertical="top"/>
    </xf>
    <xf numFmtId="165" fontId="5" fillId="0" borderId="0" xfId="1" applyFont="1" applyBorder="1" applyAlignment="1">
      <alignment horizontal="left" vertical="top"/>
    </xf>
    <xf numFmtId="164" fontId="5" fillId="0" borderId="0" xfId="1" applyNumberFormat="1" applyFont="1" applyBorder="1" applyAlignment="1">
      <alignment horizontal="left" vertical="top"/>
    </xf>
    <xf numFmtId="164" fontId="5" fillId="0" borderId="5" xfId="1" applyNumberFormat="1" applyFont="1" applyFill="1" applyBorder="1" applyAlignment="1" applyProtection="1">
      <alignment horizontal="left" vertical="top"/>
      <protection locked="0"/>
    </xf>
    <xf numFmtId="1" fontId="2" fillId="0" borderId="6" xfId="0" applyNumberFormat="1" applyFont="1" applyBorder="1" applyAlignment="1" applyProtection="1">
      <alignment horizontal="left" vertical="top" wrapText="1"/>
      <protection locked="0"/>
    </xf>
    <xf numFmtId="44" fontId="11" fillId="0" borderId="0" xfId="2" applyFont="1" applyBorder="1"/>
    <xf numFmtId="1" fontId="5" fillId="0" borderId="0" xfId="1" applyNumberFormat="1" applyFont="1" applyAlignment="1">
      <alignment horizontal="left" vertical="top"/>
    </xf>
    <xf numFmtId="164" fontId="5" fillId="0" borderId="0" xfId="1" applyNumberFormat="1" applyFont="1" applyAlignment="1">
      <alignment horizontal="left" vertical="top"/>
    </xf>
    <xf numFmtId="166" fontId="5" fillId="0" borderId="0" xfId="0" applyNumberFormat="1" applyFont="1"/>
    <xf numFmtId="166" fontId="6" fillId="0" borderId="6" xfId="0" applyNumberFormat="1" applyFont="1" applyBorder="1"/>
    <xf numFmtId="0" fontId="14" fillId="0" borderId="0" xfId="0" applyFont="1"/>
    <xf numFmtId="167" fontId="9" fillId="0" borderId="0" xfId="0" applyNumberFormat="1" applyFont="1"/>
    <xf numFmtId="44" fontId="5" fillId="0" borderId="0" xfId="2" applyFont="1"/>
    <xf numFmtId="44" fontId="5" fillId="0" borderId="0" xfId="0" applyNumberFormat="1" applyFont="1"/>
    <xf numFmtId="0" fontId="14" fillId="0" borderId="14" xfId="0" applyFont="1" applyBorder="1"/>
    <xf numFmtId="0" fontId="9" fillId="0" borderId="14" xfId="0" applyFont="1" applyBorder="1"/>
    <xf numFmtId="167" fontId="9" fillId="0" borderId="14" xfId="0" applyNumberFormat="1" applyFont="1" applyBorder="1"/>
    <xf numFmtId="167" fontId="14" fillId="0" borderId="14" xfId="0" applyNumberFormat="1" applyFont="1" applyBorder="1"/>
    <xf numFmtId="0" fontId="6" fillId="0" borderId="14" xfId="0" applyFont="1" applyBorder="1"/>
    <xf numFmtId="166" fontId="6" fillId="0" borderId="14" xfId="0" applyNumberFormat="1" applyFont="1" applyBorder="1"/>
    <xf numFmtId="0" fontId="3" fillId="0" borderId="0" xfId="0" applyFont="1" applyAlignment="1">
      <alignment horizontal="left" vertical="top"/>
    </xf>
    <xf numFmtId="1" fontId="3" fillId="0" borderId="0" xfId="1" applyNumberFormat="1" applyFont="1" applyBorder="1" applyAlignment="1">
      <alignment horizontal="left" vertical="top"/>
    </xf>
    <xf numFmtId="2" fontId="3" fillId="0" borderId="0" xfId="1" applyNumberFormat="1" applyFont="1" applyBorder="1" applyAlignment="1">
      <alignment horizontal="left" vertical="top" wrapText="1"/>
    </xf>
    <xf numFmtId="15" fontId="3" fillId="0" borderId="0" xfId="1" applyNumberFormat="1" applyFont="1" applyBorder="1" applyAlignment="1">
      <alignment vertical="top" wrapText="1"/>
    </xf>
    <xf numFmtId="2" fontId="3" fillId="0" borderId="0" xfId="1" applyNumberFormat="1" applyFont="1" applyBorder="1" applyAlignment="1">
      <alignment horizontal="left" vertical="top"/>
    </xf>
    <xf numFmtId="164" fontId="2" fillId="0" borderId="0" xfId="1" applyNumberFormat="1" applyFont="1" applyFill="1" applyBorder="1" applyAlignment="1" applyProtection="1">
      <alignment horizontal="left" vertical="top"/>
      <protection locked="0"/>
    </xf>
    <xf numFmtId="164" fontId="3" fillId="0" borderId="0" xfId="1" applyNumberFormat="1" applyFont="1" applyBorder="1" applyAlignment="1">
      <alignment horizontal="left" vertical="top"/>
    </xf>
    <xf numFmtId="2" fontId="2" fillId="0" borderId="0" xfId="0" quotePrefix="1" applyNumberFormat="1" applyFont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alignment horizontal="left" vertical="top"/>
      <protection locked="0"/>
    </xf>
    <xf numFmtId="1" fontId="2" fillId="0" borderId="0" xfId="0" applyNumberFormat="1" applyFont="1" applyAlignment="1" applyProtection="1">
      <alignment horizontal="left" vertical="top"/>
      <protection locked="0"/>
    </xf>
    <xf numFmtId="0" fontId="13" fillId="0" borderId="0" xfId="0" applyFont="1"/>
    <xf numFmtId="15" fontId="5" fillId="0" borderId="0" xfId="1" applyNumberFormat="1" applyFont="1" applyBorder="1" applyAlignment="1" applyProtection="1">
      <alignment vertical="top" wrapText="1"/>
      <protection locked="0"/>
    </xf>
    <xf numFmtId="164" fontId="5" fillId="0" borderId="0" xfId="1" applyNumberFormat="1" applyFont="1" applyFill="1" applyBorder="1" applyAlignment="1" applyProtection="1">
      <alignment horizontal="left" vertical="top"/>
      <protection locked="0"/>
    </xf>
    <xf numFmtId="164" fontId="2" fillId="0" borderId="0" xfId="1" applyNumberFormat="1" applyFont="1" applyBorder="1" applyAlignment="1" applyProtection="1">
      <alignment horizontal="left" vertical="top"/>
      <protection locked="0"/>
    </xf>
    <xf numFmtId="0" fontId="3" fillId="0" borderId="14" xfId="0" applyFont="1" applyBorder="1" applyAlignment="1">
      <alignment horizontal="left" vertical="top"/>
    </xf>
    <xf numFmtId="1" fontId="3" fillId="0" borderId="14" xfId="1" applyNumberFormat="1" applyFont="1" applyBorder="1" applyAlignment="1">
      <alignment horizontal="left" vertical="top"/>
    </xf>
    <xf numFmtId="2" fontId="3" fillId="0" borderId="14" xfId="1" applyNumberFormat="1" applyFont="1" applyBorder="1" applyAlignment="1">
      <alignment horizontal="left" vertical="top" wrapText="1"/>
    </xf>
    <xf numFmtId="15" fontId="3" fillId="0" borderId="14" xfId="1" applyNumberFormat="1" applyFont="1" applyBorder="1" applyAlignment="1">
      <alignment vertical="top" wrapText="1"/>
    </xf>
    <xf numFmtId="164" fontId="3" fillId="0" borderId="14" xfId="1" applyNumberFormat="1" applyFont="1" applyFill="1" applyBorder="1" applyAlignment="1">
      <alignment horizontal="left" vertical="top"/>
    </xf>
    <xf numFmtId="2" fontId="5" fillId="0" borderId="0" xfId="0" applyNumberFormat="1" applyFont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 wrapText="1"/>
    </xf>
    <xf numFmtId="15" fontId="2" fillId="0" borderId="0" xfId="1" applyNumberFormat="1" applyFont="1" applyBorder="1" applyAlignment="1">
      <alignment vertical="top" wrapText="1"/>
    </xf>
    <xf numFmtId="164" fontId="3" fillId="0" borderId="14" xfId="1" applyNumberFormat="1" applyFont="1" applyBorder="1" applyAlignment="1">
      <alignment horizontal="left" vertical="top"/>
    </xf>
    <xf numFmtId="167" fontId="6" fillId="0" borderId="14" xfId="0" applyNumberFormat="1" applyFont="1" applyBorder="1"/>
    <xf numFmtId="0" fontId="6" fillId="0" borderId="0" xfId="0" applyFont="1"/>
    <xf numFmtId="1" fontId="11" fillId="0" borderId="0" xfId="1" applyNumberFormat="1" applyFont="1" applyAlignment="1">
      <alignment horizontal="left" vertical="top"/>
    </xf>
    <xf numFmtId="2" fontId="11" fillId="0" borderId="0" xfId="0" applyNumberFormat="1" applyFont="1" applyAlignment="1" applyProtection="1">
      <alignment horizontal="left" vertical="top"/>
      <protection locked="0"/>
    </xf>
    <xf numFmtId="1" fontId="11" fillId="0" borderId="0" xfId="0" applyNumberFormat="1" applyFont="1" applyAlignment="1" applyProtection="1">
      <alignment horizontal="left" vertical="top"/>
      <protection locked="0"/>
    </xf>
    <xf numFmtId="2" fontId="11" fillId="0" borderId="0" xfId="0" applyNumberFormat="1" applyFont="1" applyAlignment="1" applyProtection="1">
      <alignment horizontal="left" vertical="top" wrapText="1"/>
      <protection locked="0"/>
    </xf>
    <xf numFmtId="15" fontId="11" fillId="0" borderId="0" xfId="1" applyNumberFormat="1" applyFont="1" applyBorder="1" applyAlignment="1" applyProtection="1">
      <alignment vertical="top" wrapText="1"/>
      <protection locked="0"/>
    </xf>
    <xf numFmtId="164" fontId="11" fillId="0" borderId="0" xfId="1" applyNumberFormat="1" applyFont="1" applyFill="1" applyBorder="1" applyAlignment="1" applyProtection="1">
      <alignment horizontal="left" vertical="top"/>
      <protection locked="0"/>
    </xf>
    <xf numFmtId="164" fontId="11" fillId="0" borderId="0" xfId="1" applyNumberFormat="1" applyFont="1" applyBorder="1" applyAlignment="1" applyProtection="1">
      <alignment horizontal="left" vertical="top"/>
      <protection locked="0"/>
    </xf>
    <xf numFmtId="49" fontId="5" fillId="0" borderId="6" xfId="0" applyNumberFormat="1" applyFont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vertical="top" wrapText="1"/>
    </xf>
    <xf numFmtId="0" fontId="6" fillId="2" borderId="3" xfId="0" applyFont="1" applyFill="1" applyBorder="1"/>
    <xf numFmtId="166" fontId="7" fillId="2" borderId="3" xfId="0" applyNumberFormat="1" applyFont="1" applyFill="1" applyBorder="1" applyAlignment="1">
      <alignment horizontal="center"/>
    </xf>
    <xf numFmtId="0" fontId="8" fillId="2" borderId="4" xfId="0" applyFont="1" applyFill="1" applyBorder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vertical="top" wrapText="1"/>
    </xf>
    <xf numFmtId="0" fontId="6" fillId="2" borderId="0" xfId="0" applyFont="1" applyFill="1"/>
    <xf numFmtId="166" fontId="7" fillId="2" borderId="0" xfId="0" applyNumberFormat="1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0" fontId="8" fillId="2" borderId="11" xfId="0" applyFont="1" applyFill="1" applyBorder="1"/>
    <xf numFmtId="0" fontId="8" fillId="2" borderId="12" xfId="0" applyFont="1" applyFill="1" applyBorder="1" applyAlignment="1">
      <alignment horizontal="center"/>
    </xf>
    <xf numFmtId="0" fontId="8" fillId="2" borderId="12" xfId="0" applyFont="1" applyFill="1" applyBorder="1" applyAlignment="1">
      <alignment vertical="top" wrapText="1"/>
    </xf>
    <xf numFmtId="0" fontId="6" fillId="2" borderId="12" xfId="0" applyFont="1" applyFill="1" applyBorder="1"/>
    <xf numFmtId="14" fontId="7" fillId="2" borderId="12" xfId="0" applyNumberFormat="1" applyFont="1" applyFill="1" applyBorder="1" applyAlignment="1">
      <alignment horizontal="center"/>
    </xf>
    <xf numFmtId="44" fontId="5" fillId="0" borderId="6" xfId="2" applyFont="1" applyBorder="1" applyAlignment="1">
      <alignment vertical="top"/>
    </xf>
    <xf numFmtId="44" fontId="5" fillId="0" borderId="6" xfId="2" applyFont="1" applyBorder="1"/>
    <xf numFmtId="0" fontId="5" fillId="3" borderId="6" xfId="0" applyFont="1" applyFill="1" applyBorder="1"/>
    <xf numFmtId="44" fontId="5" fillId="0" borderId="6" xfId="2" applyFont="1" applyFill="1" applyBorder="1"/>
    <xf numFmtId="44" fontId="5" fillId="0" borderId="6" xfId="5" applyFont="1" applyBorder="1"/>
    <xf numFmtId="44" fontId="5" fillId="0" borderId="5" xfId="2" applyFont="1" applyBorder="1" applyAlignment="1">
      <alignment vertical="top"/>
    </xf>
    <xf numFmtId="0" fontId="11" fillId="0" borderId="0" xfId="0" applyFont="1" applyAlignment="1">
      <alignment vertical="top"/>
    </xf>
    <xf numFmtId="167" fontId="5" fillId="0" borderId="0" xfId="0" applyNumberFormat="1" applyFont="1" applyAlignment="1">
      <alignment vertical="top"/>
    </xf>
    <xf numFmtId="0" fontId="11" fillId="0" borderId="6" xfId="0" applyFont="1" applyBorder="1"/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/>
    <xf numFmtId="0" fontId="5" fillId="0" borderId="6" xfId="0" applyFont="1" applyBorder="1" applyAlignment="1">
      <alignment horizontal="right"/>
    </xf>
    <xf numFmtId="0" fontId="5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8" fillId="2" borderId="0" xfId="0" applyFont="1" applyFill="1"/>
    <xf numFmtId="0" fontId="8" fillId="0" borderId="0" xfId="0" applyFont="1" applyAlignment="1">
      <alignment vertical="top" wrapText="1"/>
    </xf>
    <xf numFmtId="2" fontId="3" fillId="0" borderId="0" xfId="1" applyNumberFormat="1" applyFont="1" applyFill="1" applyBorder="1" applyAlignment="1">
      <alignment horizontal="center" vertical="top" textRotation="90"/>
    </xf>
    <xf numFmtId="14" fontId="7" fillId="0" borderId="0" xfId="0" applyNumberFormat="1" applyFont="1" applyAlignment="1">
      <alignment horizontal="center" vertical="top"/>
    </xf>
    <xf numFmtId="0" fontId="7" fillId="2" borderId="3" xfId="0" applyFont="1" applyFill="1" applyBorder="1"/>
    <xf numFmtId="0" fontId="8" fillId="2" borderId="12" xfId="0" applyFont="1" applyFill="1" applyBorder="1"/>
    <xf numFmtId="0" fontId="14" fillId="0" borderId="0" xfId="0" applyFont="1" applyAlignment="1">
      <alignment vertical="top"/>
    </xf>
    <xf numFmtId="49" fontId="5" fillId="0" borderId="0" xfId="2" applyNumberFormat="1" applyFont="1" applyFill="1" applyBorder="1" applyAlignment="1">
      <alignment vertical="top"/>
    </xf>
    <xf numFmtId="44" fontId="5" fillId="0" borderId="0" xfId="2" applyFont="1" applyBorder="1" applyAlignment="1">
      <alignment vertical="top"/>
    </xf>
    <xf numFmtId="49" fontId="14" fillId="0" borderId="0" xfId="2" applyNumberFormat="1" applyFont="1" applyFill="1" applyBorder="1" applyAlignment="1">
      <alignment vertical="top"/>
    </xf>
    <xf numFmtId="0" fontId="14" fillId="0" borderId="0" xfId="0" applyFont="1" applyAlignment="1">
      <alignment vertical="top" wrapText="1"/>
    </xf>
    <xf numFmtId="44" fontId="14" fillId="0" borderId="0" xfId="2" applyFont="1" applyBorder="1" applyAlignment="1">
      <alignment vertical="top"/>
    </xf>
    <xf numFmtId="164" fontId="14" fillId="0" borderId="0" xfId="1" applyNumberFormat="1" applyFont="1" applyFill="1" applyBorder="1" applyAlignment="1" applyProtection="1">
      <alignment horizontal="left" vertical="top"/>
      <protection locked="0"/>
    </xf>
    <xf numFmtId="164" fontId="19" fillId="0" borderId="0" xfId="1" applyNumberFormat="1" applyFont="1" applyFill="1" applyBorder="1" applyAlignment="1" applyProtection="1">
      <alignment horizontal="left" vertical="top"/>
      <protection locked="0"/>
    </xf>
    <xf numFmtId="0" fontId="19" fillId="0" borderId="0" xfId="0" applyFont="1" applyAlignment="1">
      <alignment horizontal="left" vertical="top"/>
    </xf>
    <xf numFmtId="0" fontId="5" fillId="0" borderId="14" xfId="0" applyFont="1" applyBorder="1" applyAlignment="1">
      <alignment vertical="top" wrapText="1"/>
    </xf>
    <xf numFmtId="49" fontId="9" fillId="0" borderId="14" xfId="2" applyNumberFormat="1" applyFont="1" applyFill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14" xfId="0" applyFont="1" applyBorder="1" applyAlignment="1">
      <alignment vertical="top" wrapText="1"/>
    </xf>
    <xf numFmtId="44" fontId="9" fillId="0" borderId="14" xfId="2" applyFont="1" applyBorder="1" applyAlignment="1">
      <alignment vertical="top"/>
    </xf>
    <xf numFmtId="164" fontId="9" fillId="0" borderId="14" xfId="1" applyNumberFormat="1" applyFont="1" applyFill="1" applyBorder="1" applyAlignment="1" applyProtection="1">
      <alignment horizontal="left" vertical="top"/>
      <protection locked="0"/>
    </xf>
    <xf numFmtId="164" fontId="3" fillId="0" borderId="14" xfId="1" applyNumberFormat="1" applyFont="1" applyFill="1" applyBorder="1" applyAlignment="1" applyProtection="1">
      <alignment horizontal="left" vertical="top"/>
      <protection locked="0"/>
    </xf>
    <xf numFmtId="0" fontId="9" fillId="0" borderId="0" xfId="0" applyFont="1" applyAlignment="1">
      <alignment vertical="top"/>
    </xf>
    <xf numFmtId="49" fontId="5" fillId="0" borderId="6" xfId="0" applyNumberFormat="1" applyFont="1" applyBorder="1" applyAlignment="1">
      <alignment horizontal="right" vertical="top"/>
    </xf>
    <xf numFmtId="49" fontId="5" fillId="0" borderId="6" xfId="5" applyNumberFormat="1" applyFont="1" applyFill="1" applyBorder="1" applyAlignment="1">
      <alignment vertical="top"/>
    </xf>
    <xf numFmtId="49" fontId="5" fillId="0" borderId="6" xfId="5" applyNumberFormat="1" applyFont="1" applyFill="1" applyBorder="1" applyAlignment="1">
      <alignment horizontal="right" vertical="top"/>
    </xf>
    <xf numFmtId="1" fontId="5" fillId="0" borderId="6" xfId="0" quotePrefix="1" applyNumberFormat="1" applyFont="1" applyBorder="1" applyAlignment="1" applyProtection="1">
      <alignment horizontal="right" vertical="top"/>
      <protection locked="0"/>
    </xf>
    <xf numFmtId="49" fontId="5" fillId="0" borderId="6" xfId="5" applyNumberFormat="1" applyFont="1" applyFill="1" applyBorder="1" applyAlignment="1">
      <alignment vertical="top" wrapText="1"/>
    </xf>
    <xf numFmtId="49" fontId="5" fillId="0" borderId="6" xfId="5" applyNumberFormat="1" applyFont="1" applyFill="1" applyBorder="1" applyAlignment="1">
      <alignment horizontal="right" vertical="top" wrapText="1"/>
    </xf>
    <xf numFmtId="49" fontId="11" fillId="0" borderId="6" xfId="0" applyNumberFormat="1" applyFont="1" applyBorder="1" applyAlignment="1">
      <alignment vertical="top"/>
    </xf>
    <xf numFmtId="49" fontId="5" fillId="0" borderId="15" xfId="0" applyNumberFormat="1" applyFont="1" applyBorder="1"/>
    <xf numFmtId="0" fontId="5" fillId="0" borderId="15" xfId="0" applyFont="1" applyBorder="1"/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vertical="top"/>
    </xf>
    <xf numFmtId="0" fontId="5" fillId="0" borderId="14" xfId="0" applyFont="1" applyBorder="1"/>
    <xf numFmtId="164" fontId="2" fillId="0" borderId="6" xfId="1" applyNumberFormat="1" applyFont="1" applyBorder="1" applyAlignment="1">
      <alignment horizontal="left" vertical="top"/>
    </xf>
    <xf numFmtId="0" fontId="11" fillId="3" borderId="0" xfId="0" applyFont="1" applyFill="1"/>
    <xf numFmtId="0" fontId="11" fillId="0" borderId="6" xfId="0" applyFont="1" applyBorder="1" applyAlignment="1">
      <alignment horizontal="center" vertical="center"/>
    </xf>
    <xf numFmtId="164" fontId="11" fillId="0" borderId="5" xfId="1" applyNumberFormat="1" applyFont="1" applyFill="1" applyBorder="1" applyAlignment="1" applyProtection="1">
      <alignment horizontal="left" vertical="top"/>
      <protection locked="0"/>
    </xf>
    <xf numFmtId="167" fontId="11" fillId="0" borderId="6" xfId="0" applyNumberFormat="1" applyFont="1" applyBorder="1" applyAlignment="1">
      <alignment vertical="top"/>
    </xf>
    <xf numFmtId="164" fontId="11" fillId="3" borderId="6" xfId="1" applyNumberFormat="1" applyFont="1" applyFill="1" applyBorder="1" applyAlignment="1" applyProtection="1">
      <alignment horizontal="left" vertical="top"/>
      <protection locked="0"/>
    </xf>
    <xf numFmtId="44" fontId="11" fillId="0" borderId="6" xfId="2" applyFont="1" applyFill="1" applyBorder="1" applyAlignment="1">
      <alignment vertical="top"/>
    </xf>
    <xf numFmtId="0" fontId="11" fillId="0" borderId="0" xfId="0" applyFont="1" applyAlignment="1">
      <alignment vertical="top" wrapText="1"/>
    </xf>
    <xf numFmtId="164" fontId="5" fillId="0" borderId="7" xfId="1" applyNumberFormat="1" applyFont="1" applyFill="1" applyBorder="1" applyAlignment="1" applyProtection="1">
      <alignment horizontal="center" vertical="top"/>
      <protection locked="0"/>
    </xf>
    <xf numFmtId="0" fontId="5" fillId="0" borderId="6" xfId="0" applyFont="1" applyBorder="1" applyAlignment="1">
      <alignment horizontal="right" vertical="top"/>
    </xf>
    <xf numFmtId="0" fontId="20" fillId="0" borderId="6" xfId="0" applyFont="1" applyBorder="1"/>
    <xf numFmtId="49" fontId="5" fillId="0" borderId="6" xfId="0" applyNumberFormat="1" applyFont="1" applyBorder="1" applyAlignment="1">
      <alignment vertical="top" wrapText="1"/>
    </xf>
    <xf numFmtId="2" fontId="5" fillId="0" borderId="6" xfId="0" applyNumberFormat="1" applyFont="1" applyBorder="1" applyAlignment="1">
      <alignment horizontal="right" vertical="top"/>
    </xf>
    <xf numFmtId="1" fontId="5" fillId="0" borderId="6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right" vertical="top" wrapText="1"/>
    </xf>
    <xf numFmtId="164" fontId="21" fillId="0" borderId="6" xfId="1" applyNumberFormat="1" applyFont="1" applyFill="1" applyBorder="1" applyAlignment="1" applyProtection="1">
      <alignment horizontal="left" vertical="top"/>
      <protection locked="0"/>
    </xf>
    <xf numFmtId="43" fontId="5" fillId="0" borderId="0" xfId="0" applyNumberFormat="1" applyFont="1"/>
    <xf numFmtId="0" fontId="21" fillId="0" borderId="0" xfId="0" applyFont="1"/>
    <xf numFmtId="167" fontId="8" fillId="0" borderId="6" xfId="0" applyNumberFormat="1" applyFont="1" applyBorder="1" applyAlignment="1">
      <alignment vertical="top"/>
    </xf>
    <xf numFmtId="0" fontId="21" fillId="0" borderId="0" xfId="0" applyFont="1" applyAlignment="1">
      <alignment vertical="top"/>
    </xf>
    <xf numFmtId="0" fontId="12" fillId="0" borderId="0" xfId="0" applyFont="1" applyAlignment="1">
      <alignment vertical="top"/>
    </xf>
    <xf numFmtId="164" fontId="22" fillId="0" borderId="6" xfId="1" applyNumberFormat="1" applyFont="1" applyFill="1" applyBorder="1" applyAlignment="1" applyProtection="1">
      <alignment horizontal="left" vertical="top"/>
      <protection locked="0"/>
    </xf>
    <xf numFmtId="44" fontId="22" fillId="0" borderId="6" xfId="2" applyFont="1" applyFill="1" applyBorder="1"/>
    <xf numFmtId="164" fontId="2" fillId="0" borderId="7" xfId="1" applyNumberFormat="1" applyFont="1" applyFill="1" applyBorder="1" applyAlignment="1" applyProtection="1">
      <alignment vertical="top"/>
      <protection locked="0"/>
    </xf>
    <xf numFmtId="44" fontId="2" fillId="0" borderId="0" xfId="2" applyFont="1" applyFill="1" applyBorder="1" applyAlignment="1" applyProtection="1">
      <alignment horizontal="left" vertical="top"/>
      <protection locked="0"/>
    </xf>
    <xf numFmtId="1" fontId="5" fillId="0" borderId="6" xfId="0" quotePrefix="1" applyNumberFormat="1" applyFont="1" applyBorder="1" applyAlignment="1" applyProtection="1">
      <alignment horizontal="left" vertical="top"/>
      <protection locked="0"/>
    </xf>
    <xf numFmtId="49" fontId="5" fillId="0" borderId="6" xfId="1" applyNumberFormat="1" applyFont="1" applyBorder="1" applyAlignment="1">
      <alignment vertical="top"/>
    </xf>
    <xf numFmtId="1" fontId="5" fillId="0" borderId="6" xfId="0" applyNumberFormat="1" applyFont="1" applyBorder="1" applyAlignment="1" applyProtection="1">
      <alignment horizontal="left" vertical="top" wrapText="1"/>
      <protection locked="0"/>
    </xf>
    <xf numFmtId="2" fontId="5" fillId="0" borderId="7" xfId="0" quotePrefix="1" applyNumberFormat="1" applyFont="1" applyBorder="1" applyAlignment="1" applyProtection="1">
      <alignment horizontal="left" vertical="top"/>
      <protection locked="0"/>
    </xf>
    <xf numFmtId="49" fontId="5" fillId="0" borderId="7" xfId="0" applyNumberFormat="1" applyFont="1" applyBorder="1" applyAlignment="1" applyProtection="1">
      <alignment horizontal="left" vertical="top"/>
      <protection locked="0"/>
    </xf>
    <xf numFmtId="2" fontId="5" fillId="0" borderId="7" xfId="0" applyNumberFormat="1" applyFont="1" applyBorder="1" applyAlignment="1" applyProtection="1">
      <alignment horizontal="left" vertical="top" wrapText="1"/>
      <protection locked="0"/>
    </xf>
    <xf numFmtId="49" fontId="5" fillId="0" borderId="6" xfId="0" applyNumberFormat="1" applyFont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9" fillId="0" borderId="0" xfId="0" applyFont="1" applyAlignment="1">
      <alignment horizontal="left" vertical="top"/>
    </xf>
    <xf numFmtId="0" fontId="2" fillId="0" borderId="6" xfId="0" applyFont="1" applyBorder="1" applyAlignment="1" applyProtection="1">
      <alignment horizontal="center" vertical="top"/>
      <protection locked="0"/>
    </xf>
    <xf numFmtId="0" fontId="6" fillId="2" borderId="0" xfId="0" applyFont="1" applyFill="1" applyAlignment="1">
      <alignment vertical="top"/>
    </xf>
    <xf numFmtId="2" fontId="9" fillId="2" borderId="4" xfId="1" applyNumberFormat="1" applyFont="1" applyFill="1" applyBorder="1" applyAlignment="1">
      <alignment horizontal="left" vertical="top" wrapText="1"/>
    </xf>
    <xf numFmtId="2" fontId="5" fillId="0" borderId="1" xfId="1" applyNumberFormat="1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7" fillId="0" borderId="0" xfId="0" applyFont="1" applyAlignment="1">
      <alignment vertical="top"/>
    </xf>
    <xf numFmtId="2" fontId="12" fillId="0" borderId="0" xfId="1" applyNumberFormat="1" applyFont="1" applyAlignment="1">
      <alignment horizontal="left" vertical="top"/>
    </xf>
    <xf numFmtId="0" fontId="11" fillId="0" borderId="6" xfId="0" applyFont="1" applyBorder="1" applyAlignment="1">
      <alignment horizontal="left"/>
    </xf>
    <xf numFmtId="44" fontId="11" fillId="0" borderId="6" xfId="2" applyFont="1" applyBorder="1"/>
    <xf numFmtId="165" fontId="11" fillId="0" borderId="6" xfId="1" applyFont="1" applyBorder="1" applyAlignment="1">
      <alignment horizontal="left" vertical="top"/>
    </xf>
    <xf numFmtId="2" fontId="11" fillId="0" borderId="6" xfId="1" applyNumberFormat="1" applyFont="1" applyBorder="1" applyAlignment="1">
      <alignment horizontal="left" vertical="top"/>
    </xf>
    <xf numFmtId="1" fontId="11" fillId="0" borderId="6" xfId="1" applyNumberFormat="1" applyFont="1" applyBorder="1" applyAlignment="1">
      <alignment horizontal="left" vertical="top"/>
    </xf>
    <xf numFmtId="15" fontId="11" fillId="0" borderId="6" xfId="1" applyNumberFormat="1" applyFont="1" applyBorder="1" applyAlignment="1">
      <alignment vertical="top" wrapText="1"/>
    </xf>
    <xf numFmtId="164" fontId="11" fillId="0" borderId="6" xfId="1" applyNumberFormat="1" applyFont="1" applyBorder="1" applyAlignment="1">
      <alignment horizontal="left" vertical="top"/>
    </xf>
    <xf numFmtId="164" fontId="11" fillId="0" borderId="6" xfId="1" applyNumberFormat="1" applyFont="1" applyBorder="1" applyAlignment="1" applyProtection="1">
      <alignment horizontal="left" vertical="top"/>
      <protection locked="0"/>
    </xf>
    <xf numFmtId="0" fontId="23" fillId="0" borderId="6" xfId="0" applyFont="1" applyBorder="1" applyAlignment="1">
      <alignment wrapText="1"/>
    </xf>
    <xf numFmtId="49" fontId="12" fillId="0" borderId="0" xfId="0" applyNumberFormat="1" applyFont="1"/>
    <xf numFmtId="2" fontId="3" fillId="2" borderId="3" xfId="1" applyNumberFormat="1" applyFont="1" applyFill="1" applyBorder="1" applyAlignment="1">
      <alignment horizontal="center" vertical="top" textRotation="90"/>
    </xf>
    <xf numFmtId="2" fontId="3" fillId="2" borderId="0" xfId="1" applyNumberFormat="1" applyFont="1" applyFill="1" applyBorder="1" applyAlignment="1">
      <alignment horizontal="center" vertical="top" textRotation="90"/>
    </xf>
    <xf numFmtId="2" fontId="3" fillId="2" borderId="12" xfId="1" applyNumberFormat="1" applyFont="1" applyFill="1" applyBorder="1" applyAlignment="1">
      <alignment horizontal="center" vertical="top" textRotation="90"/>
    </xf>
  </cellXfs>
  <cellStyles count="12">
    <cellStyle name="Euro" xfId="3" xr:uid="{00000000-0005-0000-0000-000000000000}"/>
    <cellStyle name="Komma" xfId="1" builtinId="3"/>
    <cellStyle name="Komma 2" xfId="10" xr:uid="{00000000-0005-0000-0000-000002000000}"/>
    <cellStyle name="Standaard" xfId="0" builtinId="0"/>
    <cellStyle name="Standaard 2" xfId="4" xr:uid="{00000000-0005-0000-0000-000004000000}"/>
    <cellStyle name="Standaard 2 2" xfId="9" xr:uid="{00000000-0005-0000-0000-000005000000}"/>
    <cellStyle name="Standaard 3" xfId="7" xr:uid="{00000000-0005-0000-0000-000006000000}"/>
    <cellStyle name="Standaard 4" xfId="8" xr:uid="{00000000-0005-0000-0000-000007000000}"/>
    <cellStyle name="Valuta" xfId="2" builtinId="4"/>
    <cellStyle name="Valuta 2" xfId="5" xr:uid="{00000000-0005-0000-0000-000009000000}"/>
    <cellStyle name="Valuta 3" xfId="6" xr:uid="{00000000-0005-0000-0000-00000A000000}"/>
    <cellStyle name="Valuta 4" xfId="11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ERWERK\Brand\GEMEENTN\JAN-2000\ZUNDRT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cificatie"/>
    </sheetNames>
    <sheetDataSet>
      <sheetData sheetId="0">
        <row r="4">
          <cell r="C4">
            <v>0.77500000000000002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erkhout, Dominique" id="{DAA49E4C-9F6E-4E1E-B931-A44C6BAE75A2}" userId="S::dober@gooisemeren.nl::376371e7-3512-4879-9a2a-6be9c7f86a3d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6" dT="2024-02-15T12:51:22.90" personId="{DAA49E4C-9F6E-4E1E-B931-A44C6BAE75A2}" id="{B2A4CF54-AF07-4B7E-9FE5-C30D2C37D530}">
    <text>Parkeergarage is onderdeel van VVE en is verzekerd via VVE. De opstal moet komen te vervallen en allen de inventaris moet verzekerd blijven.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9"/>
  <sheetViews>
    <sheetView tabSelected="1" zoomScaleNormal="100" workbookViewId="0">
      <pane ySplit="1" topLeftCell="A54" activePane="bottomLeft" state="frozen"/>
      <selection activeCell="B19" sqref="B19"/>
      <selection pane="bottomLeft" activeCell="W38" sqref="W38"/>
    </sheetView>
  </sheetViews>
  <sheetFormatPr defaultColWidth="9.33203125" defaultRowHeight="13.2"/>
  <cols>
    <col min="1" max="1" width="14.77734375" style="74" bestFit="1" customWidth="1"/>
    <col min="2" max="2" width="42.33203125" style="4" bestFit="1" customWidth="1"/>
    <col min="3" max="4" width="10.21875" style="5" customWidth="1"/>
    <col min="5" max="5" width="13.77734375" style="5" bestFit="1" customWidth="1"/>
    <col min="6" max="6" width="40.33203125" style="4" customWidth="1"/>
    <col min="7" max="7" width="9.77734375" style="9" bestFit="1" customWidth="1"/>
    <col min="8" max="12" width="19.44140625" style="6" hidden="1" customWidth="1"/>
    <col min="13" max="19" width="20" style="6" hidden="1" customWidth="1"/>
    <col min="20" max="21" width="20" style="6" customWidth="1"/>
    <col min="22" max="22" width="19.6640625" style="7" bestFit="1" customWidth="1"/>
    <col min="23" max="23" width="16.33203125" style="3" bestFit="1" customWidth="1"/>
    <col min="24" max="16384" width="9.33203125" style="3"/>
  </cols>
  <sheetData>
    <row r="1" spans="1:22" s="2" customFormat="1" ht="12.75" customHeight="1">
      <c r="A1" s="233" t="s">
        <v>303</v>
      </c>
      <c r="B1" s="54" t="s">
        <v>71</v>
      </c>
      <c r="C1" s="55" t="s">
        <v>285</v>
      </c>
      <c r="D1" s="55" t="s">
        <v>72</v>
      </c>
      <c r="E1" s="55" t="s">
        <v>161</v>
      </c>
      <c r="F1" s="56" t="s">
        <v>70</v>
      </c>
      <c r="G1" s="256" t="s">
        <v>181</v>
      </c>
      <c r="H1" s="57" t="s">
        <v>73</v>
      </c>
      <c r="I1" s="133" t="s">
        <v>73</v>
      </c>
      <c r="J1" s="133" t="s">
        <v>73</v>
      </c>
      <c r="K1" s="133" t="s">
        <v>73</v>
      </c>
      <c r="L1" s="133" t="s">
        <v>73</v>
      </c>
      <c r="M1" s="57" t="s">
        <v>73</v>
      </c>
      <c r="N1" s="133" t="s">
        <v>73</v>
      </c>
      <c r="O1" s="57" t="s">
        <v>73</v>
      </c>
      <c r="P1" s="133" t="s">
        <v>73</v>
      </c>
      <c r="Q1" s="57" t="s">
        <v>73</v>
      </c>
      <c r="R1" s="133" t="s">
        <v>73</v>
      </c>
      <c r="S1" s="57" t="s">
        <v>73</v>
      </c>
      <c r="T1" s="133" t="s">
        <v>73</v>
      </c>
      <c r="U1" s="57" t="s">
        <v>73</v>
      </c>
      <c r="V1" s="58" t="s">
        <v>0</v>
      </c>
    </row>
    <row r="2" spans="1:22" s="2" customFormat="1" ht="12.75" customHeight="1">
      <c r="A2" s="233" t="s">
        <v>304</v>
      </c>
      <c r="B2" s="59"/>
      <c r="C2" s="42"/>
      <c r="D2" s="42"/>
      <c r="E2" s="42"/>
      <c r="F2" s="41"/>
      <c r="G2" s="257"/>
      <c r="H2" s="40" t="s">
        <v>74</v>
      </c>
      <c r="I2" s="138" t="s">
        <v>74</v>
      </c>
      <c r="J2" s="138" t="s">
        <v>74</v>
      </c>
      <c r="K2" s="138" t="s">
        <v>74</v>
      </c>
      <c r="L2" s="138" t="s">
        <v>74</v>
      </c>
      <c r="M2" s="40" t="s">
        <v>75</v>
      </c>
      <c r="N2" s="138" t="s">
        <v>74</v>
      </c>
      <c r="O2" s="40" t="s">
        <v>75</v>
      </c>
      <c r="P2" s="138" t="s">
        <v>74</v>
      </c>
      <c r="Q2" s="40" t="s">
        <v>75</v>
      </c>
      <c r="R2" s="138" t="s">
        <v>74</v>
      </c>
      <c r="S2" s="40" t="s">
        <v>75</v>
      </c>
      <c r="T2" s="138" t="s">
        <v>74</v>
      </c>
      <c r="U2" s="40" t="s">
        <v>75</v>
      </c>
      <c r="V2" s="60" t="s">
        <v>76</v>
      </c>
    </row>
    <row r="3" spans="1:22" s="2" customFormat="1">
      <c r="A3" s="234"/>
      <c r="B3" s="59"/>
      <c r="C3" s="42"/>
      <c r="D3" s="42"/>
      <c r="E3" s="42"/>
      <c r="F3" s="41"/>
      <c r="G3" s="257"/>
      <c r="H3" s="43">
        <v>43100</v>
      </c>
      <c r="I3" s="139">
        <v>43465</v>
      </c>
      <c r="J3" s="139">
        <v>43830</v>
      </c>
      <c r="K3" s="139">
        <v>44196</v>
      </c>
      <c r="L3" s="139">
        <v>44561</v>
      </c>
      <c r="M3" s="43"/>
      <c r="N3" s="139">
        <v>44926</v>
      </c>
      <c r="O3" s="139">
        <v>44926</v>
      </c>
      <c r="P3" s="139">
        <v>45291</v>
      </c>
      <c r="Q3" s="139">
        <v>45291</v>
      </c>
      <c r="R3" s="139">
        <v>45657</v>
      </c>
      <c r="S3" s="139">
        <v>45657</v>
      </c>
      <c r="T3" s="139">
        <v>46022</v>
      </c>
      <c r="U3" s="139">
        <v>46022</v>
      </c>
      <c r="V3" s="61"/>
    </row>
    <row r="4" spans="1:22" s="2" customFormat="1" ht="15" customHeight="1" thickBot="1">
      <c r="A4" s="234"/>
      <c r="B4" s="62"/>
      <c r="C4" s="63"/>
      <c r="D4" s="63"/>
      <c r="E4" s="63"/>
      <c r="F4" s="64"/>
      <c r="G4" s="258"/>
      <c r="H4" s="65" t="s">
        <v>235</v>
      </c>
      <c r="I4" s="144" t="s">
        <v>247</v>
      </c>
      <c r="J4" s="144" t="s">
        <v>252</v>
      </c>
      <c r="K4" s="144" t="s">
        <v>254</v>
      </c>
      <c r="L4" s="144" t="s">
        <v>270</v>
      </c>
      <c r="M4" s="65"/>
      <c r="N4" s="144" t="s">
        <v>369</v>
      </c>
      <c r="O4" s="144" t="s">
        <v>370</v>
      </c>
      <c r="P4" s="144" t="s">
        <v>410</v>
      </c>
      <c r="Q4" s="144" t="s">
        <v>409</v>
      </c>
      <c r="R4" s="144" t="s">
        <v>475</v>
      </c>
      <c r="S4" s="144" t="s">
        <v>474</v>
      </c>
      <c r="T4" s="144" t="s">
        <v>611</v>
      </c>
      <c r="U4" s="144" t="s">
        <v>610</v>
      </c>
      <c r="V4" s="66"/>
    </row>
    <row r="5" spans="1:22" s="2" customFormat="1" ht="13.5" customHeight="1">
      <c r="A5" s="235"/>
      <c r="B5" s="39" t="s">
        <v>60</v>
      </c>
      <c r="C5" s="29"/>
      <c r="D5" s="29"/>
      <c r="E5" s="29"/>
      <c r="F5" s="37"/>
      <c r="G5" s="38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2.75" customHeight="1">
      <c r="A6" s="154" t="s">
        <v>481</v>
      </c>
      <c r="B6" s="48" t="s">
        <v>16</v>
      </c>
      <c r="C6" s="45">
        <v>18</v>
      </c>
      <c r="D6" s="45" t="s">
        <v>232</v>
      </c>
      <c r="E6" s="45" t="s">
        <v>183</v>
      </c>
      <c r="F6" s="47" t="s">
        <v>155</v>
      </c>
      <c r="G6" s="44"/>
      <c r="H6" s="32">
        <v>1366400</v>
      </c>
      <c r="I6" s="32">
        <f>ROUND(H6/125*131.5,-2)</f>
        <v>1437500</v>
      </c>
      <c r="J6" s="32">
        <f>ROUND(I6/131.5*140.3,-2)</f>
        <v>1533700</v>
      </c>
      <c r="K6" s="32">
        <f>ROUND(J6/140.3*150.8,-2)</f>
        <v>1648500</v>
      </c>
      <c r="L6" s="32">
        <v>1730500</v>
      </c>
      <c r="M6" s="36">
        <f>118500+11000</f>
        <v>129500</v>
      </c>
      <c r="N6" s="32">
        <f>ROUND(L6/158.3*175.4,-2)</f>
        <v>1917400</v>
      </c>
      <c r="O6" s="32">
        <f>ROUND(M6/126.6*140.8,-2)</f>
        <v>144000</v>
      </c>
      <c r="P6" s="32">
        <f>ROUND(N6/119.7*125.2,-2)</f>
        <v>2005500</v>
      </c>
      <c r="Q6" s="32">
        <f>ROUND(O6/115.1*123.3,-2)</f>
        <v>154300</v>
      </c>
      <c r="R6" s="32">
        <f>ROUND(P6/125.2*131.8,-2)</f>
        <v>2111200</v>
      </c>
      <c r="S6" s="32">
        <f>ROUND(Q6/123.3*128.3,-2)</f>
        <v>160600</v>
      </c>
      <c r="T6" s="32">
        <f>ROUND(R6/131.8*136.2,-2)</f>
        <v>2181700</v>
      </c>
      <c r="U6" s="32">
        <f>ROUND(S6/128.3*132.4,-2)</f>
        <v>165700</v>
      </c>
      <c r="V6" s="33">
        <f>T6+U6</f>
        <v>2347400</v>
      </c>
    </row>
    <row r="7" spans="1:22" ht="12.75" customHeight="1">
      <c r="A7" s="160" t="s">
        <v>482</v>
      </c>
      <c r="B7" s="49" t="s">
        <v>7</v>
      </c>
      <c r="C7" s="45" t="s">
        <v>458</v>
      </c>
      <c r="D7" s="45"/>
      <c r="E7" s="45" t="s">
        <v>183</v>
      </c>
      <c r="F7" s="47" t="s">
        <v>67</v>
      </c>
      <c r="G7" s="44" t="s">
        <v>471</v>
      </c>
      <c r="H7" s="32">
        <v>58900</v>
      </c>
      <c r="I7" s="51">
        <f t="shared" ref="I7:I40" si="0">ROUND(H7/125*131.5,-2)</f>
        <v>62000</v>
      </c>
      <c r="J7" s="32">
        <f t="shared" ref="J7:J40" si="1">ROUND(I7/131.5*140.3,-2)</f>
        <v>66100</v>
      </c>
      <c r="K7" s="32">
        <f t="shared" ref="K7:K40" si="2">ROUND(J7/140.3*150.8,-2)</f>
        <v>71000</v>
      </c>
      <c r="L7" s="32">
        <v>74500</v>
      </c>
      <c r="M7" s="36">
        <v>0</v>
      </c>
      <c r="N7" s="213">
        <v>85000</v>
      </c>
      <c r="O7" s="32">
        <f t="shared" ref="O7:O41" si="3">ROUND(M7/126.6*140.8,-2)</f>
        <v>0</v>
      </c>
      <c r="P7" s="32">
        <f t="shared" ref="P7:P42" si="4">ROUND(N7/119.7*125.2,-2)</f>
        <v>88900</v>
      </c>
      <c r="Q7" s="32">
        <f t="shared" ref="Q7:Q42" si="5">ROUND(O7/115.1*123.3,-2)</f>
        <v>0</v>
      </c>
      <c r="R7" s="32">
        <f t="shared" ref="R7:R42" si="6">ROUND(P7/125.2*131.8,-2)</f>
        <v>93600</v>
      </c>
      <c r="S7" s="32">
        <f t="shared" ref="S7:S42" si="7">ROUND(Q7/123.3*128.3,-2)</f>
        <v>0</v>
      </c>
      <c r="T7" s="32">
        <f t="shared" ref="T7:T61" si="8">ROUND(R7/131.8*136.2,-2)</f>
        <v>96700</v>
      </c>
      <c r="U7" s="32">
        <f t="shared" ref="U7:U61" si="9">ROUND(S7/128.3*132.4,-2)</f>
        <v>0</v>
      </c>
      <c r="V7" s="33">
        <f t="shared" ref="V7:V61" si="10">T7+U7</f>
        <v>96700</v>
      </c>
    </row>
    <row r="8" spans="1:22" ht="12.75" customHeight="1">
      <c r="A8" s="154" t="s">
        <v>483</v>
      </c>
      <c r="B8" s="49" t="s">
        <v>43</v>
      </c>
      <c r="C8" s="223">
        <v>1</v>
      </c>
      <c r="D8" s="223" t="s">
        <v>188</v>
      </c>
      <c r="E8" s="45" t="s">
        <v>183</v>
      </c>
      <c r="F8" s="47" t="s">
        <v>57</v>
      </c>
      <c r="G8" s="44" t="s">
        <v>471</v>
      </c>
      <c r="H8" s="32">
        <v>2976700</v>
      </c>
      <c r="I8" s="51">
        <f t="shared" si="0"/>
        <v>3131500</v>
      </c>
      <c r="J8" s="32">
        <f t="shared" si="1"/>
        <v>3341100</v>
      </c>
      <c r="K8" s="32">
        <f t="shared" si="2"/>
        <v>3591100</v>
      </c>
      <c r="L8" s="32">
        <v>3769700</v>
      </c>
      <c r="M8" s="36">
        <v>0</v>
      </c>
      <c r="N8" s="213">
        <v>3750000</v>
      </c>
      <c r="O8" s="32">
        <f t="shared" si="3"/>
        <v>0</v>
      </c>
      <c r="P8" s="32">
        <f t="shared" si="4"/>
        <v>3922300</v>
      </c>
      <c r="Q8" s="32">
        <f t="shared" si="5"/>
        <v>0</v>
      </c>
      <c r="R8" s="32">
        <f t="shared" si="6"/>
        <v>4129100</v>
      </c>
      <c r="S8" s="32">
        <f t="shared" si="7"/>
        <v>0</v>
      </c>
      <c r="T8" s="32">
        <f t="shared" si="8"/>
        <v>4266900</v>
      </c>
      <c r="U8" s="32">
        <f t="shared" si="9"/>
        <v>0</v>
      </c>
      <c r="V8" s="33">
        <f t="shared" si="10"/>
        <v>4266900</v>
      </c>
    </row>
    <row r="9" spans="1:22" ht="12.75" customHeight="1">
      <c r="A9" s="154" t="s">
        <v>484</v>
      </c>
      <c r="B9" s="48" t="s">
        <v>13</v>
      </c>
      <c r="C9" s="45">
        <v>17</v>
      </c>
      <c r="D9" s="45" t="s">
        <v>189</v>
      </c>
      <c r="E9" s="45" t="s">
        <v>183</v>
      </c>
      <c r="F9" s="46" t="s">
        <v>14</v>
      </c>
      <c r="G9" s="44" t="s">
        <v>471</v>
      </c>
      <c r="H9" s="32">
        <v>1006500</v>
      </c>
      <c r="I9" s="51">
        <f t="shared" si="0"/>
        <v>1058800</v>
      </c>
      <c r="J9" s="32">
        <f t="shared" si="1"/>
        <v>1129700</v>
      </c>
      <c r="K9" s="32">
        <f t="shared" si="2"/>
        <v>1214200</v>
      </c>
      <c r="L9" s="32">
        <v>1274600</v>
      </c>
      <c r="M9" s="36">
        <f>76000+4300</f>
        <v>80300</v>
      </c>
      <c r="N9" s="213">
        <v>1400000</v>
      </c>
      <c r="O9" s="32">
        <f t="shared" si="3"/>
        <v>89300</v>
      </c>
      <c r="P9" s="32">
        <f t="shared" si="4"/>
        <v>1464300</v>
      </c>
      <c r="Q9" s="32">
        <f t="shared" si="5"/>
        <v>95700</v>
      </c>
      <c r="R9" s="32">
        <f t="shared" si="6"/>
        <v>1541500</v>
      </c>
      <c r="S9" s="32">
        <f t="shared" si="7"/>
        <v>99600</v>
      </c>
      <c r="T9" s="32">
        <f t="shared" si="8"/>
        <v>1593000</v>
      </c>
      <c r="U9" s="32">
        <f t="shared" si="9"/>
        <v>102800</v>
      </c>
      <c r="V9" s="33">
        <f t="shared" si="10"/>
        <v>1695800</v>
      </c>
    </row>
    <row r="10" spans="1:22" ht="12.75" customHeight="1">
      <c r="A10" s="154" t="s">
        <v>485</v>
      </c>
      <c r="B10" s="48" t="s">
        <v>7</v>
      </c>
      <c r="C10" s="45">
        <v>33</v>
      </c>
      <c r="D10" s="45" t="s">
        <v>190</v>
      </c>
      <c r="E10" s="45" t="s">
        <v>183</v>
      </c>
      <c r="F10" s="224" t="s">
        <v>154</v>
      </c>
      <c r="G10" s="44"/>
      <c r="H10" s="32">
        <v>0</v>
      </c>
      <c r="I10" s="51">
        <f t="shared" si="0"/>
        <v>0</v>
      </c>
      <c r="J10" s="32">
        <f t="shared" si="1"/>
        <v>0</v>
      </c>
      <c r="K10" s="32">
        <f t="shared" si="2"/>
        <v>0</v>
      </c>
      <c r="L10" s="32">
        <v>0</v>
      </c>
      <c r="M10" s="36">
        <f>276500+27000</f>
        <v>303500</v>
      </c>
      <c r="N10" s="32">
        <f t="shared" ref="N10" si="11">ROUND(L10/158.3*175.4,-2)</f>
        <v>0</v>
      </c>
      <c r="O10" s="32">
        <f t="shared" si="3"/>
        <v>337500</v>
      </c>
      <c r="P10" s="32">
        <f t="shared" si="4"/>
        <v>0</v>
      </c>
      <c r="Q10" s="32">
        <f t="shared" si="5"/>
        <v>361500</v>
      </c>
      <c r="R10" s="32">
        <f t="shared" si="6"/>
        <v>0</v>
      </c>
      <c r="S10" s="32">
        <f t="shared" si="7"/>
        <v>376200</v>
      </c>
      <c r="T10" s="32">
        <f t="shared" si="8"/>
        <v>0</v>
      </c>
      <c r="U10" s="32">
        <f t="shared" si="9"/>
        <v>388200</v>
      </c>
      <c r="V10" s="33">
        <f t="shared" si="10"/>
        <v>388200</v>
      </c>
    </row>
    <row r="11" spans="1:22" ht="12.75" customHeight="1">
      <c r="A11" s="154" t="s">
        <v>482</v>
      </c>
      <c r="B11" s="48" t="s">
        <v>7</v>
      </c>
      <c r="C11" s="45">
        <v>35</v>
      </c>
      <c r="D11" s="45" t="s">
        <v>190</v>
      </c>
      <c r="E11" s="45" t="s">
        <v>183</v>
      </c>
      <c r="F11" s="47" t="s">
        <v>449</v>
      </c>
      <c r="G11" s="44" t="s">
        <v>471</v>
      </c>
      <c r="H11" s="36">
        <v>17604900</v>
      </c>
      <c r="I11" s="36">
        <f t="shared" si="0"/>
        <v>18520400</v>
      </c>
      <c r="J11" s="36">
        <f t="shared" si="1"/>
        <v>19759800</v>
      </c>
      <c r="K11" s="32">
        <f t="shared" si="2"/>
        <v>21238600</v>
      </c>
      <c r="L11" s="32">
        <v>22294900</v>
      </c>
      <c r="M11" s="36">
        <v>3735600</v>
      </c>
      <c r="N11" s="213">
        <v>28500000</v>
      </c>
      <c r="O11" s="32">
        <f t="shared" si="3"/>
        <v>4154600</v>
      </c>
      <c r="P11" s="32">
        <f t="shared" si="4"/>
        <v>29809500</v>
      </c>
      <c r="Q11" s="32">
        <f t="shared" si="5"/>
        <v>4450600</v>
      </c>
      <c r="R11" s="32">
        <f t="shared" si="6"/>
        <v>31380900</v>
      </c>
      <c r="S11" s="32">
        <f t="shared" si="7"/>
        <v>4631100</v>
      </c>
      <c r="T11" s="32">
        <f t="shared" si="8"/>
        <v>32428500</v>
      </c>
      <c r="U11" s="32">
        <f t="shared" si="9"/>
        <v>4779100</v>
      </c>
      <c r="V11" s="33">
        <f t="shared" si="10"/>
        <v>37207600</v>
      </c>
    </row>
    <row r="12" spans="1:22" ht="12.75" customHeight="1">
      <c r="A12" s="154" t="s">
        <v>486</v>
      </c>
      <c r="B12" s="48" t="s">
        <v>7</v>
      </c>
      <c r="C12" s="45">
        <v>140</v>
      </c>
      <c r="D12" s="45" t="s">
        <v>191</v>
      </c>
      <c r="E12" s="45" t="s">
        <v>183</v>
      </c>
      <c r="F12" s="47" t="s">
        <v>56</v>
      </c>
      <c r="G12" s="44" t="s">
        <v>471</v>
      </c>
      <c r="H12" s="32">
        <v>4424100</v>
      </c>
      <c r="I12" s="51">
        <f t="shared" si="0"/>
        <v>4654200</v>
      </c>
      <c r="J12" s="32">
        <f t="shared" si="1"/>
        <v>4965700</v>
      </c>
      <c r="K12" s="32">
        <f t="shared" si="2"/>
        <v>5337300</v>
      </c>
      <c r="L12" s="32">
        <v>5602700</v>
      </c>
      <c r="M12" s="36">
        <v>0</v>
      </c>
      <c r="N12" s="213">
        <v>6100000</v>
      </c>
      <c r="O12" s="32">
        <f t="shared" si="3"/>
        <v>0</v>
      </c>
      <c r="P12" s="32">
        <f t="shared" si="4"/>
        <v>6380300</v>
      </c>
      <c r="Q12" s="32">
        <f t="shared" si="5"/>
        <v>0</v>
      </c>
      <c r="R12" s="32">
        <f t="shared" si="6"/>
        <v>6716600</v>
      </c>
      <c r="S12" s="32">
        <f t="shared" si="7"/>
        <v>0</v>
      </c>
      <c r="T12" s="32">
        <f t="shared" si="8"/>
        <v>6940800</v>
      </c>
      <c r="U12" s="32">
        <f t="shared" si="9"/>
        <v>0</v>
      </c>
      <c r="V12" s="33">
        <f t="shared" si="10"/>
        <v>6940800</v>
      </c>
    </row>
    <row r="13" spans="1:22" ht="12.75" customHeight="1">
      <c r="A13" s="154" t="s">
        <v>487</v>
      </c>
      <c r="B13" s="48" t="s">
        <v>7</v>
      </c>
      <c r="C13" s="45" t="s">
        <v>10</v>
      </c>
      <c r="D13" s="45" t="s">
        <v>192</v>
      </c>
      <c r="E13" s="45" t="s">
        <v>183</v>
      </c>
      <c r="F13" s="47" t="s">
        <v>11</v>
      </c>
      <c r="G13" s="44" t="s">
        <v>471</v>
      </c>
      <c r="H13" s="32">
        <v>3728600</v>
      </c>
      <c r="I13" s="51">
        <f t="shared" si="0"/>
        <v>3922500</v>
      </c>
      <c r="J13" s="32">
        <f t="shared" si="1"/>
        <v>4185000</v>
      </c>
      <c r="K13" s="32">
        <f t="shared" si="2"/>
        <v>4498200</v>
      </c>
      <c r="L13" s="32">
        <v>4721900</v>
      </c>
      <c r="M13" s="36">
        <v>0</v>
      </c>
      <c r="N13" s="213">
        <v>4500000</v>
      </c>
      <c r="O13" s="32">
        <f t="shared" si="3"/>
        <v>0</v>
      </c>
      <c r="P13" s="32">
        <f t="shared" si="4"/>
        <v>4706800</v>
      </c>
      <c r="Q13" s="32">
        <f t="shared" si="5"/>
        <v>0</v>
      </c>
      <c r="R13" s="32">
        <f t="shared" si="6"/>
        <v>4954900</v>
      </c>
      <c r="S13" s="32">
        <f t="shared" si="7"/>
        <v>0</v>
      </c>
      <c r="T13" s="32">
        <f t="shared" si="8"/>
        <v>5120300</v>
      </c>
      <c r="U13" s="32">
        <f t="shared" si="9"/>
        <v>0</v>
      </c>
      <c r="V13" s="33">
        <f t="shared" si="10"/>
        <v>5120300</v>
      </c>
    </row>
    <row r="14" spans="1:22">
      <c r="A14" s="154" t="s">
        <v>487</v>
      </c>
      <c r="B14" s="48" t="s">
        <v>7</v>
      </c>
      <c r="C14" s="45" t="s">
        <v>173</v>
      </c>
      <c r="D14" s="45" t="s">
        <v>192</v>
      </c>
      <c r="E14" s="45" t="s">
        <v>183</v>
      </c>
      <c r="F14" s="46" t="s">
        <v>12</v>
      </c>
      <c r="G14" s="44" t="s">
        <v>471</v>
      </c>
      <c r="H14" s="32">
        <v>1529200</v>
      </c>
      <c r="I14" s="51">
        <f t="shared" si="0"/>
        <v>1608700</v>
      </c>
      <c r="J14" s="32">
        <f t="shared" si="1"/>
        <v>1716400</v>
      </c>
      <c r="K14" s="32">
        <f t="shared" si="2"/>
        <v>1844900</v>
      </c>
      <c r="L14" s="32">
        <v>1936700</v>
      </c>
      <c r="M14" s="36">
        <v>0</v>
      </c>
      <c r="N14" s="213">
        <v>2100000</v>
      </c>
      <c r="O14" s="32">
        <f t="shared" si="3"/>
        <v>0</v>
      </c>
      <c r="P14" s="32">
        <f t="shared" si="4"/>
        <v>2196500</v>
      </c>
      <c r="Q14" s="32">
        <f t="shared" si="5"/>
        <v>0</v>
      </c>
      <c r="R14" s="32">
        <f t="shared" si="6"/>
        <v>2312300</v>
      </c>
      <c r="S14" s="32">
        <f t="shared" si="7"/>
        <v>0</v>
      </c>
      <c r="T14" s="32">
        <f t="shared" si="8"/>
        <v>2389500</v>
      </c>
      <c r="U14" s="32">
        <f t="shared" si="9"/>
        <v>0</v>
      </c>
      <c r="V14" s="33">
        <f t="shared" si="10"/>
        <v>2389500</v>
      </c>
    </row>
    <row r="15" spans="1:22" ht="39.6">
      <c r="A15" s="155" t="s">
        <v>488</v>
      </c>
      <c r="B15" s="48" t="s">
        <v>2</v>
      </c>
      <c r="C15" s="45" t="s">
        <v>469</v>
      </c>
      <c r="D15" s="45" t="s">
        <v>193</v>
      </c>
      <c r="E15" s="45" t="s">
        <v>183</v>
      </c>
      <c r="F15" s="47" t="s">
        <v>3</v>
      </c>
      <c r="G15" s="44" t="s">
        <v>471</v>
      </c>
      <c r="H15" s="32">
        <v>55200</v>
      </c>
      <c r="I15" s="51">
        <f t="shared" si="0"/>
        <v>58100</v>
      </c>
      <c r="J15" s="32">
        <f t="shared" si="1"/>
        <v>62000</v>
      </c>
      <c r="K15" s="32">
        <f t="shared" si="2"/>
        <v>66600</v>
      </c>
      <c r="L15" s="32">
        <v>69900</v>
      </c>
      <c r="M15" s="36">
        <f>37950+4000</f>
        <v>41950</v>
      </c>
      <c r="N15" s="213">
        <v>300000</v>
      </c>
      <c r="O15" s="32">
        <f t="shared" si="3"/>
        <v>46700</v>
      </c>
      <c r="P15" s="32">
        <f>ROUND(N15/124.9*125.2,-2)</f>
        <v>300700</v>
      </c>
      <c r="Q15" s="32">
        <f t="shared" si="5"/>
        <v>50000</v>
      </c>
      <c r="R15" s="32">
        <f t="shared" si="6"/>
        <v>316600</v>
      </c>
      <c r="S15" s="32">
        <f t="shared" si="7"/>
        <v>52000</v>
      </c>
      <c r="T15" s="32">
        <f t="shared" si="8"/>
        <v>327200</v>
      </c>
      <c r="U15" s="32">
        <f t="shared" si="9"/>
        <v>53700</v>
      </c>
      <c r="V15" s="33">
        <f t="shared" si="10"/>
        <v>380900</v>
      </c>
    </row>
    <row r="16" spans="1:22" ht="12.75" customHeight="1">
      <c r="A16" s="154" t="s">
        <v>489</v>
      </c>
      <c r="B16" s="49" t="s">
        <v>2</v>
      </c>
      <c r="C16" s="45">
        <v>115</v>
      </c>
      <c r="D16" s="45" t="s">
        <v>194</v>
      </c>
      <c r="E16" s="45" t="s">
        <v>183</v>
      </c>
      <c r="F16" s="47" t="s">
        <v>9</v>
      </c>
      <c r="G16" s="44" t="s">
        <v>471</v>
      </c>
      <c r="H16" s="32">
        <v>32800</v>
      </c>
      <c r="I16" s="51">
        <f t="shared" si="0"/>
        <v>34500</v>
      </c>
      <c r="J16" s="32">
        <f t="shared" si="1"/>
        <v>36800</v>
      </c>
      <c r="K16" s="32">
        <f t="shared" si="2"/>
        <v>39600</v>
      </c>
      <c r="L16" s="32">
        <v>41600</v>
      </c>
      <c r="M16" s="36">
        <v>0</v>
      </c>
      <c r="N16" s="213">
        <v>60000</v>
      </c>
      <c r="O16" s="32">
        <f t="shared" si="3"/>
        <v>0</v>
      </c>
      <c r="P16" s="32">
        <f t="shared" si="4"/>
        <v>62800</v>
      </c>
      <c r="Q16" s="32">
        <f t="shared" si="5"/>
        <v>0</v>
      </c>
      <c r="R16" s="32">
        <f t="shared" si="6"/>
        <v>66100</v>
      </c>
      <c r="S16" s="32">
        <f t="shared" si="7"/>
        <v>0</v>
      </c>
      <c r="T16" s="32">
        <f t="shared" si="8"/>
        <v>68300</v>
      </c>
      <c r="U16" s="32">
        <f t="shared" si="9"/>
        <v>0</v>
      </c>
      <c r="V16" s="33">
        <f t="shared" si="10"/>
        <v>68300</v>
      </c>
    </row>
    <row r="17" spans="1:22" ht="12.75" customHeight="1">
      <c r="A17" s="154" t="s">
        <v>490</v>
      </c>
      <c r="B17" s="48" t="s">
        <v>195</v>
      </c>
      <c r="C17" s="45" t="s">
        <v>55</v>
      </c>
      <c r="D17" s="45" t="s">
        <v>196</v>
      </c>
      <c r="E17" s="45" t="s">
        <v>183</v>
      </c>
      <c r="F17" s="47" t="s">
        <v>473</v>
      </c>
      <c r="G17" s="44" t="s">
        <v>471</v>
      </c>
      <c r="H17" s="32">
        <v>973900</v>
      </c>
      <c r="I17" s="51">
        <f t="shared" si="0"/>
        <v>1024500</v>
      </c>
      <c r="J17" s="32">
        <f t="shared" si="1"/>
        <v>1093100</v>
      </c>
      <c r="K17" s="32">
        <f t="shared" si="2"/>
        <v>1174900</v>
      </c>
      <c r="L17" s="32">
        <v>1233300</v>
      </c>
      <c r="M17" s="36">
        <v>0</v>
      </c>
      <c r="N17" s="213">
        <v>3900000</v>
      </c>
      <c r="O17" s="32">
        <f t="shared" si="3"/>
        <v>0</v>
      </c>
      <c r="P17" s="32">
        <f t="shared" si="4"/>
        <v>4079200</v>
      </c>
      <c r="Q17" s="32">
        <f t="shared" si="5"/>
        <v>0</v>
      </c>
      <c r="R17" s="32">
        <f t="shared" si="6"/>
        <v>4294200</v>
      </c>
      <c r="S17" s="32">
        <f t="shared" si="7"/>
        <v>0</v>
      </c>
      <c r="T17" s="32">
        <f t="shared" si="8"/>
        <v>4437600</v>
      </c>
      <c r="U17" s="32">
        <f t="shared" si="9"/>
        <v>0</v>
      </c>
      <c r="V17" s="33">
        <f t="shared" si="10"/>
        <v>4437600</v>
      </c>
    </row>
    <row r="18" spans="1:22" ht="12.75" customHeight="1">
      <c r="A18" s="154" t="s">
        <v>491</v>
      </c>
      <c r="B18" s="48" t="s">
        <v>18</v>
      </c>
      <c r="C18" s="45">
        <v>4</v>
      </c>
      <c r="D18" s="45" t="s">
        <v>197</v>
      </c>
      <c r="E18" s="45" t="s">
        <v>183</v>
      </c>
      <c r="F18" s="46" t="s">
        <v>15</v>
      </c>
      <c r="G18" s="44" t="s">
        <v>471</v>
      </c>
      <c r="H18" s="32">
        <v>1390100</v>
      </c>
      <c r="I18" s="51">
        <f t="shared" si="0"/>
        <v>1462400</v>
      </c>
      <c r="J18" s="32">
        <f t="shared" si="1"/>
        <v>1560300</v>
      </c>
      <c r="K18" s="32">
        <f t="shared" si="2"/>
        <v>1677100</v>
      </c>
      <c r="L18" s="32">
        <v>1760500</v>
      </c>
      <c r="M18" s="36">
        <f>78000+3900</f>
        <v>81900</v>
      </c>
      <c r="N18" s="213">
        <v>1750000</v>
      </c>
      <c r="O18" s="32">
        <f t="shared" si="3"/>
        <v>91100</v>
      </c>
      <c r="P18" s="32">
        <f t="shared" si="4"/>
        <v>1830400</v>
      </c>
      <c r="Q18" s="32">
        <f t="shared" si="5"/>
        <v>97600</v>
      </c>
      <c r="R18" s="32">
        <f t="shared" si="6"/>
        <v>1926900</v>
      </c>
      <c r="S18" s="32">
        <f t="shared" si="7"/>
        <v>101600</v>
      </c>
      <c r="T18" s="32">
        <f t="shared" si="8"/>
        <v>1991200</v>
      </c>
      <c r="U18" s="32">
        <f t="shared" si="9"/>
        <v>104800</v>
      </c>
      <c r="V18" s="33">
        <f t="shared" si="10"/>
        <v>2096000</v>
      </c>
    </row>
    <row r="19" spans="1:22" ht="26.4">
      <c r="A19" s="155" t="s">
        <v>492</v>
      </c>
      <c r="B19" s="48" t="s">
        <v>467</v>
      </c>
      <c r="C19" s="45">
        <v>1</v>
      </c>
      <c r="D19" s="45" t="s">
        <v>468</v>
      </c>
      <c r="E19" s="45" t="s">
        <v>183</v>
      </c>
      <c r="F19" s="47" t="s">
        <v>6</v>
      </c>
      <c r="G19" s="44" t="s">
        <v>471</v>
      </c>
      <c r="H19" s="32">
        <v>1252000</v>
      </c>
      <c r="I19" s="51">
        <f t="shared" si="0"/>
        <v>1317100</v>
      </c>
      <c r="J19" s="32">
        <f t="shared" si="1"/>
        <v>1405200</v>
      </c>
      <c r="K19" s="32">
        <f t="shared" si="2"/>
        <v>1510400</v>
      </c>
      <c r="L19" s="32">
        <v>1585500</v>
      </c>
      <c r="M19" s="36">
        <v>0</v>
      </c>
      <c r="N19" s="213">
        <v>1500000</v>
      </c>
      <c r="O19" s="32">
        <f t="shared" si="3"/>
        <v>0</v>
      </c>
      <c r="P19" s="32">
        <f>ROUND(N19/124.9*125.2,-2)</f>
        <v>1503600</v>
      </c>
      <c r="Q19" s="32">
        <f t="shared" si="5"/>
        <v>0</v>
      </c>
      <c r="R19" s="32">
        <f t="shared" si="6"/>
        <v>1582900</v>
      </c>
      <c r="S19" s="32">
        <f t="shared" si="7"/>
        <v>0</v>
      </c>
      <c r="T19" s="32">
        <f t="shared" si="8"/>
        <v>1635700</v>
      </c>
      <c r="U19" s="32">
        <f t="shared" si="9"/>
        <v>0</v>
      </c>
      <c r="V19" s="33">
        <f t="shared" si="10"/>
        <v>1635700</v>
      </c>
    </row>
    <row r="20" spans="1:22" ht="12.75" customHeight="1">
      <c r="A20" s="154" t="s">
        <v>493</v>
      </c>
      <c r="B20" s="48" t="s">
        <v>1</v>
      </c>
      <c r="C20" s="45" t="s">
        <v>240</v>
      </c>
      <c r="D20" s="45" t="s">
        <v>198</v>
      </c>
      <c r="E20" s="45" t="s">
        <v>183</v>
      </c>
      <c r="F20" s="47" t="s">
        <v>241</v>
      </c>
      <c r="G20" s="44" t="s">
        <v>471</v>
      </c>
      <c r="H20" s="32">
        <v>189500</v>
      </c>
      <c r="I20" s="69">
        <v>189500</v>
      </c>
      <c r="J20" s="32">
        <f>ROUND(I20/134.2*140.3,-2)</f>
        <v>198100</v>
      </c>
      <c r="K20" s="32">
        <f t="shared" si="2"/>
        <v>212900</v>
      </c>
      <c r="L20" s="32">
        <v>223500</v>
      </c>
      <c r="M20" s="69">
        <v>0</v>
      </c>
      <c r="N20" s="213">
        <v>250000</v>
      </c>
      <c r="O20" s="32">
        <f t="shared" si="3"/>
        <v>0</v>
      </c>
      <c r="P20" s="32">
        <f t="shared" si="4"/>
        <v>261500</v>
      </c>
      <c r="Q20" s="32">
        <f t="shared" si="5"/>
        <v>0</v>
      </c>
      <c r="R20" s="32">
        <f t="shared" si="6"/>
        <v>275300</v>
      </c>
      <c r="S20" s="32">
        <f t="shared" si="7"/>
        <v>0</v>
      </c>
      <c r="T20" s="32">
        <f t="shared" si="8"/>
        <v>284500</v>
      </c>
      <c r="U20" s="32">
        <f t="shared" si="9"/>
        <v>0</v>
      </c>
      <c r="V20" s="33">
        <f t="shared" si="10"/>
        <v>284500</v>
      </c>
    </row>
    <row r="21" spans="1:22" ht="39.6">
      <c r="A21" s="155" t="s">
        <v>494</v>
      </c>
      <c r="B21" s="49" t="s">
        <v>1</v>
      </c>
      <c r="C21" s="45">
        <v>51</v>
      </c>
      <c r="D21" s="45" t="s">
        <v>198</v>
      </c>
      <c r="E21" s="45" t="s">
        <v>183</v>
      </c>
      <c r="F21" s="47" t="s">
        <v>454</v>
      </c>
      <c r="G21" s="44" t="s">
        <v>471</v>
      </c>
      <c r="H21" s="32">
        <v>171900</v>
      </c>
      <c r="I21" s="51">
        <f t="shared" si="0"/>
        <v>180800</v>
      </c>
      <c r="J21" s="32">
        <f t="shared" si="1"/>
        <v>192900</v>
      </c>
      <c r="K21" s="32">
        <f t="shared" si="2"/>
        <v>207300</v>
      </c>
      <c r="L21" s="32">
        <v>217600</v>
      </c>
      <c r="M21" s="205">
        <f>299800+55000</f>
        <v>354800</v>
      </c>
      <c r="N21" s="213">
        <v>1920000</v>
      </c>
      <c r="O21" s="221">
        <f t="shared" si="3"/>
        <v>394600</v>
      </c>
      <c r="P21" s="32">
        <f t="shared" si="4"/>
        <v>2008200</v>
      </c>
      <c r="Q21" s="32">
        <f t="shared" si="5"/>
        <v>422700</v>
      </c>
      <c r="R21" s="32">
        <f t="shared" si="6"/>
        <v>2114100</v>
      </c>
      <c r="S21" s="32">
        <f t="shared" si="7"/>
        <v>439800</v>
      </c>
      <c r="T21" s="32">
        <f t="shared" si="8"/>
        <v>2184700</v>
      </c>
      <c r="U21" s="32">
        <f t="shared" si="9"/>
        <v>453900</v>
      </c>
      <c r="V21" s="33">
        <f t="shared" si="10"/>
        <v>2638600</v>
      </c>
    </row>
    <row r="22" spans="1:22" ht="12.75" customHeight="1">
      <c r="A22" s="154" t="s">
        <v>495</v>
      </c>
      <c r="B22" s="48" t="s">
        <v>1</v>
      </c>
      <c r="C22" s="45" t="s">
        <v>456</v>
      </c>
      <c r="D22" s="45" t="s">
        <v>198</v>
      </c>
      <c r="E22" s="45" t="s">
        <v>183</v>
      </c>
      <c r="F22" s="47" t="s">
        <v>174</v>
      </c>
      <c r="G22" s="44" t="s">
        <v>471</v>
      </c>
      <c r="H22" s="32">
        <v>4018800</v>
      </c>
      <c r="I22" s="51">
        <f t="shared" si="0"/>
        <v>4227800</v>
      </c>
      <c r="J22" s="32">
        <f t="shared" si="1"/>
        <v>4510700</v>
      </c>
      <c r="K22" s="32">
        <f t="shared" si="2"/>
        <v>4848300</v>
      </c>
      <c r="L22" s="32">
        <v>5089400</v>
      </c>
      <c r="M22" s="36">
        <v>0</v>
      </c>
      <c r="N22" s="213">
        <v>6200000</v>
      </c>
      <c r="O22" s="32">
        <f t="shared" si="3"/>
        <v>0</v>
      </c>
      <c r="P22" s="32">
        <f t="shared" si="4"/>
        <v>6484900</v>
      </c>
      <c r="Q22" s="32">
        <f t="shared" si="5"/>
        <v>0</v>
      </c>
      <c r="R22" s="32">
        <f t="shared" si="6"/>
        <v>6826800</v>
      </c>
      <c r="S22" s="32">
        <f t="shared" si="7"/>
        <v>0</v>
      </c>
      <c r="T22" s="32">
        <f t="shared" si="8"/>
        <v>7054700</v>
      </c>
      <c r="U22" s="32">
        <f t="shared" si="9"/>
        <v>0</v>
      </c>
      <c r="V22" s="33">
        <f t="shared" si="10"/>
        <v>7054700</v>
      </c>
    </row>
    <row r="23" spans="1:22" ht="12.75" customHeight="1">
      <c r="A23" s="154" t="s">
        <v>496</v>
      </c>
      <c r="B23" s="48" t="s">
        <v>1</v>
      </c>
      <c r="C23" s="45" t="s">
        <v>455</v>
      </c>
      <c r="D23" s="45" t="s">
        <v>198</v>
      </c>
      <c r="E23" s="45" t="s">
        <v>183</v>
      </c>
      <c r="F23" s="46" t="s">
        <v>15</v>
      </c>
      <c r="G23" s="44" t="s">
        <v>471</v>
      </c>
      <c r="H23" s="32">
        <v>869500</v>
      </c>
      <c r="I23" s="51">
        <f t="shared" si="0"/>
        <v>914700</v>
      </c>
      <c r="J23" s="32">
        <f t="shared" si="1"/>
        <v>975900</v>
      </c>
      <c r="K23" s="32">
        <f t="shared" si="2"/>
        <v>1048900</v>
      </c>
      <c r="L23" s="32">
        <v>1101100</v>
      </c>
      <c r="M23" s="36">
        <f>86000+4300</f>
        <v>90300</v>
      </c>
      <c r="N23" s="213">
        <v>1300000</v>
      </c>
      <c r="O23" s="32">
        <f t="shared" si="3"/>
        <v>100400</v>
      </c>
      <c r="P23" s="32">
        <f t="shared" si="4"/>
        <v>1359700</v>
      </c>
      <c r="Q23" s="32">
        <f t="shared" si="5"/>
        <v>107600</v>
      </c>
      <c r="R23" s="32">
        <f t="shared" si="6"/>
        <v>1431400</v>
      </c>
      <c r="S23" s="32">
        <f t="shared" si="7"/>
        <v>112000</v>
      </c>
      <c r="T23" s="32">
        <f t="shared" si="8"/>
        <v>1479200</v>
      </c>
      <c r="U23" s="32">
        <f t="shared" si="9"/>
        <v>115600</v>
      </c>
      <c r="V23" s="33">
        <f t="shared" si="10"/>
        <v>1594800</v>
      </c>
    </row>
    <row r="24" spans="1:22" ht="12.75" customHeight="1">
      <c r="A24" s="154" t="s">
        <v>497</v>
      </c>
      <c r="B24" s="48" t="s">
        <v>19</v>
      </c>
      <c r="C24" s="45" t="s">
        <v>20</v>
      </c>
      <c r="D24" s="45" t="s">
        <v>199</v>
      </c>
      <c r="E24" s="45" t="s">
        <v>183</v>
      </c>
      <c r="F24" s="46" t="s">
        <v>15</v>
      </c>
      <c r="G24" s="44" t="s">
        <v>471</v>
      </c>
      <c r="H24" s="32">
        <v>1002500</v>
      </c>
      <c r="I24" s="51">
        <f t="shared" si="0"/>
        <v>1054600</v>
      </c>
      <c r="J24" s="32">
        <f t="shared" si="1"/>
        <v>1125200</v>
      </c>
      <c r="K24" s="32">
        <f t="shared" si="2"/>
        <v>1209400</v>
      </c>
      <c r="L24" s="32">
        <v>1269500</v>
      </c>
      <c r="M24" s="36">
        <f>76000+3800</f>
        <v>79800</v>
      </c>
      <c r="N24" s="213">
        <v>1400000</v>
      </c>
      <c r="O24" s="32">
        <f t="shared" si="3"/>
        <v>88800</v>
      </c>
      <c r="P24" s="32">
        <f t="shared" si="4"/>
        <v>1464300</v>
      </c>
      <c r="Q24" s="32">
        <f t="shared" si="5"/>
        <v>95100</v>
      </c>
      <c r="R24" s="32">
        <f t="shared" si="6"/>
        <v>1541500</v>
      </c>
      <c r="S24" s="32">
        <f t="shared" si="7"/>
        <v>99000</v>
      </c>
      <c r="T24" s="32">
        <f t="shared" si="8"/>
        <v>1593000</v>
      </c>
      <c r="U24" s="32">
        <f t="shared" si="9"/>
        <v>102200</v>
      </c>
      <c r="V24" s="33">
        <f t="shared" si="10"/>
        <v>1695200</v>
      </c>
    </row>
    <row r="25" spans="1:22" ht="12.75" customHeight="1">
      <c r="A25" s="154" t="s">
        <v>498</v>
      </c>
      <c r="B25" s="48" t="s">
        <v>21</v>
      </c>
      <c r="C25" s="45">
        <v>63</v>
      </c>
      <c r="D25" s="45" t="s">
        <v>200</v>
      </c>
      <c r="E25" s="45" t="s">
        <v>183</v>
      </c>
      <c r="F25" s="47" t="s">
        <v>22</v>
      </c>
      <c r="G25" s="44" t="s">
        <v>471</v>
      </c>
      <c r="H25" s="32">
        <v>751800</v>
      </c>
      <c r="I25" s="51">
        <f t="shared" si="0"/>
        <v>790900</v>
      </c>
      <c r="J25" s="32">
        <f t="shared" si="1"/>
        <v>843800</v>
      </c>
      <c r="K25" s="32">
        <f t="shared" si="2"/>
        <v>906900</v>
      </c>
      <c r="L25" s="32">
        <v>952000</v>
      </c>
      <c r="M25" s="36">
        <v>0</v>
      </c>
      <c r="N25" s="213">
        <v>4000000</v>
      </c>
      <c r="O25" s="32">
        <f t="shared" si="3"/>
        <v>0</v>
      </c>
      <c r="P25" s="32">
        <f t="shared" si="4"/>
        <v>4183800</v>
      </c>
      <c r="Q25" s="32">
        <f t="shared" si="5"/>
        <v>0</v>
      </c>
      <c r="R25" s="32">
        <f t="shared" si="6"/>
        <v>4404400</v>
      </c>
      <c r="S25" s="32">
        <f t="shared" si="7"/>
        <v>0</v>
      </c>
      <c r="T25" s="32">
        <f t="shared" si="8"/>
        <v>4551400</v>
      </c>
      <c r="U25" s="32">
        <f t="shared" si="9"/>
        <v>0</v>
      </c>
      <c r="V25" s="33">
        <f t="shared" si="10"/>
        <v>4551400</v>
      </c>
    </row>
    <row r="26" spans="1:22" ht="12.75" customHeight="1">
      <c r="A26" s="154" t="s">
        <v>499</v>
      </c>
      <c r="B26" s="49" t="s">
        <v>4</v>
      </c>
      <c r="C26" s="45" t="s">
        <v>63</v>
      </c>
      <c r="D26" s="45" t="s">
        <v>201</v>
      </c>
      <c r="E26" s="45" t="s">
        <v>183</v>
      </c>
      <c r="F26" s="47" t="s">
        <v>64</v>
      </c>
      <c r="G26" s="44"/>
      <c r="H26" s="32">
        <v>112500</v>
      </c>
      <c r="I26" s="51">
        <f>H26</f>
        <v>112500</v>
      </c>
      <c r="J26" s="32">
        <f t="shared" si="1"/>
        <v>120000</v>
      </c>
      <c r="K26" s="32">
        <f>J26</f>
        <v>120000</v>
      </c>
      <c r="L26" s="32">
        <v>120000</v>
      </c>
      <c r="M26" s="36">
        <v>0</v>
      </c>
      <c r="N26" s="32">
        <f>L26</f>
        <v>120000</v>
      </c>
      <c r="O26" s="32">
        <f t="shared" si="3"/>
        <v>0</v>
      </c>
      <c r="P26" s="32">
        <f>N26</f>
        <v>120000</v>
      </c>
      <c r="Q26" s="32">
        <f t="shared" si="5"/>
        <v>0</v>
      </c>
      <c r="R26" s="32">
        <f t="shared" si="6"/>
        <v>126300</v>
      </c>
      <c r="S26" s="32">
        <f t="shared" si="7"/>
        <v>0</v>
      </c>
      <c r="T26" s="32">
        <f t="shared" si="8"/>
        <v>130500</v>
      </c>
      <c r="U26" s="32">
        <f t="shared" si="9"/>
        <v>0</v>
      </c>
      <c r="V26" s="33">
        <f t="shared" si="10"/>
        <v>130500</v>
      </c>
    </row>
    <row r="27" spans="1:22" ht="12.75" customHeight="1">
      <c r="A27" s="154" t="s">
        <v>500</v>
      </c>
      <c r="B27" s="48" t="s">
        <v>204</v>
      </c>
      <c r="C27" s="45">
        <v>57</v>
      </c>
      <c r="D27" s="45" t="s">
        <v>202</v>
      </c>
      <c r="E27" s="45" t="s">
        <v>183</v>
      </c>
      <c r="F27" s="47" t="s">
        <v>175</v>
      </c>
      <c r="G27" s="44" t="s">
        <v>471</v>
      </c>
      <c r="H27" s="32">
        <v>278500</v>
      </c>
      <c r="I27" s="51">
        <f t="shared" si="0"/>
        <v>293000</v>
      </c>
      <c r="J27" s="32">
        <f t="shared" si="1"/>
        <v>312600</v>
      </c>
      <c r="K27" s="32">
        <f t="shared" si="2"/>
        <v>336000</v>
      </c>
      <c r="L27" s="32">
        <v>352700</v>
      </c>
      <c r="M27" s="36">
        <v>0</v>
      </c>
      <c r="N27" s="213">
        <v>480000</v>
      </c>
      <c r="O27" s="32">
        <f t="shared" si="3"/>
        <v>0</v>
      </c>
      <c r="P27" s="32">
        <f t="shared" si="4"/>
        <v>502100</v>
      </c>
      <c r="Q27" s="32">
        <f t="shared" si="5"/>
        <v>0</v>
      </c>
      <c r="R27" s="32">
        <f t="shared" si="6"/>
        <v>528600</v>
      </c>
      <c r="S27" s="32">
        <f t="shared" si="7"/>
        <v>0</v>
      </c>
      <c r="T27" s="32">
        <f t="shared" si="8"/>
        <v>546200</v>
      </c>
      <c r="U27" s="32">
        <f t="shared" si="9"/>
        <v>0</v>
      </c>
      <c r="V27" s="33">
        <f t="shared" si="10"/>
        <v>546200</v>
      </c>
    </row>
    <row r="28" spans="1:22" ht="12.75" customHeight="1">
      <c r="A28" s="154" t="s">
        <v>501</v>
      </c>
      <c r="B28" s="48" t="s">
        <v>204</v>
      </c>
      <c r="C28" s="45">
        <v>70</v>
      </c>
      <c r="D28" s="45" t="s">
        <v>203</v>
      </c>
      <c r="E28" s="45" t="s">
        <v>183</v>
      </c>
      <c r="F28" s="47" t="s">
        <v>176</v>
      </c>
      <c r="G28" s="44" t="s">
        <v>471</v>
      </c>
      <c r="H28" s="32">
        <v>759000</v>
      </c>
      <c r="I28" s="51">
        <f t="shared" si="0"/>
        <v>798500</v>
      </c>
      <c r="J28" s="32">
        <f t="shared" si="1"/>
        <v>851900</v>
      </c>
      <c r="K28" s="32">
        <f t="shared" si="2"/>
        <v>915700</v>
      </c>
      <c r="L28" s="32">
        <v>961200</v>
      </c>
      <c r="M28" s="36">
        <f>151200+41700</f>
        <v>192900</v>
      </c>
      <c r="N28" s="213">
        <v>1100000</v>
      </c>
      <c r="O28" s="32">
        <f t="shared" si="3"/>
        <v>214500</v>
      </c>
      <c r="P28" s="32">
        <f t="shared" si="4"/>
        <v>1150500</v>
      </c>
      <c r="Q28" s="32">
        <f t="shared" si="5"/>
        <v>229800</v>
      </c>
      <c r="R28" s="32">
        <f t="shared" si="6"/>
        <v>1211100</v>
      </c>
      <c r="S28" s="32">
        <f t="shared" si="7"/>
        <v>239100</v>
      </c>
      <c r="T28" s="32">
        <f t="shared" si="8"/>
        <v>1251500</v>
      </c>
      <c r="U28" s="32">
        <f t="shared" si="9"/>
        <v>246700</v>
      </c>
      <c r="V28" s="33">
        <f t="shared" si="10"/>
        <v>1498200</v>
      </c>
    </row>
    <row r="29" spans="1:22" ht="12.75" customHeight="1">
      <c r="A29" s="154" t="s">
        <v>502</v>
      </c>
      <c r="B29" s="48" t="s">
        <v>204</v>
      </c>
      <c r="C29" s="45" t="s">
        <v>465</v>
      </c>
      <c r="D29" s="45" t="s">
        <v>203</v>
      </c>
      <c r="E29" s="45" t="s">
        <v>183</v>
      </c>
      <c r="F29" s="47" t="s">
        <v>177</v>
      </c>
      <c r="G29" s="44" t="s">
        <v>471</v>
      </c>
      <c r="H29" s="32">
        <v>128100</v>
      </c>
      <c r="I29" s="51">
        <f t="shared" si="0"/>
        <v>134800</v>
      </c>
      <c r="J29" s="32">
        <f t="shared" si="1"/>
        <v>143800</v>
      </c>
      <c r="K29" s="32">
        <f t="shared" si="2"/>
        <v>154600</v>
      </c>
      <c r="L29" s="32">
        <v>162300</v>
      </c>
      <c r="M29" s="36">
        <v>0</v>
      </c>
      <c r="N29" s="213">
        <v>180000</v>
      </c>
      <c r="O29" s="32">
        <f t="shared" si="3"/>
        <v>0</v>
      </c>
      <c r="P29" s="32">
        <f t="shared" si="4"/>
        <v>188300</v>
      </c>
      <c r="Q29" s="32">
        <f t="shared" si="5"/>
        <v>0</v>
      </c>
      <c r="R29" s="32">
        <f t="shared" si="6"/>
        <v>198200</v>
      </c>
      <c r="S29" s="32">
        <f t="shared" si="7"/>
        <v>0</v>
      </c>
      <c r="T29" s="32">
        <f t="shared" si="8"/>
        <v>204800</v>
      </c>
      <c r="U29" s="32">
        <f t="shared" si="9"/>
        <v>0</v>
      </c>
      <c r="V29" s="33">
        <f t="shared" si="10"/>
        <v>204800</v>
      </c>
    </row>
    <row r="30" spans="1:22" ht="12.75" customHeight="1">
      <c r="A30" s="154" t="s">
        <v>503</v>
      </c>
      <c r="B30" s="48" t="s">
        <v>365</v>
      </c>
      <c r="C30" s="45">
        <v>1</v>
      </c>
      <c r="D30" s="45" t="s">
        <v>203</v>
      </c>
      <c r="E30" s="45" t="s">
        <v>183</v>
      </c>
      <c r="F30" s="47" t="s">
        <v>59</v>
      </c>
      <c r="G30" s="44" t="s">
        <v>471</v>
      </c>
      <c r="H30" s="32">
        <v>330900</v>
      </c>
      <c r="I30" s="51">
        <f t="shared" si="0"/>
        <v>348100</v>
      </c>
      <c r="J30" s="32">
        <f t="shared" si="1"/>
        <v>371400</v>
      </c>
      <c r="K30" s="32">
        <f t="shared" si="2"/>
        <v>399200</v>
      </c>
      <c r="L30" s="32">
        <v>419100</v>
      </c>
      <c r="M30" s="36">
        <v>0</v>
      </c>
      <c r="N30" s="213">
        <v>400000</v>
      </c>
      <c r="O30" s="32">
        <f t="shared" si="3"/>
        <v>0</v>
      </c>
      <c r="P30" s="32">
        <f t="shared" si="4"/>
        <v>418400</v>
      </c>
      <c r="Q30" s="32">
        <f t="shared" si="5"/>
        <v>0</v>
      </c>
      <c r="R30" s="32">
        <f t="shared" si="6"/>
        <v>440500</v>
      </c>
      <c r="S30" s="32">
        <f t="shared" si="7"/>
        <v>0</v>
      </c>
      <c r="T30" s="32">
        <f t="shared" si="8"/>
        <v>455200</v>
      </c>
      <c r="U30" s="32">
        <f t="shared" si="9"/>
        <v>0</v>
      </c>
      <c r="V30" s="33">
        <f t="shared" si="10"/>
        <v>455200</v>
      </c>
    </row>
    <row r="31" spans="1:22" ht="12.75" customHeight="1">
      <c r="A31" s="154" t="s">
        <v>504</v>
      </c>
      <c r="B31" s="48" t="s">
        <v>204</v>
      </c>
      <c r="C31" s="45">
        <v>72</v>
      </c>
      <c r="D31" s="45" t="s">
        <v>203</v>
      </c>
      <c r="E31" s="45" t="s">
        <v>183</v>
      </c>
      <c r="F31" s="47" t="s">
        <v>8</v>
      </c>
      <c r="G31" s="44" t="s">
        <v>471</v>
      </c>
      <c r="H31" s="32">
        <v>171400</v>
      </c>
      <c r="I31" s="51">
        <f t="shared" si="0"/>
        <v>180300</v>
      </c>
      <c r="J31" s="32">
        <f t="shared" si="1"/>
        <v>192400</v>
      </c>
      <c r="K31" s="32">
        <f t="shared" si="2"/>
        <v>206800</v>
      </c>
      <c r="L31" s="32">
        <v>217100</v>
      </c>
      <c r="M31" s="36">
        <v>0</v>
      </c>
      <c r="N31" s="213">
        <v>275000</v>
      </c>
      <c r="O31" s="32">
        <f t="shared" si="3"/>
        <v>0</v>
      </c>
      <c r="P31" s="32">
        <f t="shared" si="4"/>
        <v>287600</v>
      </c>
      <c r="Q31" s="32">
        <f t="shared" si="5"/>
        <v>0</v>
      </c>
      <c r="R31" s="32">
        <f t="shared" si="6"/>
        <v>302800</v>
      </c>
      <c r="S31" s="32">
        <f t="shared" si="7"/>
        <v>0</v>
      </c>
      <c r="T31" s="32">
        <f t="shared" si="8"/>
        <v>312900</v>
      </c>
      <c r="U31" s="32">
        <f t="shared" si="9"/>
        <v>0</v>
      </c>
      <c r="V31" s="33">
        <f t="shared" si="10"/>
        <v>312900</v>
      </c>
    </row>
    <row r="32" spans="1:22" ht="12.75" customHeight="1">
      <c r="A32" s="154" t="s">
        <v>505</v>
      </c>
      <c r="B32" s="48" t="s">
        <v>157</v>
      </c>
      <c r="C32" s="45">
        <v>157</v>
      </c>
      <c r="D32" s="45" t="s">
        <v>205</v>
      </c>
      <c r="E32" s="45" t="s">
        <v>183</v>
      </c>
      <c r="F32" s="47" t="s">
        <v>156</v>
      </c>
      <c r="G32" s="44" t="s">
        <v>471</v>
      </c>
      <c r="H32" s="32">
        <v>4802600</v>
      </c>
      <c r="I32" s="51">
        <f t="shared" si="0"/>
        <v>5052300</v>
      </c>
      <c r="J32" s="32">
        <f t="shared" si="1"/>
        <v>5390400</v>
      </c>
      <c r="K32" s="32">
        <f t="shared" si="2"/>
        <v>5793800</v>
      </c>
      <c r="L32" s="32">
        <v>6082000</v>
      </c>
      <c r="M32" s="36">
        <f>276500+27500</f>
        <v>304000</v>
      </c>
      <c r="N32" s="213">
        <v>7400000</v>
      </c>
      <c r="O32" s="32">
        <f t="shared" si="3"/>
        <v>338100</v>
      </c>
      <c r="P32" s="32">
        <f t="shared" si="4"/>
        <v>7740000</v>
      </c>
      <c r="Q32" s="32">
        <f t="shared" si="5"/>
        <v>362200</v>
      </c>
      <c r="R32" s="32">
        <f t="shared" si="6"/>
        <v>8148000</v>
      </c>
      <c r="S32" s="32">
        <f t="shared" si="7"/>
        <v>376900</v>
      </c>
      <c r="T32" s="32">
        <f t="shared" si="8"/>
        <v>8420000</v>
      </c>
      <c r="U32" s="32">
        <f t="shared" si="9"/>
        <v>388900</v>
      </c>
      <c r="V32" s="33">
        <f t="shared" si="10"/>
        <v>8808900</v>
      </c>
    </row>
    <row r="33" spans="1:24">
      <c r="A33" s="154" t="s">
        <v>506</v>
      </c>
      <c r="B33" s="49" t="s">
        <v>24</v>
      </c>
      <c r="C33" s="45"/>
      <c r="D33" s="45"/>
      <c r="E33" s="45" t="s">
        <v>183</v>
      </c>
      <c r="F33" s="47" t="s">
        <v>25</v>
      </c>
      <c r="G33" s="44" t="s">
        <v>471</v>
      </c>
      <c r="H33" s="32">
        <v>114600</v>
      </c>
      <c r="I33" s="51">
        <f t="shared" si="0"/>
        <v>120600</v>
      </c>
      <c r="J33" s="32">
        <f t="shared" si="1"/>
        <v>128700</v>
      </c>
      <c r="K33" s="32">
        <f t="shared" si="2"/>
        <v>138300</v>
      </c>
      <c r="L33" s="32">
        <v>145200</v>
      </c>
      <c r="M33" s="36">
        <v>0</v>
      </c>
      <c r="N33" s="213">
        <v>170000</v>
      </c>
      <c r="O33" s="32">
        <f t="shared" si="3"/>
        <v>0</v>
      </c>
      <c r="P33" s="32">
        <f t="shared" si="4"/>
        <v>177800</v>
      </c>
      <c r="Q33" s="32">
        <f t="shared" si="5"/>
        <v>0</v>
      </c>
      <c r="R33" s="32">
        <f t="shared" si="6"/>
        <v>187200</v>
      </c>
      <c r="S33" s="32">
        <f t="shared" si="7"/>
        <v>0</v>
      </c>
      <c r="T33" s="32">
        <f t="shared" si="8"/>
        <v>193400</v>
      </c>
      <c r="U33" s="32">
        <f t="shared" si="9"/>
        <v>0</v>
      </c>
      <c r="V33" s="33">
        <f t="shared" si="10"/>
        <v>193400</v>
      </c>
    </row>
    <row r="34" spans="1:24" ht="12.75" customHeight="1">
      <c r="A34" s="154" t="s">
        <v>507</v>
      </c>
      <c r="B34" s="49" t="s">
        <v>178</v>
      </c>
      <c r="C34" s="45">
        <v>203</v>
      </c>
      <c r="D34" s="45" t="s">
        <v>206</v>
      </c>
      <c r="E34" s="45" t="s">
        <v>183</v>
      </c>
      <c r="F34" s="47" t="s">
        <v>58</v>
      </c>
      <c r="G34" s="44" t="s">
        <v>471</v>
      </c>
      <c r="H34" s="32">
        <v>84400</v>
      </c>
      <c r="I34" s="51">
        <f t="shared" si="0"/>
        <v>88800</v>
      </c>
      <c r="J34" s="32">
        <f t="shared" si="1"/>
        <v>94700</v>
      </c>
      <c r="K34" s="32">
        <f t="shared" si="2"/>
        <v>101800</v>
      </c>
      <c r="L34" s="32">
        <v>106900</v>
      </c>
      <c r="M34" s="36">
        <v>0</v>
      </c>
      <c r="N34" s="213">
        <v>120000</v>
      </c>
      <c r="O34" s="32">
        <f t="shared" si="3"/>
        <v>0</v>
      </c>
      <c r="P34" s="32">
        <f t="shared" si="4"/>
        <v>125500</v>
      </c>
      <c r="Q34" s="32">
        <f t="shared" si="5"/>
        <v>0</v>
      </c>
      <c r="R34" s="32">
        <f t="shared" si="6"/>
        <v>132100</v>
      </c>
      <c r="S34" s="32">
        <f t="shared" si="7"/>
        <v>0</v>
      </c>
      <c r="T34" s="32">
        <f t="shared" si="8"/>
        <v>136500</v>
      </c>
      <c r="U34" s="32">
        <f t="shared" si="9"/>
        <v>0</v>
      </c>
      <c r="V34" s="33">
        <f t="shared" si="10"/>
        <v>136500</v>
      </c>
    </row>
    <row r="35" spans="1:24" ht="12.75" customHeight="1">
      <c r="A35" s="154" t="s">
        <v>508</v>
      </c>
      <c r="B35" s="49" t="s">
        <v>208</v>
      </c>
      <c r="C35" s="45">
        <v>2</v>
      </c>
      <c r="D35" s="45" t="s">
        <v>209</v>
      </c>
      <c r="E35" s="45" t="s">
        <v>183</v>
      </c>
      <c r="F35" s="47" t="s">
        <v>411</v>
      </c>
      <c r="G35" s="44" t="s">
        <v>471</v>
      </c>
      <c r="H35" s="32">
        <v>2625300</v>
      </c>
      <c r="I35" s="51">
        <f t="shared" si="0"/>
        <v>2761800</v>
      </c>
      <c r="J35" s="32">
        <f t="shared" si="1"/>
        <v>2946600</v>
      </c>
      <c r="K35" s="32">
        <f t="shared" si="2"/>
        <v>3167100</v>
      </c>
      <c r="L35" s="32">
        <v>3324600</v>
      </c>
      <c r="M35" s="36">
        <v>0</v>
      </c>
      <c r="N35" s="213">
        <v>3400000</v>
      </c>
      <c r="O35" s="32">
        <f t="shared" si="3"/>
        <v>0</v>
      </c>
      <c r="P35" s="32">
        <f t="shared" si="4"/>
        <v>3556200</v>
      </c>
      <c r="Q35" s="32">
        <f t="shared" si="5"/>
        <v>0</v>
      </c>
      <c r="R35" s="32">
        <f t="shared" si="6"/>
        <v>3743700</v>
      </c>
      <c r="S35" s="32">
        <f t="shared" si="7"/>
        <v>0</v>
      </c>
      <c r="T35" s="32">
        <f t="shared" si="8"/>
        <v>3868700</v>
      </c>
      <c r="U35" s="32">
        <f t="shared" si="9"/>
        <v>0</v>
      </c>
      <c r="V35" s="33">
        <f t="shared" si="10"/>
        <v>3868700</v>
      </c>
    </row>
    <row r="36" spans="1:24" ht="12.75" customHeight="1">
      <c r="A36" s="154" t="s">
        <v>509</v>
      </c>
      <c r="B36" s="49" t="s">
        <v>179</v>
      </c>
      <c r="C36" s="45">
        <v>2</v>
      </c>
      <c r="D36" s="45" t="s">
        <v>210</v>
      </c>
      <c r="E36" s="45" t="s">
        <v>183</v>
      </c>
      <c r="F36" s="47" t="s">
        <v>180</v>
      </c>
      <c r="G36" s="44"/>
      <c r="H36" s="32"/>
      <c r="I36" s="51"/>
      <c r="J36" s="32"/>
      <c r="K36" s="32"/>
      <c r="L36" s="32"/>
      <c r="M36" s="36"/>
      <c r="N36" s="219"/>
      <c r="O36" s="32">
        <v>260200</v>
      </c>
      <c r="P36" s="32"/>
      <c r="Q36" s="32">
        <f t="shared" ref="Q36" si="12">ROUND(O36/115.1*123.3,-2)</f>
        <v>278700</v>
      </c>
      <c r="R36" s="32">
        <f t="shared" si="6"/>
        <v>0</v>
      </c>
      <c r="S36" s="32">
        <f t="shared" si="7"/>
        <v>290000</v>
      </c>
      <c r="T36" s="32">
        <f t="shared" si="8"/>
        <v>0</v>
      </c>
      <c r="U36" s="32">
        <f t="shared" si="9"/>
        <v>299300</v>
      </c>
      <c r="V36" s="33">
        <f t="shared" si="10"/>
        <v>299300</v>
      </c>
    </row>
    <row r="37" spans="1:24" ht="26.4">
      <c r="A37" s="155" t="s">
        <v>510</v>
      </c>
      <c r="B37" s="49" t="s">
        <v>54</v>
      </c>
      <c r="C37" s="225" t="s">
        <v>472</v>
      </c>
      <c r="D37" s="45" t="s">
        <v>211</v>
      </c>
      <c r="E37" s="45" t="s">
        <v>183</v>
      </c>
      <c r="F37" s="47" t="s">
        <v>53</v>
      </c>
      <c r="G37" s="44" t="s">
        <v>471</v>
      </c>
      <c r="H37" s="32">
        <v>1396200</v>
      </c>
      <c r="I37" s="51">
        <f t="shared" si="0"/>
        <v>1468800</v>
      </c>
      <c r="J37" s="32">
        <f t="shared" si="1"/>
        <v>1567100</v>
      </c>
      <c r="K37" s="32">
        <f t="shared" si="2"/>
        <v>1684400</v>
      </c>
      <c r="L37" s="32">
        <v>1768200</v>
      </c>
      <c r="M37" s="36">
        <v>0</v>
      </c>
      <c r="N37" s="213">
        <v>4100000</v>
      </c>
      <c r="O37" s="32">
        <f t="shared" si="3"/>
        <v>0</v>
      </c>
      <c r="P37" s="32">
        <f t="shared" si="4"/>
        <v>4288400</v>
      </c>
      <c r="Q37" s="32">
        <f t="shared" si="5"/>
        <v>0</v>
      </c>
      <c r="R37" s="32">
        <f t="shared" si="6"/>
        <v>4514500</v>
      </c>
      <c r="S37" s="32">
        <f t="shared" si="7"/>
        <v>0</v>
      </c>
      <c r="T37" s="32">
        <f t="shared" si="8"/>
        <v>4665200</v>
      </c>
      <c r="U37" s="32">
        <f t="shared" si="9"/>
        <v>0</v>
      </c>
      <c r="V37" s="33">
        <f t="shared" si="10"/>
        <v>4665200</v>
      </c>
    </row>
    <row r="38" spans="1:24" ht="12.75" customHeight="1">
      <c r="A38" s="154" t="s">
        <v>511</v>
      </c>
      <c r="B38" s="48" t="s">
        <v>17</v>
      </c>
      <c r="C38" s="45">
        <v>3</v>
      </c>
      <c r="D38" s="45" t="s">
        <v>212</v>
      </c>
      <c r="E38" s="45" t="s">
        <v>183</v>
      </c>
      <c r="F38" s="47" t="s">
        <v>15</v>
      </c>
      <c r="G38" s="44"/>
      <c r="H38" s="32">
        <v>792800</v>
      </c>
      <c r="I38" s="51">
        <f t="shared" si="0"/>
        <v>834000</v>
      </c>
      <c r="J38" s="32">
        <f t="shared" si="1"/>
        <v>889800</v>
      </c>
      <c r="K38" s="32">
        <f t="shared" si="2"/>
        <v>956400</v>
      </c>
      <c r="L38" s="32">
        <v>1004000</v>
      </c>
      <c r="M38" s="36">
        <f>86000+4300</f>
        <v>90300</v>
      </c>
      <c r="N38" s="32">
        <v>0</v>
      </c>
      <c r="O38" s="32">
        <f t="shared" si="3"/>
        <v>100400</v>
      </c>
      <c r="P38" s="32">
        <f t="shared" si="4"/>
        <v>0</v>
      </c>
      <c r="Q38" s="32">
        <f t="shared" si="5"/>
        <v>107600</v>
      </c>
      <c r="R38" s="32">
        <f t="shared" si="6"/>
        <v>0</v>
      </c>
      <c r="S38" s="32">
        <f t="shared" si="7"/>
        <v>112000</v>
      </c>
      <c r="T38" s="32">
        <f t="shared" si="8"/>
        <v>0</v>
      </c>
      <c r="U38" s="32">
        <f t="shared" si="9"/>
        <v>115600</v>
      </c>
      <c r="V38" s="33">
        <f t="shared" si="10"/>
        <v>115600</v>
      </c>
    </row>
    <row r="39" spans="1:24" ht="12.75" customHeight="1">
      <c r="A39" s="155" t="s">
        <v>512</v>
      </c>
      <c r="B39" s="48" t="s">
        <v>23</v>
      </c>
      <c r="C39" s="45" t="s">
        <v>463</v>
      </c>
      <c r="D39" s="45" t="s">
        <v>213</v>
      </c>
      <c r="E39" s="45" t="s">
        <v>183</v>
      </c>
      <c r="F39" s="47" t="s">
        <v>480</v>
      </c>
      <c r="G39" s="44" t="s">
        <v>471</v>
      </c>
      <c r="H39" s="32">
        <v>516500</v>
      </c>
      <c r="I39" s="51">
        <f t="shared" si="0"/>
        <v>543400</v>
      </c>
      <c r="J39" s="32">
        <f t="shared" si="1"/>
        <v>579800</v>
      </c>
      <c r="K39" s="32">
        <f t="shared" si="2"/>
        <v>623200</v>
      </c>
      <c r="L39" s="32">
        <v>654200</v>
      </c>
      <c r="M39" s="36">
        <v>0</v>
      </c>
      <c r="N39" s="213">
        <v>1575000</v>
      </c>
      <c r="O39" s="32">
        <f t="shared" si="3"/>
        <v>0</v>
      </c>
      <c r="P39" s="32">
        <f t="shared" si="4"/>
        <v>1647400</v>
      </c>
      <c r="Q39" s="32">
        <f t="shared" si="5"/>
        <v>0</v>
      </c>
      <c r="R39" s="32">
        <f t="shared" si="6"/>
        <v>1734200</v>
      </c>
      <c r="S39" s="32">
        <f t="shared" si="7"/>
        <v>0</v>
      </c>
      <c r="T39" s="32">
        <f t="shared" si="8"/>
        <v>1792100</v>
      </c>
      <c r="U39" s="32">
        <f t="shared" si="9"/>
        <v>0</v>
      </c>
      <c r="V39" s="33">
        <f t="shared" si="10"/>
        <v>1792100</v>
      </c>
    </row>
    <row r="40" spans="1:24" ht="12.75" customHeight="1">
      <c r="A40" s="155" t="s">
        <v>512</v>
      </c>
      <c r="B40" s="226" t="s">
        <v>23</v>
      </c>
      <c r="C40" s="227" t="s">
        <v>464</v>
      </c>
      <c r="D40" s="45" t="s">
        <v>213</v>
      </c>
      <c r="E40" s="45" t="s">
        <v>183</v>
      </c>
      <c r="F40" s="228" t="s">
        <v>68</v>
      </c>
      <c r="G40" s="44" t="s">
        <v>471</v>
      </c>
      <c r="H40" s="32">
        <v>1415700</v>
      </c>
      <c r="I40" s="51">
        <f t="shared" si="0"/>
        <v>1489300</v>
      </c>
      <c r="J40" s="32">
        <f t="shared" si="1"/>
        <v>1589000</v>
      </c>
      <c r="K40" s="32">
        <f t="shared" si="2"/>
        <v>1707900</v>
      </c>
      <c r="L40" s="32">
        <v>1792800</v>
      </c>
      <c r="M40" s="36">
        <v>0</v>
      </c>
      <c r="N40" s="213">
        <v>2400000</v>
      </c>
      <c r="O40" s="32">
        <f t="shared" si="3"/>
        <v>0</v>
      </c>
      <c r="P40" s="32">
        <f t="shared" si="4"/>
        <v>2510300</v>
      </c>
      <c r="Q40" s="32">
        <f t="shared" si="5"/>
        <v>0</v>
      </c>
      <c r="R40" s="32">
        <f t="shared" si="6"/>
        <v>2642600</v>
      </c>
      <c r="S40" s="32">
        <f t="shared" si="7"/>
        <v>0</v>
      </c>
      <c r="T40" s="32">
        <f t="shared" si="8"/>
        <v>2730800</v>
      </c>
      <c r="U40" s="32">
        <f t="shared" si="9"/>
        <v>0</v>
      </c>
      <c r="V40" s="33">
        <f t="shared" si="10"/>
        <v>2730800</v>
      </c>
    </row>
    <row r="41" spans="1:24" ht="26.4">
      <c r="A41" s="154" t="s">
        <v>490</v>
      </c>
      <c r="B41" s="46" t="s">
        <v>460</v>
      </c>
      <c r="C41" s="225" t="s">
        <v>461</v>
      </c>
      <c r="D41" s="225" t="s">
        <v>462</v>
      </c>
      <c r="E41" s="45" t="s">
        <v>183</v>
      </c>
      <c r="F41" s="47" t="s">
        <v>256</v>
      </c>
      <c r="G41" s="44" t="s">
        <v>471</v>
      </c>
      <c r="H41" s="32">
        <v>1944000</v>
      </c>
      <c r="I41" s="32">
        <f>ROUND(H41/125*131.5,-2)</f>
        <v>2045100</v>
      </c>
      <c r="J41" s="32">
        <f>ROUND(I41/131.5*140.3,-2)</f>
        <v>2182000</v>
      </c>
      <c r="K41" s="32">
        <f>ROUND(J41/140.3*150.8,-2)</f>
        <v>2345300</v>
      </c>
      <c r="L41" s="32">
        <v>2461900</v>
      </c>
      <c r="M41" s="36">
        <v>0</v>
      </c>
      <c r="N41" s="213">
        <v>4150000</v>
      </c>
      <c r="O41" s="32">
        <f t="shared" si="3"/>
        <v>0</v>
      </c>
      <c r="P41" s="32">
        <f t="shared" si="4"/>
        <v>4340700</v>
      </c>
      <c r="Q41" s="32">
        <f t="shared" si="5"/>
        <v>0</v>
      </c>
      <c r="R41" s="32">
        <f t="shared" si="6"/>
        <v>4569500</v>
      </c>
      <c r="S41" s="32">
        <f t="shared" si="7"/>
        <v>0</v>
      </c>
      <c r="T41" s="32">
        <f t="shared" si="8"/>
        <v>4722000</v>
      </c>
      <c r="U41" s="32">
        <f t="shared" si="9"/>
        <v>0</v>
      </c>
      <c r="V41" s="33">
        <f t="shared" si="10"/>
        <v>4722000</v>
      </c>
    </row>
    <row r="42" spans="1:24">
      <c r="A42" s="154" t="s">
        <v>513</v>
      </c>
      <c r="B42" s="48" t="s">
        <v>365</v>
      </c>
      <c r="C42" s="45">
        <v>14</v>
      </c>
      <c r="D42" s="45" t="s">
        <v>366</v>
      </c>
      <c r="E42" s="45" t="s">
        <v>183</v>
      </c>
      <c r="F42" s="47" t="s">
        <v>367</v>
      </c>
      <c r="G42" s="44" t="s">
        <v>372</v>
      </c>
      <c r="H42" s="32"/>
      <c r="I42" s="32"/>
      <c r="J42" s="32"/>
      <c r="K42" s="32"/>
      <c r="L42" s="32"/>
      <c r="M42" s="36"/>
      <c r="N42" s="197">
        <f>ROUND(18500000*1.21/135.6*176.5,-2)</f>
        <v>29136800</v>
      </c>
      <c r="O42" s="197">
        <f>ROUND(1548800/131.5*148,-2)</f>
        <v>1743100</v>
      </c>
      <c r="P42" s="32">
        <f t="shared" si="4"/>
        <v>30475600</v>
      </c>
      <c r="Q42" s="32">
        <f t="shared" si="5"/>
        <v>1867300</v>
      </c>
      <c r="R42" s="32">
        <f t="shared" si="6"/>
        <v>32082100</v>
      </c>
      <c r="S42" s="32">
        <f t="shared" si="7"/>
        <v>1943000</v>
      </c>
      <c r="T42" s="32">
        <f t="shared" si="8"/>
        <v>33153100</v>
      </c>
      <c r="U42" s="32">
        <f t="shared" si="9"/>
        <v>2005100</v>
      </c>
      <c r="V42" s="33">
        <f t="shared" si="10"/>
        <v>35158200</v>
      </c>
      <c r="X42" s="3" t="s">
        <v>368</v>
      </c>
    </row>
    <row r="43" spans="1:24" ht="12.75" customHeight="1">
      <c r="A43" s="230"/>
      <c r="B43" s="101"/>
      <c r="C43" s="102"/>
      <c r="D43" s="102"/>
      <c r="E43" s="103"/>
      <c r="F43" s="104"/>
      <c r="G43" s="105"/>
      <c r="H43" s="99"/>
      <c r="I43" s="99"/>
      <c r="J43" s="99"/>
      <c r="K43" s="99"/>
      <c r="L43" s="99"/>
      <c r="M43" s="106"/>
      <c r="N43" s="106"/>
      <c r="O43" s="106"/>
      <c r="P43" s="106"/>
      <c r="Q43" s="106"/>
      <c r="R43" s="106"/>
      <c r="S43" s="106"/>
      <c r="T43" s="106"/>
      <c r="U43" s="106"/>
      <c r="V43" s="106"/>
    </row>
    <row r="44" spans="1:24" ht="13.8" thickBot="1">
      <c r="A44" s="75"/>
      <c r="B44" s="108" t="s">
        <v>26</v>
      </c>
      <c r="C44" s="109"/>
      <c r="D44" s="109"/>
      <c r="E44" s="109"/>
      <c r="F44" s="110"/>
      <c r="G44" s="111"/>
      <c r="H44" s="112">
        <f>SUM(H6:H41)</f>
        <v>58875800</v>
      </c>
      <c r="I44" s="112">
        <f>SUM(I6:I41)</f>
        <v>61921800</v>
      </c>
      <c r="J44" s="112">
        <f>SUM(J6:J41)</f>
        <v>66061700</v>
      </c>
      <c r="K44" s="112">
        <f>SUM(K6:K41)</f>
        <v>70996600</v>
      </c>
      <c r="L44" s="112">
        <v>84427600</v>
      </c>
      <c r="M44" s="112">
        <f>SUM(M6:M41)</f>
        <v>5484850</v>
      </c>
      <c r="N44" s="112">
        <f t="shared" ref="N44:S44" si="13">SUM(N6:N43)</f>
        <v>125939200</v>
      </c>
      <c r="O44" s="112">
        <f t="shared" si="13"/>
        <v>8103300</v>
      </c>
      <c r="P44" s="112">
        <f t="shared" si="13"/>
        <v>131642000</v>
      </c>
      <c r="Q44" s="112">
        <f t="shared" si="13"/>
        <v>8680700</v>
      </c>
      <c r="R44" s="112">
        <f t="shared" si="13"/>
        <v>138581700</v>
      </c>
      <c r="S44" s="112">
        <f t="shared" si="13"/>
        <v>9032900</v>
      </c>
      <c r="T44" s="112">
        <f t="shared" ref="T44:U44" si="14">SUM(T6:T43)</f>
        <v>143207800</v>
      </c>
      <c r="U44" s="112">
        <f t="shared" si="14"/>
        <v>9321600</v>
      </c>
      <c r="V44" s="112">
        <f t="shared" ref="V44" si="15">SUM(V6:V43)</f>
        <v>152529400</v>
      </c>
    </row>
    <row r="45" spans="1:24" ht="13.8" thickTop="1">
      <c r="A45" s="231"/>
      <c r="B45" s="98"/>
      <c r="C45" s="95"/>
      <c r="D45" s="95"/>
      <c r="E45" s="95"/>
      <c r="F45" s="96"/>
      <c r="G45" s="97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1:24">
      <c r="A46" s="75"/>
      <c r="B46" s="94" t="s">
        <v>61</v>
      </c>
      <c r="C46" s="95"/>
      <c r="D46" s="95"/>
      <c r="E46" s="95"/>
      <c r="F46" s="96"/>
      <c r="G46" s="97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</row>
    <row r="47" spans="1:24">
      <c r="A47" s="154" t="s">
        <v>514</v>
      </c>
      <c r="B47" s="48" t="s">
        <v>214</v>
      </c>
      <c r="C47" s="45">
        <v>1</v>
      </c>
      <c r="D47" s="45" t="s">
        <v>215</v>
      </c>
      <c r="E47" s="45" t="s">
        <v>183</v>
      </c>
      <c r="F47" s="47" t="s">
        <v>37</v>
      </c>
      <c r="G47" s="44" t="s">
        <v>471</v>
      </c>
      <c r="H47" s="32">
        <v>2363500</v>
      </c>
      <c r="I47" s="32">
        <f t="shared" ref="I47:I61" si="16">ROUND(H47/125*131.5,-2)</f>
        <v>2486400</v>
      </c>
      <c r="J47" s="32">
        <f t="shared" ref="J47:J61" si="17">ROUND(I47/131.5*140.3,-2)</f>
        <v>2652800</v>
      </c>
      <c r="K47" s="32">
        <f t="shared" ref="K47:K61" si="18">ROUND(J47/140.3*150.8,-2)</f>
        <v>2851300</v>
      </c>
      <c r="L47" s="32">
        <v>2993100</v>
      </c>
      <c r="M47" s="36">
        <f>310730+98718</f>
        <v>409448</v>
      </c>
      <c r="N47" s="213">
        <v>3800000</v>
      </c>
      <c r="O47" s="32">
        <f t="shared" ref="O47:O61" si="19">ROUND(M47/126.6*140.8,-2)</f>
        <v>455400</v>
      </c>
      <c r="P47" s="32">
        <f t="shared" ref="P47" si="20">ROUND(N47/119.7*125.2,-2)</f>
        <v>3974600</v>
      </c>
      <c r="Q47" s="32">
        <f t="shared" ref="Q47" si="21">ROUND(O47/115.1*123.3,-2)</f>
        <v>487800</v>
      </c>
      <c r="R47" s="32">
        <f t="shared" ref="R47" si="22">ROUND(P47/125.2*131.8,-2)</f>
        <v>4184100</v>
      </c>
      <c r="S47" s="32">
        <f t="shared" ref="S47" si="23">ROUND(Q47/123.3*128.3,-2)</f>
        <v>507600</v>
      </c>
      <c r="T47" s="32">
        <f t="shared" si="8"/>
        <v>4323800</v>
      </c>
      <c r="U47" s="32">
        <f t="shared" si="9"/>
        <v>523800</v>
      </c>
      <c r="V47" s="33">
        <f t="shared" si="10"/>
        <v>4847600</v>
      </c>
    </row>
    <row r="48" spans="1:24">
      <c r="A48" s="154" t="s">
        <v>515</v>
      </c>
      <c r="B48" s="48" t="s">
        <v>34</v>
      </c>
      <c r="C48" s="45">
        <v>16</v>
      </c>
      <c r="D48" s="45" t="s">
        <v>216</v>
      </c>
      <c r="E48" s="45" t="s">
        <v>183</v>
      </c>
      <c r="F48" s="47" t="s">
        <v>35</v>
      </c>
      <c r="G48" s="44" t="s">
        <v>471</v>
      </c>
      <c r="H48" s="32">
        <v>3252300</v>
      </c>
      <c r="I48" s="32">
        <f t="shared" si="16"/>
        <v>3421400</v>
      </c>
      <c r="J48" s="32">
        <f t="shared" si="17"/>
        <v>3650400</v>
      </c>
      <c r="K48" s="32">
        <f t="shared" si="18"/>
        <v>3923600</v>
      </c>
      <c r="L48" s="32">
        <v>4118700</v>
      </c>
      <c r="M48" s="36">
        <f>473433+184427</f>
        <v>657860</v>
      </c>
      <c r="N48" s="213">
        <v>4850000</v>
      </c>
      <c r="O48" s="32">
        <f t="shared" si="19"/>
        <v>731600</v>
      </c>
      <c r="P48" s="32">
        <f t="shared" ref="P48:P61" si="24">ROUND(N48/119.7*125.2,-2)</f>
        <v>5072800</v>
      </c>
      <c r="Q48" s="32">
        <f t="shared" ref="Q48:Q61" si="25">ROUND(O48/115.1*123.3,-2)</f>
        <v>783700</v>
      </c>
      <c r="R48" s="32">
        <f t="shared" ref="R48:R61" si="26">ROUND(P48/125.2*131.8,-2)</f>
        <v>5340200</v>
      </c>
      <c r="S48" s="32">
        <f t="shared" ref="S48:S61" si="27">ROUND(Q48/123.3*128.3,-2)</f>
        <v>815500</v>
      </c>
      <c r="T48" s="32">
        <f t="shared" si="8"/>
        <v>5518500</v>
      </c>
      <c r="U48" s="32">
        <f t="shared" si="9"/>
        <v>841600</v>
      </c>
      <c r="V48" s="33">
        <f t="shared" si="10"/>
        <v>6360100</v>
      </c>
    </row>
    <row r="49" spans="1:25">
      <c r="A49" s="154" t="s">
        <v>516</v>
      </c>
      <c r="B49" s="48" t="s">
        <v>217</v>
      </c>
      <c r="C49" s="45">
        <v>22</v>
      </c>
      <c r="D49" s="45" t="s">
        <v>218</v>
      </c>
      <c r="E49" s="45" t="s">
        <v>183</v>
      </c>
      <c r="F49" s="47" t="s">
        <v>45</v>
      </c>
      <c r="G49" s="44" t="s">
        <v>471</v>
      </c>
      <c r="H49" s="32">
        <v>4117200</v>
      </c>
      <c r="I49" s="51">
        <f t="shared" si="16"/>
        <v>4331300</v>
      </c>
      <c r="J49" s="32">
        <f t="shared" si="17"/>
        <v>4621200</v>
      </c>
      <c r="K49" s="32">
        <f t="shared" si="18"/>
        <v>4967000</v>
      </c>
      <c r="L49" s="32">
        <v>5214000</v>
      </c>
      <c r="M49" s="36">
        <f>585225+77588</f>
        <v>662813</v>
      </c>
      <c r="N49" s="213">
        <v>5900000</v>
      </c>
      <c r="O49" s="32">
        <f t="shared" si="19"/>
        <v>737200</v>
      </c>
      <c r="P49" s="32">
        <f t="shared" si="24"/>
        <v>6171100</v>
      </c>
      <c r="Q49" s="32">
        <f t="shared" si="25"/>
        <v>789700</v>
      </c>
      <c r="R49" s="32">
        <f t="shared" si="26"/>
        <v>6496400</v>
      </c>
      <c r="S49" s="32">
        <f t="shared" si="27"/>
        <v>821700</v>
      </c>
      <c r="T49" s="32">
        <f t="shared" si="8"/>
        <v>6713300</v>
      </c>
      <c r="U49" s="32">
        <f t="shared" si="9"/>
        <v>848000</v>
      </c>
      <c r="V49" s="33">
        <f t="shared" si="10"/>
        <v>7561300</v>
      </c>
    </row>
    <row r="50" spans="1:25">
      <c r="A50" s="154" t="s">
        <v>517</v>
      </c>
      <c r="B50" s="48" t="s">
        <v>27</v>
      </c>
      <c r="C50" s="45">
        <v>9</v>
      </c>
      <c r="D50" s="45" t="s">
        <v>219</v>
      </c>
      <c r="E50" s="45" t="s">
        <v>183</v>
      </c>
      <c r="F50" s="47" t="s">
        <v>42</v>
      </c>
      <c r="G50" s="44" t="s">
        <v>471</v>
      </c>
      <c r="H50" s="32">
        <v>2574700</v>
      </c>
      <c r="I50" s="51">
        <f t="shared" si="16"/>
        <v>2708600</v>
      </c>
      <c r="J50" s="32">
        <f t="shared" si="17"/>
        <v>2889900</v>
      </c>
      <c r="K50" s="32">
        <f t="shared" si="18"/>
        <v>3106200</v>
      </c>
      <c r="L50" s="32">
        <v>3260700</v>
      </c>
      <c r="M50" s="36">
        <v>0</v>
      </c>
      <c r="N50" s="213">
        <v>3550000</v>
      </c>
      <c r="O50" s="36">
        <v>100000</v>
      </c>
      <c r="P50" s="32">
        <f t="shared" si="24"/>
        <v>3713100</v>
      </c>
      <c r="Q50" s="32">
        <f t="shared" si="25"/>
        <v>107100</v>
      </c>
      <c r="R50" s="32">
        <f t="shared" si="26"/>
        <v>3908800</v>
      </c>
      <c r="S50" s="32">
        <f t="shared" si="27"/>
        <v>111400</v>
      </c>
      <c r="T50" s="32">
        <f t="shared" si="8"/>
        <v>4039300</v>
      </c>
      <c r="U50" s="32">
        <f t="shared" si="9"/>
        <v>115000</v>
      </c>
      <c r="V50" s="33">
        <f t="shared" si="10"/>
        <v>4154300</v>
      </c>
      <c r="X50" s="72" t="s">
        <v>284</v>
      </c>
    </row>
    <row r="51" spans="1:25">
      <c r="A51" s="154" t="s">
        <v>518</v>
      </c>
      <c r="B51" s="48" t="s">
        <v>220</v>
      </c>
      <c r="C51" s="45">
        <v>74</v>
      </c>
      <c r="D51" s="45" t="s">
        <v>221</v>
      </c>
      <c r="E51" s="45" t="s">
        <v>183</v>
      </c>
      <c r="F51" s="47" t="s">
        <v>30</v>
      </c>
      <c r="G51" s="44" t="s">
        <v>471</v>
      </c>
      <c r="H51" s="32">
        <v>6188600</v>
      </c>
      <c r="I51" s="51">
        <f t="shared" si="16"/>
        <v>6510400</v>
      </c>
      <c r="J51" s="32">
        <f t="shared" si="17"/>
        <v>6946100</v>
      </c>
      <c r="K51" s="32">
        <f t="shared" si="18"/>
        <v>7465900</v>
      </c>
      <c r="L51" s="32">
        <v>7837200</v>
      </c>
      <c r="M51" s="36">
        <f>620500+364190</f>
        <v>984690</v>
      </c>
      <c r="N51" s="213">
        <v>8400000</v>
      </c>
      <c r="O51" s="32">
        <f t="shared" si="19"/>
        <v>1095100</v>
      </c>
      <c r="P51" s="32">
        <f t="shared" si="24"/>
        <v>8786000</v>
      </c>
      <c r="Q51" s="32">
        <f t="shared" si="25"/>
        <v>1173100</v>
      </c>
      <c r="R51" s="32">
        <f t="shared" si="26"/>
        <v>9249200</v>
      </c>
      <c r="S51" s="32">
        <f t="shared" si="27"/>
        <v>1220700</v>
      </c>
      <c r="T51" s="32">
        <f t="shared" si="8"/>
        <v>9558000</v>
      </c>
      <c r="U51" s="32">
        <f t="shared" si="9"/>
        <v>1259700</v>
      </c>
      <c r="V51" s="33">
        <f t="shared" si="10"/>
        <v>10817700</v>
      </c>
    </row>
    <row r="52" spans="1:25" ht="12.75" customHeight="1">
      <c r="A52" s="154" t="s">
        <v>519</v>
      </c>
      <c r="B52" s="48" t="s">
        <v>222</v>
      </c>
      <c r="C52" s="45">
        <v>16</v>
      </c>
      <c r="D52" s="45" t="s">
        <v>223</v>
      </c>
      <c r="E52" s="45" t="s">
        <v>183</v>
      </c>
      <c r="F52" s="47" t="s">
        <v>36</v>
      </c>
      <c r="G52" s="44" t="s">
        <v>471</v>
      </c>
      <c r="H52" s="32">
        <v>626000</v>
      </c>
      <c r="I52" s="51">
        <f t="shared" si="16"/>
        <v>658600</v>
      </c>
      <c r="J52" s="32">
        <f t="shared" si="17"/>
        <v>702700</v>
      </c>
      <c r="K52" s="32">
        <f t="shared" si="18"/>
        <v>755300</v>
      </c>
      <c r="L52" s="32">
        <v>792900</v>
      </c>
      <c r="M52" s="36">
        <f>162213+24161</f>
        <v>186374</v>
      </c>
      <c r="N52" s="213">
        <v>900000</v>
      </c>
      <c r="O52" s="32">
        <f t="shared" si="19"/>
        <v>207300</v>
      </c>
      <c r="P52" s="32">
        <f t="shared" si="24"/>
        <v>941400</v>
      </c>
      <c r="Q52" s="32">
        <f t="shared" si="25"/>
        <v>222100</v>
      </c>
      <c r="R52" s="32">
        <f t="shared" si="26"/>
        <v>991000</v>
      </c>
      <c r="S52" s="32">
        <f t="shared" si="27"/>
        <v>231100</v>
      </c>
      <c r="T52" s="32">
        <f t="shared" si="8"/>
        <v>1024100</v>
      </c>
      <c r="U52" s="32">
        <f t="shared" si="9"/>
        <v>238500</v>
      </c>
      <c r="V52" s="33">
        <f t="shared" si="10"/>
        <v>1262600</v>
      </c>
    </row>
    <row r="53" spans="1:25" ht="12.75" customHeight="1">
      <c r="A53" s="154" t="s">
        <v>520</v>
      </c>
      <c r="B53" s="48" t="s">
        <v>224</v>
      </c>
      <c r="C53" s="229" t="s">
        <v>170</v>
      </c>
      <c r="D53" s="229" t="s">
        <v>225</v>
      </c>
      <c r="E53" s="45" t="s">
        <v>183</v>
      </c>
      <c r="F53" s="47" t="s">
        <v>31</v>
      </c>
      <c r="G53" s="44" t="s">
        <v>471</v>
      </c>
      <c r="H53" s="32">
        <v>3064600</v>
      </c>
      <c r="I53" s="51">
        <f t="shared" si="16"/>
        <v>3224000</v>
      </c>
      <c r="J53" s="32">
        <f t="shared" si="17"/>
        <v>3439800</v>
      </c>
      <c r="K53" s="32">
        <f t="shared" si="18"/>
        <v>3697200</v>
      </c>
      <c r="L53" s="32">
        <v>3881100</v>
      </c>
      <c r="M53" s="36">
        <f>716623+254899</f>
        <v>971522</v>
      </c>
      <c r="N53" s="213">
        <v>4575000</v>
      </c>
      <c r="O53" s="32">
        <f t="shared" si="19"/>
        <v>1080500</v>
      </c>
      <c r="P53" s="32">
        <f t="shared" si="24"/>
        <v>4785200</v>
      </c>
      <c r="Q53" s="32">
        <f t="shared" si="25"/>
        <v>1157500</v>
      </c>
      <c r="R53" s="32">
        <f t="shared" si="26"/>
        <v>5037500</v>
      </c>
      <c r="S53" s="32">
        <f t="shared" si="27"/>
        <v>1204400</v>
      </c>
      <c r="T53" s="32">
        <f t="shared" si="8"/>
        <v>5205700</v>
      </c>
      <c r="U53" s="32">
        <f t="shared" si="9"/>
        <v>1242900</v>
      </c>
      <c r="V53" s="33">
        <f t="shared" si="10"/>
        <v>6448600</v>
      </c>
    </row>
    <row r="54" spans="1:25" ht="12.75" customHeight="1">
      <c r="A54" s="154" t="s">
        <v>521</v>
      </c>
      <c r="B54" s="48" t="s">
        <v>19</v>
      </c>
      <c r="C54" s="45">
        <v>4</v>
      </c>
      <c r="D54" s="45" t="s">
        <v>199</v>
      </c>
      <c r="E54" s="45" t="s">
        <v>183</v>
      </c>
      <c r="F54" s="47" t="s">
        <v>52</v>
      </c>
      <c r="G54" s="44" t="s">
        <v>471</v>
      </c>
      <c r="H54" s="32">
        <v>2536400</v>
      </c>
      <c r="I54" s="51">
        <f t="shared" si="16"/>
        <v>2668300</v>
      </c>
      <c r="J54" s="32">
        <f t="shared" si="17"/>
        <v>2846900</v>
      </c>
      <c r="K54" s="32">
        <f t="shared" si="18"/>
        <v>3060000</v>
      </c>
      <c r="L54" s="32">
        <v>3212200</v>
      </c>
      <c r="M54" s="36">
        <f>464710+181292</f>
        <v>646002</v>
      </c>
      <c r="N54" s="213">
        <v>3650000</v>
      </c>
      <c r="O54" s="32">
        <f t="shared" si="19"/>
        <v>718500</v>
      </c>
      <c r="P54" s="32">
        <f t="shared" si="24"/>
        <v>3817700</v>
      </c>
      <c r="Q54" s="32">
        <f t="shared" si="25"/>
        <v>769700</v>
      </c>
      <c r="R54" s="32">
        <f t="shared" si="26"/>
        <v>4019000</v>
      </c>
      <c r="S54" s="32">
        <f t="shared" si="27"/>
        <v>800900</v>
      </c>
      <c r="T54" s="32">
        <f t="shared" si="8"/>
        <v>4153200</v>
      </c>
      <c r="U54" s="32">
        <f t="shared" si="9"/>
        <v>826500</v>
      </c>
      <c r="V54" s="33">
        <f t="shared" si="10"/>
        <v>4979700</v>
      </c>
    </row>
    <row r="55" spans="1:25" ht="26.4">
      <c r="A55" s="232" t="s">
        <v>522</v>
      </c>
      <c r="B55" s="49" t="s">
        <v>65</v>
      </c>
      <c r="C55" s="45" t="s">
        <v>459</v>
      </c>
      <c r="D55" s="45" t="s">
        <v>226</v>
      </c>
      <c r="E55" s="45" t="s">
        <v>183</v>
      </c>
      <c r="F55" s="47" t="s">
        <v>69</v>
      </c>
      <c r="G55" s="44" t="s">
        <v>471</v>
      </c>
      <c r="H55" s="32">
        <v>9267900</v>
      </c>
      <c r="I55" s="51">
        <f t="shared" si="16"/>
        <v>9749800</v>
      </c>
      <c r="J55" s="32">
        <f t="shared" si="17"/>
        <v>10402300</v>
      </c>
      <c r="K55" s="32">
        <f t="shared" si="18"/>
        <v>11180800</v>
      </c>
      <c r="L55" s="32">
        <v>11736900</v>
      </c>
      <c r="M55" s="36">
        <f>349598+134345</f>
        <v>483943</v>
      </c>
      <c r="N55" s="213">
        <v>12500000</v>
      </c>
      <c r="O55" s="32">
        <f t="shared" si="19"/>
        <v>538200</v>
      </c>
      <c r="P55" s="32">
        <f t="shared" si="24"/>
        <v>13074400</v>
      </c>
      <c r="Q55" s="32">
        <f t="shared" si="25"/>
        <v>576500</v>
      </c>
      <c r="R55" s="32">
        <f t="shared" si="26"/>
        <v>13763600</v>
      </c>
      <c r="S55" s="32">
        <f t="shared" si="27"/>
        <v>599900</v>
      </c>
      <c r="T55" s="32">
        <f t="shared" si="8"/>
        <v>14223100</v>
      </c>
      <c r="U55" s="32">
        <f t="shared" si="9"/>
        <v>619100</v>
      </c>
      <c r="V55" s="33">
        <f t="shared" si="10"/>
        <v>14842200</v>
      </c>
    </row>
    <row r="56" spans="1:25">
      <c r="A56" s="232" t="s">
        <v>522</v>
      </c>
      <c r="B56" s="49" t="s">
        <v>65</v>
      </c>
      <c r="C56" s="45" t="s">
        <v>264</v>
      </c>
      <c r="D56" s="45" t="s">
        <v>226</v>
      </c>
      <c r="E56" s="45" t="s">
        <v>183</v>
      </c>
      <c r="F56" s="47" t="s">
        <v>66</v>
      </c>
      <c r="G56" s="44"/>
      <c r="H56" s="32">
        <v>0</v>
      </c>
      <c r="I56" s="51">
        <f t="shared" si="16"/>
        <v>0</v>
      </c>
      <c r="J56" s="32">
        <f t="shared" si="17"/>
        <v>0</v>
      </c>
      <c r="K56" s="32">
        <f t="shared" si="18"/>
        <v>0</v>
      </c>
      <c r="L56" s="32">
        <v>0</v>
      </c>
      <c r="M56" s="36">
        <f>95960+4800</f>
        <v>100760</v>
      </c>
      <c r="N56" s="32">
        <f t="shared" ref="N56" si="28">ROUND(L56/158.3*175.4,-2)</f>
        <v>0</v>
      </c>
      <c r="O56" s="32">
        <f t="shared" si="19"/>
        <v>112100</v>
      </c>
      <c r="P56" s="32">
        <f t="shared" si="24"/>
        <v>0</v>
      </c>
      <c r="Q56" s="32">
        <f t="shared" si="25"/>
        <v>120100</v>
      </c>
      <c r="R56" s="32">
        <f t="shared" si="26"/>
        <v>0</v>
      </c>
      <c r="S56" s="32">
        <f t="shared" si="27"/>
        <v>125000</v>
      </c>
      <c r="T56" s="32">
        <f t="shared" si="8"/>
        <v>0</v>
      </c>
      <c r="U56" s="32">
        <f t="shared" si="9"/>
        <v>129000</v>
      </c>
      <c r="V56" s="33">
        <f t="shared" si="10"/>
        <v>129000</v>
      </c>
    </row>
    <row r="57" spans="1:25">
      <c r="A57" s="154" t="s">
        <v>523</v>
      </c>
      <c r="B57" s="48" t="s">
        <v>32</v>
      </c>
      <c r="C57" s="45">
        <v>44</v>
      </c>
      <c r="D57" s="45" t="s">
        <v>227</v>
      </c>
      <c r="E57" s="45" t="s">
        <v>183</v>
      </c>
      <c r="F57" s="47" t="s">
        <v>33</v>
      </c>
      <c r="G57" s="44" t="s">
        <v>471</v>
      </c>
      <c r="H57" s="32">
        <v>4090600</v>
      </c>
      <c r="I57" s="51">
        <f t="shared" si="16"/>
        <v>4303300</v>
      </c>
      <c r="J57" s="32">
        <f t="shared" si="17"/>
        <v>4591300</v>
      </c>
      <c r="K57" s="32">
        <f t="shared" si="18"/>
        <v>4934900</v>
      </c>
      <c r="L57" s="32">
        <v>5180300</v>
      </c>
      <c r="M57" s="36">
        <f>890750+355968</f>
        <v>1246718</v>
      </c>
      <c r="N57" s="213">
        <v>6000000</v>
      </c>
      <c r="O57" s="32">
        <f t="shared" si="19"/>
        <v>1386600</v>
      </c>
      <c r="P57" s="32">
        <f t="shared" si="24"/>
        <v>6275700</v>
      </c>
      <c r="Q57" s="32">
        <f t="shared" si="25"/>
        <v>1485400</v>
      </c>
      <c r="R57" s="32">
        <f t="shared" si="26"/>
        <v>6606500</v>
      </c>
      <c r="S57" s="32">
        <f t="shared" si="27"/>
        <v>1545600</v>
      </c>
      <c r="T57" s="32">
        <f t="shared" si="8"/>
        <v>6827100</v>
      </c>
      <c r="U57" s="32">
        <f t="shared" si="9"/>
        <v>1595000</v>
      </c>
      <c r="V57" s="33">
        <f t="shared" si="10"/>
        <v>8422100</v>
      </c>
    </row>
    <row r="58" spans="1:25">
      <c r="A58" s="154" t="s">
        <v>524</v>
      </c>
      <c r="B58" s="49" t="s">
        <v>50</v>
      </c>
      <c r="C58" s="223" t="s">
        <v>51</v>
      </c>
      <c r="D58" s="223" t="s">
        <v>207</v>
      </c>
      <c r="E58" s="45" t="s">
        <v>183</v>
      </c>
      <c r="F58" s="47" t="s">
        <v>49</v>
      </c>
      <c r="G58" s="44" t="s">
        <v>471</v>
      </c>
      <c r="H58" s="32">
        <v>2529100</v>
      </c>
      <c r="I58" s="51">
        <f t="shared" si="16"/>
        <v>2660600</v>
      </c>
      <c r="J58" s="32">
        <f t="shared" si="17"/>
        <v>2838600</v>
      </c>
      <c r="K58" s="32">
        <f t="shared" si="18"/>
        <v>3051000</v>
      </c>
      <c r="L58" s="32">
        <v>3202700</v>
      </c>
      <c r="M58" s="36">
        <f>406875+180154</f>
        <v>587029</v>
      </c>
      <c r="N58" s="213">
        <v>3450000</v>
      </c>
      <c r="O58" s="32">
        <f t="shared" si="19"/>
        <v>652900</v>
      </c>
      <c r="P58" s="32">
        <f t="shared" si="24"/>
        <v>3608500</v>
      </c>
      <c r="Q58" s="32">
        <f t="shared" si="25"/>
        <v>699400</v>
      </c>
      <c r="R58" s="32">
        <f t="shared" si="26"/>
        <v>3798700</v>
      </c>
      <c r="S58" s="32">
        <f t="shared" si="27"/>
        <v>727800</v>
      </c>
      <c r="T58" s="32">
        <f t="shared" si="8"/>
        <v>3925500</v>
      </c>
      <c r="U58" s="32">
        <f t="shared" si="9"/>
        <v>751100</v>
      </c>
      <c r="V58" s="33">
        <f t="shared" si="10"/>
        <v>4676600</v>
      </c>
    </row>
    <row r="59" spans="1:25">
      <c r="A59" s="154" t="s">
        <v>525</v>
      </c>
      <c r="B59" s="48" t="s">
        <v>228</v>
      </c>
      <c r="C59" s="45">
        <v>22</v>
      </c>
      <c r="D59" s="45" t="s">
        <v>229</v>
      </c>
      <c r="E59" s="45" t="s">
        <v>183</v>
      </c>
      <c r="F59" s="47" t="s">
        <v>28</v>
      </c>
      <c r="G59" s="44" t="s">
        <v>471</v>
      </c>
      <c r="H59" s="32">
        <v>6499600</v>
      </c>
      <c r="I59" s="51">
        <f t="shared" si="16"/>
        <v>6837600</v>
      </c>
      <c r="J59" s="32">
        <f t="shared" si="17"/>
        <v>7295200</v>
      </c>
      <c r="K59" s="32">
        <f t="shared" si="18"/>
        <v>7841200</v>
      </c>
      <c r="L59" s="32">
        <v>8231200</v>
      </c>
      <c r="M59" s="36">
        <f>545430+283445</f>
        <v>828875</v>
      </c>
      <c r="N59" s="213">
        <v>9200000</v>
      </c>
      <c r="O59" s="32">
        <f t="shared" si="19"/>
        <v>921800</v>
      </c>
      <c r="P59" s="32">
        <f t="shared" si="24"/>
        <v>9622700</v>
      </c>
      <c r="Q59" s="32">
        <f t="shared" si="25"/>
        <v>987500</v>
      </c>
      <c r="R59" s="32">
        <f t="shared" si="26"/>
        <v>10130000</v>
      </c>
      <c r="S59" s="32">
        <f t="shared" si="27"/>
        <v>1027500</v>
      </c>
      <c r="T59" s="32">
        <f t="shared" si="8"/>
        <v>10468200</v>
      </c>
      <c r="U59" s="32">
        <f t="shared" si="9"/>
        <v>1060300</v>
      </c>
      <c r="V59" s="33">
        <f t="shared" si="10"/>
        <v>11528500</v>
      </c>
    </row>
    <row r="60" spans="1:25" s="25" customFormat="1">
      <c r="A60" s="154" t="s">
        <v>526</v>
      </c>
      <c r="B60" s="48" t="s">
        <v>230</v>
      </c>
      <c r="C60" s="45">
        <v>2</v>
      </c>
      <c r="D60" s="45" t="s">
        <v>231</v>
      </c>
      <c r="E60" s="45" t="s">
        <v>183</v>
      </c>
      <c r="F60" s="47" t="s">
        <v>171</v>
      </c>
      <c r="G60" s="44" t="s">
        <v>471</v>
      </c>
      <c r="H60" s="32">
        <v>3678000</v>
      </c>
      <c r="I60" s="51">
        <f t="shared" si="16"/>
        <v>3869300</v>
      </c>
      <c r="J60" s="32">
        <f t="shared" si="17"/>
        <v>4128200</v>
      </c>
      <c r="K60" s="32">
        <f t="shared" si="18"/>
        <v>4437200</v>
      </c>
      <c r="L60" s="32">
        <v>4657900</v>
      </c>
      <c r="M60" s="36">
        <f>512685+152065</f>
        <v>664750</v>
      </c>
      <c r="N60" s="213">
        <v>5250000</v>
      </c>
      <c r="O60" s="32">
        <f t="shared" si="19"/>
        <v>739300</v>
      </c>
      <c r="P60" s="32">
        <f t="shared" si="24"/>
        <v>5491200</v>
      </c>
      <c r="Q60" s="32">
        <f t="shared" si="25"/>
        <v>792000</v>
      </c>
      <c r="R60" s="32">
        <f t="shared" si="26"/>
        <v>5780700</v>
      </c>
      <c r="S60" s="32">
        <f t="shared" si="27"/>
        <v>824100</v>
      </c>
      <c r="T60" s="32">
        <f t="shared" si="8"/>
        <v>5973700</v>
      </c>
      <c r="U60" s="32">
        <f t="shared" si="9"/>
        <v>850400</v>
      </c>
      <c r="V60" s="33">
        <f t="shared" si="10"/>
        <v>6824100</v>
      </c>
    </row>
    <row r="61" spans="1:25" s="25" customFormat="1">
      <c r="A61" s="154" t="s">
        <v>527</v>
      </c>
      <c r="B61" s="48" t="s">
        <v>17</v>
      </c>
      <c r="C61" s="45">
        <v>3</v>
      </c>
      <c r="D61" s="45" t="s">
        <v>212</v>
      </c>
      <c r="E61" s="45" t="s">
        <v>183</v>
      </c>
      <c r="F61" s="47" t="s">
        <v>29</v>
      </c>
      <c r="G61" s="44" t="s">
        <v>471</v>
      </c>
      <c r="H61" s="32">
        <v>4744500</v>
      </c>
      <c r="I61" s="32">
        <f t="shared" si="16"/>
        <v>4991200</v>
      </c>
      <c r="J61" s="32">
        <f t="shared" si="17"/>
        <v>5325200</v>
      </c>
      <c r="K61" s="32">
        <f t="shared" si="18"/>
        <v>5723700</v>
      </c>
      <c r="L61" s="32">
        <v>6008400</v>
      </c>
      <c r="M61" s="36">
        <f>409085+122199</f>
        <v>531284</v>
      </c>
      <c r="N61" s="213">
        <v>6750000</v>
      </c>
      <c r="O61" s="32">
        <f t="shared" si="19"/>
        <v>590900</v>
      </c>
      <c r="P61" s="32">
        <f t="shared" si="24"/>
        <v>7060200</v>
      </c>
      <c r="Q61" s="32">
        <f t="shared" si="25"/>
        <v>633000</v>
      </c>
      <c r="R61" s="32">
        <f t="shared" si="26"/>
        <v>7432400</v>
      </c>
      <c r="S61" s="32">
        <f t="shared" si="27"/>
        <v>658700</v>
      </c>
      <c r="T61" s="32">
        <f t="shared" si="8"/>
        <v>7680500</v>
      </c>
      <c r="U61" s="32">
        <f t="shared" si="9"/>
        <v>679700</v>
      </c>
      <c r="V61" s="33">
        <f t="shared" si="10"/>
        <v>8360200</v>
      </c>
      <c r="Y61" s="25" t="s">
        <v>457</v>
      </c>
    </row>
    <row r="62" spans="1:25" ht="12.75" customHeight="1">
      <c r="A62" s="161" t="s">
        <v>528</v>
      </c>
      <c r="B62" s="101"/>
      <c r="C62" s="102"/>
      <c r="D62" s="102"/>
      <c r="E62" s="103"/>
      <c r="F62" s="8"/>
      <c r="G62" s="105"/>
      <c r="H62" s="99"/>
      <c r="I62" s="99"/>
      <c r="J62" s="99"/>
      <c r="K62" s="99"/>
      <c r="L62" s="99"/>
      <c r="M62" s="106"/>
      <c r="N62" s="106"/>
      <c r="O62" s="106"/>
      <c r="P62" s="106"/>
      <c r="Q62" s="106"/>
      <c r="R62" s="106"/>
      <c r="S62" s="106"/>
      <c r="T62" s="106"/>
      <c r="U62" s="106"/>
      <c r="V62" s="107"/>
    </row>
    <row r="63" spans="1:25" ht="13.8" thickBot="1">
      <c r="A63" s="75"/>
      <c r="B63" s="108" t="s">
        <v>47</v>
      </c>
      <c r="C63" s="109"/>
      <c r="D63" s="109"/>
      <c r="E63" s="109"/>
      <c r="F63" s="110"/>
      <c r="G63" s="111"/>
      <c r="H63" s="112">
        <v>58431400</v>
      </c>
      <c r="I63" s="112">
        <f>SUM(I47:I61)</f>
        <v>58420800</v>
      </c>
      <c r="J63" s="112">
        <f>SUM(J47:J61)</f>
        <v>62330600</v>
      </c>
      <c r="K63" s="112">
        <f>SUM(K47:K61)</f>
        <v>66995300</v>
      </c>
      <c r="L63" s="112">
        <v>71536000</v>
      </c>
      <c r="M63" s="112">
        <f t="shared" ref="M63:V63" si="29">SUM(M47:M61)</f>
        <v>8962068</v>
      </c>
      <c r="N63" s="112">
        <f t="shared" si="29"/>
        <v>78775000</v>
      </c>
      <c r="O63" s="112">
        <f t="shared" si="29"/>
        <v>10067400</v>
      </c>
      <c r="P63" s="112">
        <f t="shared" si="29"/>
        <v>82394600</v>
      </c>
      <c r="Q63" s="112">
        <f t="shared" si="29"/>
        <v>10784600</v>
      </c>
      <c r="R63" s="112">
        <f t="shared" si="29"/>
        <v>86738100</v>
      </c>
      <c r="S63" s="112">
        <f t="shared" si="29"/>
        <v>11221900</v>
      </c>
      <c r="T63" s="112">
        <f t="shared" si="29"/>
        <v>89634000</v>
      </c>
      <c r="U63" s="112">
        <f t="shared" si="29"/>
        <v>11580600</v>
      </c>
      <c r="V63" s="112">
        <f t="shared" si="29"/>
        <v>101214600</v>
      </c>
    </row>
    <row r="64" spans="1:25" ht="13.8" thickTop="1">
      <c r="A64" s="231"/>
      <c r="B64" s="98"/>
      <c r="C64" s="95"/>
      <c r="D64" s="95"/>
      <c r="E64" s="95"/>
      <c r="F64" s="96"/>
      <c r="G64" s="97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100"/>
    </row>
    <row r="65" spans="1:23">
      <c r="A65" s="75"/>
      <c r="B65" s="94" t="s">
        <v>62</v>
      </c>
      <c r="C65" s="95"/>
      <c r="D65" s="95"/>
      <c r="E65" s="95"/>
      <c r="F65" s="96"/>
      <c r="G65" s="97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100"/>
    </row>
    <row r="66" spans="1:23" ht="12.75" customHeight="1">
      <c r="A66" s="160" t="s">
        <v>529</v>
      </c>
      <c r="B66" s="30" t="s">
        <v>38</v>
      </c>
      <c r="C66" s="31">
        <v>2</v>
      </c>
      <c r="D66" s="31" t="s">
        <v>184</v>
      </c>
      <c r="E66" s="31" t="s">
        <v>183</v>
      </c>
      <c r="F66" s="47" t="s">
        <v>46</v>
      </c>
      <c r="G66" s="44" t="s">
        <v>471</v>
      </c>
      <c r="H66" s="32">
        <v>7211500</v>
      </c>
      <c r="I66" s="32">
        <f t="shared" ref="I66:I70" si="30">ROUND(H66/125*131.5,-2)</f>
        <v>7586500</v>
      </c>
      <c r="J66" s="32">
        <f t="shared" ref="J66:J70" si="31">ROUND(I66/131.5*140.3,-2)</f>
        <v>8094200</v>
      </c>
      <c r="K66" s="32">
        <f t="shared" ref="K66:K70" si="32">ROUND(J66/140.3*150.8,-2)</f>
        <v>8700000</v>
      </c>
      <c r="L66" s="32">
        <v>9132700</v>
      </c>
      <c r="M66" s="36">
        <f>1153223+404125</f>
        <v>1557348</v>
      </c>
      <c r="N66" s="213">
        <v>11200000</v>
      </c>
      <c r="O66" s="32">
        <f t="shared" ref="O66:O70" si="33">ROUND(M66/126.6*140.8,-2)</f>
        <v>1732000</v>
      </c>
      <c r="P66" s="32">
        <f t="shared" ref="P66:P70" si="34">ROUND(N66/119.7*125.2,-2)</f>
        <v>11714600</v>
      </c>
      <c r="Q66" s="32">
        <f t="shared" ref="Q66:Q70" si="35">ROUND(O66/115.1*123.3,-2)</f>
        <v>1855400</v>
      </c>
      <c r="R66" s="32">
        <f t="shared" ref="R66:R70" si="36">ROUND(P66/125.2*131.8,-2)</f>
        <v>12332100</v>
      </c>
      <c r="S66" s="32">
        <f t="shared" ref="S66:S70" si="37">ROUND(Q66/123.3*128.3,-2)</f>
        <v>1930600</v>
      </c>
      <c r="T66" s="32">
        <f t="shared" ref="T66:T70" si="38">ROUND(R66/131.8*136.2,-2)</f>
        <v>12743800</v>
      </c>
      <c r="U66" s="32">
        <f t="shared" ref="U66:U70" si="39">ROUND(S66/128.3*132.4,-2)</f>
        <v>1992300</v>
      </c>
      <c r="V66" s="33">
        <f t="shared" ref="V66:V70" si="40">T66+U66</f>
        <v>14736100</v>
      </c>
    </row>
    <row r="67" spans="1:23" ht="12.75" customHeight="1">
      <c r="A67" s="160" t="s">
        <v>530</v>
      </c>
      <c r="B67" s="30" t="s">
        <v>40</v>
      </c>
      <c r="C67" s="45" t="s">
        <v>466</v>
      </c>
      <c r="D67" s="31" t="s">
        <v>185</v>
      </c>
      <c r="E67" s="31" t="s">
        <v>183</v>
      </c>
      <c r="F67" s="47" t="s">
        <v>172</v>
      </c>
      <c r="G67" s="44" t="s">
        <v>471</v>
      </c>
      <c r="H67" s="32">
        <v>17967400</v>
      </c>
      <c r="I67" s="32">
        <f t="shared" si="30"/>
        <v>18901700</v>
      </c>
      <c r="J67" s="69">
        <f>ROUND(I67/131.5*140.3,-2)+1120000</f>
        <v>21286600</v>
      </c>
      <c r="K67" s="32">
        <f t="shared" si="32"/>
        <v>22879700</v>
      </c>
      <c r="L67" s="32">
        <v>24017600</v>
      </c>
      <c r="M67" s="36">
        <f>2589029+1007850</f>
        <v>3596879</v>
      </c>
      <c r="N67" s="213">
        <v>26700000</v>
      </c>
      <c r="O67" s="32">
        <f t="shared" si="33"/>
        <v>4000300</v>
      </c>
      <c r="P67" s="32">
        <f>ROUND(N67/125.1*125.2,-2)</f>
        <v>26721300</v>
      </c>
      <c r="Q67" s="32">
        <f t="shared" si="35"/>
        <v>4285300</v>
      </c>
      <c r="R67" s="32">
        <f t="shared" si="36"/>
        <v>28129900</v>
      </c>
      <c r="S67" s="32">
        <f t="shared" si="37"/>
        <v>4459100</v>
      </c>
      <c r="T67" s="32">
        <f t="shared" si="38"/>
        <v>29069000</v>
      </c>
      <c r="U67" s="32">
        <f t="shared" si="39"/>
        <v>4601600</v>
      </c>
      <c r="V67" s="33">
        <f t="shared" si="40"/>
        <v>33670600</v>
      </c>
      <c r="W67" s="72"/>
    </row>
    <row r="68" spans="1:23" ht="12.75" customHeight="1">
      <c r="A68" s="160" t="s">
        <v>531</v>
      </c>
      <c r="B68" s="30" t="s">
        <v>41</v>
      </c>
      <c r="C68" s="31">
        <v>2</v>
      </c>
      <c r="D68" s="31" t="s">
        <v>186</v>
      </c>
      <c r="E68" s="31" t="s">
        <v>183</v>
      </c>
      <c r="F68" s="47" t="s">
        <v>44</v>
      </c>
      <c r="G68" s="44" t="s">
        <v>471</v>
      </c>
      <c r="H68" s="36">
        <v>4265500</v>
      </c>
      <c r="I68" s="36">
        <f t="shared" si="30"/>
        <v>4487300</v>
      </c>
      <c r="J68" s="69">
        <v>7592600</v>
      </c>
      <c r="K68" s="32">
        <f t="shared" si="32"/>
        <v>8160800</v>
      </c>
      <c r="L68" s="32">
        <v>8566700</v>
      </c>
      <c r="M68" s="36">
        <f>621857+207598</f>
        <v>829455</v>
      </c>
      <c r="N68" s="213">
        <v>9200000</v>
      </c>
      <c r="O68" s="32">
        <f t="shared" si="33"/>
        <v>922500</v>
      </c>
      <c r="P68" s="32">
        <f>ROUND(N68/125.1*125.2,-2)</f>
        <v>9207400</v>
      </c>
      <c r="Q68" s="32">
        <f t="shared" si="35"/>
        <v>988200</v>
      </c>
      <c r="R68" s="32">
        <f t="shared" si="36"/>
        <v>9692800</v>
      </c>
      <c r="S68" s="32">
        <f t="shared" si="37"/>
        <v>1028300</v>
      </c>
      <c r="T68" s="32">
        <f t="shared" si="38"/>
        <v>10016400</v>
      </c>
      <c r="U68" s="32">
        <f t="shared" si="39"/>
        <v>1061200</v>
      </c>
      <c r="V68" s="33">
        <f t="shared" si="40"/>
        <v>11077600</v>
      </c>
      <c r="W68" s="79"/>
    </row>
    <row r="69" spans="1:23" ht="12.75" customHeight="1">
      <c r="A69" s="160" t="s">
        <v>532</v>
      </c>
      <c r="B69" s="34" t="s">
        <v>50</v>
      </c>
      <c r="C69" s="31">
        <v>38</v>
      </c>
      <c r="D69" s="31" t="s">
        <v>187</v>
      </c>
      <c r="E69" s="31" t="s">
        <v>183</v>
      </c>
      <c r="F69" s="47" t="s">
        <v>39</v>
      </c>
      <c r="G69" s="44" t="s">
        <v>471</v>
      </c>
      <c r="H69" s="36">
        <v>16927200</v>
      </c>
      <c r="I69" s="77">
        <f t="shared" si="30"/>
        <v>17807400</v>
      </c>
      <c r="J69" s="36">
        <f t="shared" si="31"/>
        <v>18999100</v>
      </c>
      <c r="K69" s="32">
        <f t="shared" si="32"/>
        <v>20421000</v>
      </c>
      <c r="L69" s="32">
        <v>21436600</v>
      </c>
      <c r="M69" s="36">
        <f>2871283+1203250</f>
        <v>4074533</v>
      </c>
      <c r="N69" s="213">
        <v>22100000</v>
      </c>
      <c r="O69" s="32">
        <f t="shared" si="33"/>
        <v>4531600</v>
      </c>
      <c r="P69" s="32">
        <f t="shared" si="34"/>
        <v>23115500</v>
      </c>
      <c r="Q69" s="32">
        <f t="shared" si="35"/>
        <v>4854400</v>
      </c>
      <c r="R69" s="32">
        <f t="shared" si="36"/>
        <v>24334000</v>
      </c>
      <c r="S69" s="32">
        <f t="shared" si="37"/>
        <v>5051300</v>
      </c>
      <c r="T69" s="32">
        <f t="shared" si="38"/>
        <v>25146400</v>
      </c>
      <c r="U69" s="32">
        <f t="shared" si="39"/>
        <v>5212700</v>
      </c>
      <c r="V69" s="33">
        <f t="shared" si="40"/>
        <v>30359100</v>
      </c>
    </row>
    <row r="70" spans="1:23" ht="26.4">
      <c r="A70" s="160" t="s">
        <v>533</v>
      </c>
      <c r="B70" s="35" t="s">
        <v>451</v>
      </c>
      <c r="C70" s="78" t="s">
        <v>452</v>
      </c>
      <c r="D70" s="78" t="s">
        <v>453</v>
      </c>
      <c r="E70" s="31" t="s">
        <v>183</v>
      </c>
      <c r="F70" s="47" t="s">
        <v>450</v>
      </c>
      <c r="G70" s="44" t="s">
        <v>471</v>
      </c>
      <c r="H70" s="32">
        <v>18734700</v>
      </c>
      <c r="I70" s="32">
        <f t="shared" si="30"/>
        <v>19708900</v>
      </c>
      <c r="J70" s="32">
        <f t="shared" si="31"/>
        <v>21027800</v>
      </c>
      <c r="K70" s="32">
        <f t="shared" si="32"/>
        <v>22601500</v>
      </c>
      <c r="L70" s="32">
        <v>23725600</v>
      </c>
      <c r="M70" s="36">
        <f>2727753+951370</f>
        <v>3679123</v>
      </c>
      <c r="N70" s="213">
        <v>26275000</v>
      </c>
      <c r="O70" s="32">
        <f t="shared" si="33"/>
        <v>4091800</v>
      </c>
      <c r="P70" s="32">
        <f t="shared" si="34"/>
        <v>27482300</v>
      </c>
      <c r="Q70" s="32">
        <f t="shared" si="35"/>
        <v>4383300</v>
      </c>
      <c r="R70" s="32">
        <f t="shared" si="36"/>
        <v>28931000</v>
      </c>
      <c r="S70" s="32">
        <f t="shared" si="37"/>
        <v>4561000</v>
      </c>
      <c r="T70" s="32">
        <f t="shared" si="38"/>
        <v>29896800</v>
      </c>
      <c r="U70" s="32">
        <f t="shared" si="39"/>
        <v>4706800</v>
      </c>
      <c r="V70" s="33">
        <f t="shared" si="40"/>
        <v>34603600</v>
      </c>
    </row>
    <row r="71" spans="1:23" ht="12.75" customHeight="1">
      <c r="A71" s="230"/>
      <c r="B71" s="101"/>
      <c r="C71" s="103"/>
      <c r="D71" s="103"/>
      <c r="E71" s="103"/>
      <c r="F71" s="113"/>
      <c r="G71" s="105"/>
      <c r="H71" s="99"/>
      <c r="I71" s="99"/>
      <c r="J71" s="99"/>
      <c r="K71" s="99"/>
      <c r="L71" s="99"/>
      <c r="M71" s="106"/>
      <c r="N71" s="106"/>
      <c r="O71" s="106"/>
      <c r="P71" s="106"/>
      <c r="Q71" s="106"/>
      <c r="R71" s="106"/>
      <c r="S71" s="106"/>
      <c r="T71" s="106"/>
      <c r="U71" s="106"/>
      <c r="V71" s="33"/>
    </row>
    <row r="72" spans="1:23" ht="13.8" thickBot="1">
      <c r="A72" s="75"/>
      <c r="B72" s="108" t="s">
        <v>48</v>
      </c>
      <c r="C72" s="109"/>
      <c r="D72" s="109"/>
      <c r="E72" s="109"/>
      <c r="F72" s="110"/>
      <c r="G72" s="111"/>
      <c r="H72" s="112">
        <v>65364300</v>
      </c>
      <c r="I72" s="112">
        <f>SUM(I66:I70)</f>
        <v>68491800</v>
      </c>
      <c r="J72" s="112">
        <f>SUM(J66:J70)</f>
        <v>77000300</v>
      </c>
      <c r="K72" s="112">
        <f>SUM(K66:K70)</f>
        <v>82763000</v>
      </c>
      <c r="L72" s="112">
        <v>87206000</v>
      </c>
      <c r="M72" s="112">
        <f t="shared" ref="M72:V72" si="41">SUM(M66:M70)</f>
        <v>13737338</v>
      </c>
      <c r="N72" s="112">
        <f t="shared" si="41"/>
        <v>95475000</v>
      </c>
      <c r="O72" s="112">
        <f t="shared" si="41"/>
        <v>15278200</v>
      </c>
      <c r="P72" s="112">
        <f t="shared" si="41"/>
        <v>98241100</v>
      </c>
      <c r="Q72" s="112">
        <f t="shared" si="41"/>
        <v>16366600</v>
      </c>
      <c r="R72" s="112">
        <f t="shared" ref="R72:S72" si="42">SUM(R66:R70)</f>
        <v>103419800</v>
      </c>
      <c r="S72" s="112">
        <f t="shared" si="42"/>
        <v>17030300</v>
      </c>
      <c r="T72" s="112">
        <f t="shared" ref="T72:U72" si="43">SUM(T66:T70)</f>
        <v>106872400</v>
      </c>
      <c r="U72" s="112">
        <f t="shared" si="43"/>
        <v>17574600</v>
      </c>
      <c r="V72" s="118">
        <f t="shared" si="41"/>
        <v>124447000</v>
      </c>
    </row>
    <row r="73" spans="1:23" ht="13.8" thickTop="1">
      <c r="A73" s="236"/>
      <c r="B73" s="98"/>
      <c r="C73" s="95"/>
      <c r="D73" s="95"/>
      <c r="E73" s="95"/>
      <c r="F73" s="96"/>
      <c r="G73" s="97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100"/>
    </row>
    <row r="74" spans="1:23">
      <c r="A74" s="75"/>
      <c r="B74" s="114"/>
      <c r="C74" s="115"/>
      <c r="D74" s="115"/>
      <c r="E74" s="115"/>
      <c r="F74" s="116"/>
      <c r="G74" s="11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3" ht="13.8" thickBot="1">
      <c r="A75" s="75"/>
      <c r="B75" s="92" t="s">
        <v>310</v>
      </c>
      <c r="C75" s="109"/>
      <c r="D75" s="109"/>
      <c r="E75" s="109"/>
      <c r="F75" s="110"/>
      <c r="G75" s="111"/>
      <c r="H75" s="118">
        <v>189800700</v>
      </c>
      <c r="I75" s="118">
        <f>I44+I63+I72</f>
        <v>188834400</v>
      </c>
      <c r="J75" s="118">
        <f>J44+J63+J72</f>
        <v>205392600</v>
      </c>
      <c r="K75" s="118">
        <f>K44+K63+K72</f>
        <v>220754900</v>
      </c>
      <c r="L75" s="118">
        <v>243169600</v>
      </c>
      <c r="M75" s="118">
        <f t="shared" ref="M75:V75" si="44">M44+M63+M72</f>
        <v>28184256</v>
      </c>
      <c r="N75" s="118">
        <f t="shared" si="44"/>
        <v>300189200</v>
      </c>
      <c r="O75" s="118">
        <f t="shared" si="44"/>
        <v>33448900</v>
      </c>
      <c r="P75" s="118">
        <f t="shared" si="44"/>
        <v>312277700</v>
      </c>
      <c r="Q75" s="118">
        <f t="shared" si="44"/>
        <v>35831900</v>
      </c>
      <c r="R75" s="118">
        <f t="shared" ref="R75:S75" si="45">R44+R63+R72</f>
        <v>328739600</v>
      </c>
      <c r="S75" s="118">
        <f t="shared" si="45"/>
        <v>37285100</v>
      </c>
      <c r="T75" s="118">
        <f t="shared" ref="T75:U75" si="46">T44+T63+T72</f>
        <v>339714200</v>
      </c>
      <c r="U75" s="118">
        <f t="shared" si="46"/>
        <v>38476800</v>
      </c>
      <c r="V75" s="118">
        <f t="shared" si="44"/>
        <v>378191000</v>
      </c>
    </row>
    <row r="76" spans="1:23" ht="13.8" thickTop="1"/>
    <row r="77" spans="1:23" ht="12" customHeight="1">
      <c r="B77" s="74" t="s">
        <v>375</v>
      </c>
    </row>
    <row r="78" spans="1:23" ht="12" customHeight="1">
      <c r="B78" s="74" t="s">
        <v>374</v>
      </c>
    </row>
    <row r="79" spans="1:23" s="75" customFormat="1" ht="12" customHeight="1">
      <c r="B79" s="74" t="s">
        <v>373</v>
      </c>
      <c r="C79" s="80"/>
      <c r="D79" s="80"/>
      <c r="E79" s="80"/>
      <c r="F79" s="81"/>
      <c r="G79" s="81"/>
      <c r="H79" s="81"/>
      <c r="I79" s="76"/>
    </row>
    <row r="80" spans="1:23" s="75" customFormat="1" ht="12" customHeight="1">
      <c r="B80" s="74" t="s">
        <v>470</v>
      </c>
      <c r="C80" s="80"/>
      <c r="D80" s="80"/>
      <c r="E80" s="80"/>
      <c r="F80" s="81"/>
      <c r="G80" s="81"/>
      <c r="H80" s="81"/>
      <c r="I80" s="76"/>
    </row>
    <row r="81" spans="1:24" s="72" customFormat="1" ht="12.75" customHeight="1">
      <c r="A81" s="230"/>
      <c r="B81" s="122"/>
      <c r="C81" s="123"/>
      <c r="D81" s="123"/>
      <c r="E81" s="123"/>
      <c r="F81" s="124"/>
      <c r="G81" s="125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7"/>
    </row>
    <row r="84" spans="1:24">
      <c r="B84" s="245" t="s">
        <v>612</v>
      </c>
    </row>
    <row r="85" spans="1:24" ht="26.4">
      <c r="A85" s="154" t="s">
        <v>517</v>
      </c>
      <c r="B85" s="48" t="s">
        <v>27</v>
      </c>
      <c r="C85" s="45">
        <v>9</v>
      </c>
      <c r="D85" s="45" t="s">
        <v>219</v>
      </c>
      <c r="E85" s="45" t="s">
        <v>183</v>
      </c>
      <c r="F85" s="47" t="s">
        <v>613</v>
      </c>
      <c r="G85" s="44" t="s">
        <v>471</v>
      </c>
      <c r="H85" s="32">
        <v>2574700</v>
      </c>
      <c r="I85" s="51">
        <f t="shared" ref="I85" si="47">ROUND(H85/125*131.5,-2)</f>
        <v>2708600</v>
      </c>
      <c r="J85" s="32">
        <f t="shared" ref="J85" si="48">ROUND(I85/131.5*140.3,-2)</f>
        <v>2889900</v>
      </c>
      <c r="K85" s="32">
        <f t="shared" ref="K85" si="49">ROUND(J85/140.3*150.8,-2)</f>
        <v>3106200</v>
      </c>
      <c r="L85" s="32">
        <v>3260700</v>
      </c>
      <c r="M85" s="36">
        <v>0</v>
      </c>
      <c r="N85" s="213">
        <v>3550000</v>
      </c>
      <c r="O85" s="36">
        <v>100000</v>
      </c>
      <c r="P85" s="32">
        <f t="shared" ref="P85" si="50">ROUND(N85/119.7*125.2,-2)</f>
        <v>3713100</v>
      </c>
      <c r="Q85" s="32">
        <f t="shared" ref="Q85" si="51">ROUND(O85/115.1*123.3,-2)</f>
        <v>107100</v>
      </c>
      <c r="R85" s="32">
        <f t="shared" ref="R85" si="52">ROUND(P85/125.2*131.8,-2)</f>
        <v>3908800</v>
      </c>
      <c r="S85" s="32">
        <f t="shared" ref="S85" si="53">ROUND(Q85/123.3*128.3,-2)</f>
        <v>111400</v>
      </c>
      <c r="T85" s="32">
        <f t="shared" ref="T85" si="54">ROUND(R85/131.8*136.2,-2)</f>
        <v>4039300</v>
      </c>
      <c r="U85" s="32">
        <f t="shared" ref="U85" si="55">ROUND(S85/128.3*132.4,-2)</f>
        <v>115000</v>
      </c>
      <c r="V85" s="33">
        <f t="shared" ref="V85:V86" si="56">T85+U85</f>
        <v>4154300</v>
      </c>
      <c r="X85" s="72" t="s">
        <v>614</v>
      </c>
    </row>
    <row r="86" spans="1:24" s="72" customFormat="1" ht="22.8">
      <c r="A86" s="248"/>
      <c r="B86" s="249" t="s">
        <v>13</v>
      </c>
      <c r="C86" s="250">
        <v>3</v>
      </c>
      <c r="D86" s="250" t="s">
        <v>189</v>
      </c>
      <c r="E86" s="250" t="s">
        <v>183</v>
      </c>
      <c r="F86" s="254" t="s">
        <v>620</v>
      </c>
      <c r="G86" s="251"/>
      <c r="H86" s="252"/>
      <c r="I86" s="252"/>
      <c r="J86" s="252"/>
      <c r="K86" s="252"/>
      <c r="L86" s="252"/>
      <c r="M86" s="252"/>
      <c r="N86" s="252"/>
      <c r="O86" s="252"/>
      <c r="P86" s="252"/>
      <c r="Q86" s="252"/>
      <c r="R86" s="252"/>
      <c r="S86" s="252"/>
      <c r="T86" s="252">
        <v>8050000</v>
      </c>
      <c r="U86" s="252"/>
      <c r="V86" s="253">
        <f t="shared" si="56"/>
        <v>8050000</v>
      </c>
      <c r="X86" s="72" t="s">
        <v>621</v>
      </c>
    </row>
    <row r="89" spans="1:24">
      <c r="N89" s="3"/>
    </row>
  </sheetData>
  <autoFilter ref="A1:V44" xr:uid="{373F79C4-DE6F-409C-A46F-EFB07AA2152F}"/>
  <sortState xmlns:xlrd2="http://schemas.microsoft.com/office/spreadsheetml/2017/richdata2" ref="A4:XFB43">
    <sortCondition ref="C4:C43"/>
  </sortState>
  <mergeCells count="1">
    <mergeCell ref="G1:G4"/>
  </mergeCells>
  <phoneticPr fontId="0" type="noConversion"/>
  <pageMargins left="0.39370078740157483" right="0.39370078740157483" top="1.5354330708661419" bottom="0.94488188976377963" header="0.51181102362204722" footer="0.70866141732283472"/>
  <pageSetup paperSize="9" scale="68" fitToHeight="5" orientation="landscape" r:id="rId1"/>
  <headerFooter>
    <oddFooter>&amp;L&amp;"Arial,Standaard"&amp;F &amp;A&amp;C&amp;"Arial,Standaard"&amp;P</oddFooter>
  </headerFooter>
  <rowBreaks count="2" manualBreakCount="2">
    <brk id="45" min="1" max="17" man="1"/>
    <brk id="64" min="1" max="17" man="1"/>
  </rowBreaks>
  <ignoredErrors>
    <ignoredError sqref="I64:I66 I51:I59 I60:I61 J66 J6:J10 I38:I40 I12:I16 I44:I49 I6:I10 I69:J69 J22:J26 I22:I26 M22:M26 M47:M49 M66:M69 M6:M10 I21:J21 K6:K10 K66:K69 J47:K49 K22:K26 M51:M59 J51:K59 J11:J16 M11:M16 K11:K16 I70:J70 M70 K70 J38 M38:M41 K38:K41 I17 J17 M17 K17 I18:I19 J18:J19 M18:M21 K18:K21 J27:J34 I27:I34 M27:M34 K27:K34 J35 I35 M35 K35 J37 I37 M37 K37 M60:M61 J60:K61 P60:Q61 P37:Q37 P35:Q35 P18:Q18 P17:Q17 P38:Q42 Q26 Q68 Q67 P69:Q69 Q19 P20:Q21 Q15 P16:Q16 P70:Q70 P11:Q14 P22:Q25 P66:Q66 P47:Q59 P27:Q34 P6:Q10 R6:S42 R47:S61 R66:S70 T6:V6 T7:V42 T47:V61 T66:V70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0"/>
  <sheetViews>
    <sheetView topLeftCell="F1" zoomScaleNormal="100" workbookViewId="0">
      <selection activeCell="V1" sqref="V1:V1048576"/>
    </sheetView>
  </sheetViews>
  <sheetFormatPr defaultRowHeight="13.2"/>
  <cols>
    <col min="1" max="1" width="15.33203125" style="239" customWidth="1"/>
    <col min="2" max="2" width="28" style="8" bestFit="1" customWidth="1"/>
    <col min="3" max="3" width="12.77734375" style="8" bestFit="1" customWidth="1"/>
    <col min="4" max="4" width="14.33203125" style="8" bestFit="1" customWidth="1"/>
    <col min="5" max="5" width="12.77734375" style="8" customWidth="1"/>
    <col min="6" max="6" width="58.21875" style="8" customWidth="1"/>
    <col min="7" max="7" width="9.44140625" style="8" bestFit="1" customWidth="1"/>
    <col min="8" max="10" width="20" style="8" hidden="1" customWidth="1"/>
    <col min="11" max="17" width="25.33203125" style="8" hidden="1" customWidth="1"/>
    <col min="18" max="19" width="25.33203125" style="8" customWidth="1"/>
    <col min="20" max="20" width="26.21875" style="8" bestFit="1" customWidth="1"/>
    <col min="21" max="21" width="16.21875" style="8" bestFit="1" customWidth="1"/>
    <col min="22" max="245" width="9.33203125" style="8"/>
    <col min="246" max="246" width="58.21875" style="8" customWidth="1"/>
    <col min="247" max="247" width="42.33203125" style="8" bestFit="1" customWidth="1"/>
    <col min="248" max="248" width="10.77734375" style="8" bestFit="1" customWidth="1"/>
    <col min="249" max="249" width="9.77734375" style="8" bestFit="1" customWidth="1"/>
    <col min="250" max="259" width="0" style="8" hidden="1" customWidth="1"/>
    <col min="260" max="260" width="26" style="8" customWidth="1"/>
    <col min="261" max="261" width="25.33203125" style="8" bestFit="1" customWidth="1"/>
    <col min="262" max="262" width="26.21875" style="8" bestFit="1" customWidth="1"/>
    <col min="263" max="263" width="9.33203125" style="8" bestFit="1" customWidth="1"/>
    <col min="264" max="264" width="19.33203125" style="8" bestFit="1" customWidth="1"/>
    <col min="265" max="265" width="13.77734375" style="8" bestFit="1" customWidth="1"/>
    <col min="266" max="266" width="18.77734375" style="8" bestFit="1" customWidth="1"/>
    <col min="267" max="267" width="18.21875" style="8" bestFit="1" customWidth="1"/>
    <col min="268" max="501" width="9.33203125" style="8"/>
    <col min="502" max="502" width="58.21875" style="8" customWidth="1"/>
    <col min="503" max="503" width="42.33203125" style="8" bestFit="1" customWidth="1"/>
    <col min="504" max="504" width="10.77734375" style="8" bestFit="1" customWidth="1"/>
    <col min="505" max="505" width="9.77734375" style="8" bestFit="1" customWidth="1"/>
    <col min="506" max="515" width="0" style="8" hidden="1" customWidth="1"/>
    <col min="516" max="516" width="26" style="8" customWidth="1"/>
    <col min="517" max="517" width="25.33203125" style="8" bestFit="1" customWidth="1"/>
    <col min="518" max="518" width="26.21875" style="8" bestFit="1" customWidth="1"/>
    <col min="519" max="519" width="9.33203125" style="8" bestFit="1" customWidth="1"/>
    <col min="520" max="520" width="19.33203125" style="8" bestFit="1" customWidth="1"/>
    <col min="521" max="521" width="13.77734375" style="8" bestFit="1" customWidth="1"/>
    <col min="522" max="522" width="18.77734375" style="8" bestFit="1" customWidth="1"/>
    <col min="523" max="523" width="18.21875" style="8" bestFit="1" customWidth="1"/>
    <col min="524" max="757" width="9.33203125" style="8"/>
    <col min="758" max="758" width="58.21875" style="8" customWidth="1"/>
    <col min="759" max="759" width="42.33203125" style="8" bestFit="1" customWidth="1"/>
    <col min="760" max="760" width="10.77734375" style="8" bestFit="1" customWidth="1"/>
    <col min="761" max="761" width="9.77734375" style="8" bestFit="1" customWidth="1"/>
    <col min="762" max="771" width="0" style="8" hidden="1" customWidth="1"/>
    <col min="772" max="772" width="26" style="8" customWidth="1"/>
    <col min="773" max="773" width="25.33203125" style="8" bestFit="1" customWidth="1"/>
    <col min="774" max="774" width="26.21875" style="8" bestFit="1" customWidth="1"/>
    <col min="775" max="775" width="9.33203125" style="8" bestFit="1" customWidth="1"/>
    <col min="776" max="776" width="19.33203125" style="8" bestFit="1" customWidth="1"/>
    <col min="777" max="777" width="13.77734375" style="8" bestFit="1" customWidth="1"/>
    <col min="778" max="778" width="18.77734375" style="8" bestFit="1" customWidth="1"/>
    <col min="779" max="779" width="18.21875" style="8" bestFit="1" customWidth="1"/>
    <col min="780" max="1013" width="9.33203125" style="8"/>
    <col min="1014" max="1014" width="58.21875" style="8" customWidth="1"/>
    <col min="1015" max="1015" width="42.33203125" style="8" bestFit="1" customWidth="1"/>
    <col min="1016" max="1016" width="10.77734375" style="8" bestFit="1" customWidth="1"/>
    <col min="1017" max="1017" width="9.77734375" style="8" bestFit="1" customWidth="1"/>
    <col min="1018" max="1027" width="0" style="8" hidden="1" customWidth="1"/>
    <col min="1028" max="1028" width="26" style="8" customWidth="1"/>
    <col min="1029" max="1029" width="25.33203125" style="8" bestFit="1" customWidth="1"/>
    <col min="1030" max="1030" width="26.21875" style="8" bestFit="1" customWidth="1"/>
    <col min="1031" max="1031" width="9.33203125" style="8" bestFit="1" customWidth="1"/>
    <col min="1032" max="1032" width="19.33203125" style="8" bestFit="1" customWidth="1"/>
    <col min="1033" max="1033" width="13.77734375" style="8" bestFit="1" customWidth="1"/>
    <col min="1034" max="1034" width="18.77734375" style="8" bestFit="1" customWidth="1"/>
    <col min="1035" max="1035" width="18.21875" style="8" bestFit="1" customWidth="1"/>
    <col min="1036" max="1269" width="9.33203125" style="8"/>
    <col min="1270" max="1270" width="58.21875" style="8" customWidth="1"/>
    <col min="1271" max="1271" width="42.33203125" style="8" bestFit="1" customWidth="1"/>
    <col min="1272" max="1272" width="10.77734375" style="8" bestFit="1" customWidth="1"/>
    <col min="1273" max="1273" width="9.77734375" style="8" bestFit="1" customWidth="1"/>
    <col min="1274" max="1283" width="0" style="8" hidden="1" customWidth="1"/>
    <col min="1284" max="1284" width="26" style="8" customWidth="1"/>
    <col min="1285" max="1285" width="25.33203125" style="8" bestFit="1" customWidth="1"/>
    <col min="1286" max="1286" width="26.21875" style="8" bestFit="1" customWidth="1"/>
    <col min="1287" max="1287" width="9.33203125" style="8" bestFit="1" customWidth="1"/>
    <col min="1288" max="1288" width="19.33203125" style="8" bestFit="1" customWidth="1"/>
    <col min="1289" max="1289" width="13.77734375" style="8" bestFit="1" customWidth="1"/>
    <col min="1290" max="1290" width="18.77734375" style="8" bestFit="1" customWidth="1"/>
    <col min="1291" max="1291" width="18.21875" style="8" bestFit="1" customWidth="1"/>
    <col min="1292" max="1525" width="9.33203125" style="8"/>
    <col min="1526" max="1526" width="58.21875" style="8" customWidth="1"/>
    <col min="1527" max="1527" width="42.33203125" style="8" bestFit="1" customWidth="1"/>
    <col min="1528" max="1528" width="10.77734375" style="8" bestFit="1" customWidth="1"/>
    <col min="1529" max="1529" width="9.77734375" style="8" bestFit="1" customWidth="1"/>
    <col min="1530" max="1539" width="0" style="8" hidden="1" customWidth="1"/>
    <col min="1540" max="1540" width="26" style="8" customWidth="1"/>
    <col min="1541" max="1541" width="25.33203125" style="8" bestFit="1" customWidth="1"/>
    <col min="1542" max="1542" width="26.21875" style="8" bestFit="1" customWidth="1"/>
    <col min="1543" max="1543" width="9.33203125" style="8" bestFit="1" customWidth="1"/>
    <col min="1544" max="1544" width="19.33203125" style="8" bestFit="1" customWidth="1"/>
    <col min="1545" max="1545" width="13.77734375" style="8" bestFit="1" customWidth="1"/>
    <col min="1546" max="1546" width="18.77734375" style="8" bestFit="1" customWidth="1"/>
    <col min="1547" max="1547" width="18.21875" style="8" bestFit="1" customWidth="1"/>
    <col min="1548" max="1781" width="9.33203125" style="8"/>
    <col min="1782" max="1782" width="58.21875" style="8" customWidth="1"/>
    <col min="1783" max="1783" width="42.33203125" style="8" bestFit="1" customWidth="1"/>
    <col min="1784" max="1784" width="10.77734375" style="8" bestFit="1" customWidth="1"/>
    <col min="1785" max="1785" width="9.77734375" style="8" bestFit="1" customWidth="1"/>
    <col min="1786" max="1795" width="0" style="8" hidden="1" customWidth="1"/>
    <col min="1796" max="1796" width="26" style="8" customWidth="1"/>
    <col min="1797" max="1797" width="25.33203125" style="8" bestFit="1" customWidth="1"/>
    <col min="1798" max="1798" width="26.21875" style="8" bestFit="1" customWidth="1"/>
    <col min="1799" max="1799" width="9.33203125" style="8" bestFit="1" customWidth="1"/>
    <col min="1800" max="1800" width="19.33203125" style="8" bestFit="1" customWidth="1"/>
    <col min="1801" max="1801" width="13.77734375" style="8" bestFit="1" customWidth="1"/>
    <col min="1802" max="1802" width="18.77734375" style="8" bestFit="1" customWidth="1"/>
    <col min="1803" max="1803" width="18.21875" style="8" bestFit="1" customWidth="1"/>
    <col min="1804" max="2037" width="9.33203125" style="8"/>
    <col min="2038" max="2038" width="58.21875" style="8" customWidth="1"/>
    <col min="2039" max="2039" width="42.33203125" style="8" bestFit="1" customWidth="1"/>
    <col min="2040" max="2040" width="10.77734375" style="8" bestFit="1" customWidth="1"/>
    <col min="2041" max="2041" width="9.77734375" style="8" bestFit="1" customWidth="1"/>
    <col min="2042" max="2051" width="0" style="8" hidden="1" customWidth="1"/>
    <col min="2052" max="2052" width="26" style="8" customWidth="1"/>
    <col min="2053" max="2053" width="25.33203125" style="8" bestFit="1" customWidth="1"/>
    <col min="2054" max="2054" width="26.21875" style="8" bestFit="1" customWidth="1"/>
    <col min="2055" max="2055" width="9.33203125" style="8" bestFit="1" customWidth="1"/>
    <col min="2056" max="2056" width="19.33203125" style="8" bestFit="1" customWidth="1"/>
    <col min="2057" max="2057" width="13.77734375" style="8" bestFit="1" customWidth="1"/>
    <col min="2058" max="2058" width="18.77734375" style="8" bestFit="1" customWidth="1"/>
    <col min="2059" max="2059" width="18.21875" style="8" bestFit="1" customWidth="1"/>
    <col min="2060" max="2293" width="9.33203125" style="8"/>
    <col min="2294" max="2294" width="58.21875" style="8" customWidth="1"/>
    <col min="2295" max="2295" width="42.33203125" style="8" bestFit="1" customWidth="1"/>
    <col min="2296" max="2296" width="10.77734375" style="8" bestFit="1" customWidth="1"/>
    <col min="2297" max="2297" width="9.77734375" style="8" bestFit="1" customWidth="1"/>
    <col min="2298" max="2307" width="0" style="8" hidden="1" customWidth="1"/>
    <col min="2308" max="2308" width="26" style="8" customWidth="1"/>
    <col min="2309" max="2309" width="25.33203125" style="8" bestFit="1" customWidth="1"/>
    <col min="2310" max="2310" width="26.21875" style="8" bestFit="1" customWidth="1"/>
    <col min="2311" max="2311" width="9.33203125" style="8" bestFit="1" customWidth="1"/>
    <col min="2312" max="2312" width="19.33203125" style="8" bestFit="1" customWidth="1"/>
    <col min="2313" max="2313" width="13.77734375" style="8" bestFit="1" customWidth="1"/>
    <col min="2314" max="2314" width="18.77734375" style="8" bestFit="1" customWidth="1"/>
    <col min="2315" max="2315" width="18.21875" style="8" bestFit="1" customWidth="1"/>
    <col min="2316" max="2549" width="9.33203125" style="8"/>
    <col min="2550" max="2550" width="58.21875" style="8" customWidth="1"/>
    <col min="2551" max="2551" width="42.33203125" style="8" bestFit="1" customWidth="1"/>
    <col min="2552" max="2552" width="10.77734375" style="8" bestFit="1" customWidth="1"/>
    <col min="2553" max="2553" width="9.77734375" style="8" bestFit="1" customWidth="1"/>
    <col min="2554" max="2563" width="0" style="8" hidden="1" customWidth="1"/>
    <col min="2564" max="2564" width="26" style="8" customWidth="1"/>
    <col min="2565" max="2565" width="25.33203125" style="8" bestFit="1" customWidth="1"/>
    <col min="2566" max="2566" width="26.21875" style="8" bestFit="1" customWidth="1"/>
    <col min="2567" max="2567" width="9.33203125" style="8" bestFit="1" customWidth="1"/>
    <col min="2568" max="2568" width="19.33203125" style="8" bestFit="1" customWidth="1"/>
    <col min="2569" max="2569" width="13.77734375" style="8" bestFit="1" customWidth="1"/>
    <col min="2570" max="2570" width="18.77734375" style="8" bestFit="1" customWidth="1"/>
    <col min="2571" max="2571" width="18.21875" style="8" bestFit="1" customWidth="1"/>
    <col min="2572" max="2805" width="9.33203125" style="8"/>
    <col min="2806" max="2806" width="58.21875" style="8" customWidth="1"/>
    <col min="2807" max="2807" width="42.33203125" style="8" bestFit="1" customWidth="1"/>
    <col min="2808" max="2808" width="10.77734375" style="8" bestFit="1" customWidth="1"/>
    <col min="2809" max="2809" width="9.77734375" style="8" bestFit="1" customWidth="1"/>
    <col min="2810" max="2819" width="0" style="8" hidden="1" customWidth="1"/>
    <col min="2820" max="2820" width="26" style="8" customWidth="1"/>
    <col min="2821" max="2821" width="25.33203125" style="8" bestFit="1" customWidth="1"/>
    <col min="2822" max="2822" width="26.21875" style="8" bestFit="1" customWidth="1"/>
    <col min="2823" max="2823" width="9.33203125" style="8" bestFit="1" customWidth="1"/>
    <col min="2824" max="2824" width="19.33203125" style="8" bestFit="1" customWidth="1"/>
    <col min="2825" max="2825" width="13.77734375" style="8" bestFit="1" customWidth="1"/>
    <col min="2826" max="2826" width="18.77734375" style="8" bestFit="1" customWidth="1"/>
    <col min="2827" max="2827" width="18.21875" style="8" bestFit="1" customWidth="1"/>
    <col min="2828" max="3061" width="9.33203125" style="8"/>
    <col min="3062" max="3062" width="58.21875" style="8" customWidth="1"/>
    <col min="3063" max="3063" width="42.33203125" style="8" bestFit="1" customWidth="1"/>
    <col min="3064" max="3064" width="10.77734375" style="8" bestFit="1" customWidth="1"/>
    <col min="3065" max="3065" width="9.77734375" style="8" bestFit="1" customWidth="1"/>
    <col min="3066" max="3075" width="0" style="8" hidden="1" customWidth="1"/>
    <col min="3076" max="3076" width="26" style="8" customWidth="1"/>
    <col min="3077" max="3077" width="25.33203125" style="8" bestFit="1" customWidth="1"/>
    <col min="3078" max="3078" width="26.21875" style="8" bestFit="1" customWidth="1"/>
    <col min="3079" max="3079" width="9.33203125" style="8" bestFit="1" customWidth="1"/>
    <col min="3080" max="3080" width="19.33203125" style="8" bestFit="1" customWidth="1"/>
    <col min="3081" max="3081" width="13.77734375" style="8" bestFit="1" customWidth="1"/>
    <col min="3082" max="3082" width="18.77734375" style="8" bestFit="1" customWidth="1"/>
    <col min="3083" max="3083" width="18.21875" style="8" bestFit="1" customWidth="1"/>
    <col min="3084" max="3317" width="9.33203125" style="8"/>
    <col min="3318" max="3318" width="58.21875" style="8" customWidth="1"/>
    <col min="3319" max="3319" width="42.33203125" style="8" bestFit="1" customWidth="1"/>
    <col min="3320" max="3320" width="10.77734375" style="8" bestFit="1" customWidth="1"/>
    <col min="3321" max="3321" width="9.77734375" style="8" bestFit="1" customWidth="1"/>
    <col min="3322" max="3331" width="0" style="8" hidden="1" customWidth="1"/>
    <col min="3332" max="3332" width="26" style="8" customWidth="1"/>
    <col min="3333" max="3333" width="25.33203125" style="8" bestFit="1" customWidth="1"/>
    <col min="3334" max="3334" width="26.21875" style="8" bestFit="1" customWidth="1"/>
    <col min="3335" max="3335" width="9.33203125" style="8" bestFit="1" customWidth="1"/>
    <col min="3336" max="3336" width="19.33203125" style="8" bestFit="1" customWidth="1"/>
    <col min="3337" max="3337" width="13.77734375" style="8" bestFit="1" customWidth="1"/>
    <col min="3338" max="3338" width="18.77734375" style="8" bestFit="1" customWidth="1"/>
    <col min="3339" max="3339" width="18.21875" style="8" bestFit="1" customWidth="1"/>
    <col min="3340" max="3573" width="9.33203125" style="8"/>
    <col min="3574" max="3574" width="58.21875" style="8" customWidth="1"/>
    <col min="3575" max="3575" width="42.33203125" style="8" bestFit="1" customWidth="1"/>
    <col min="3576" max="3576" width="10.77734375" style="8" bestFit="1" customWidth="1"/>
    <col min="3577" max="3577" width="9.77734375" style="8" bestFit="1" customWidth="1"/>
    <col min="3578" max="3587" width="0" style="8" hidden="1" customWidth="1"/>
    <col min="3588" max="3588" width="26" style="8" customWidth="1"/>
    <col min="3589" max="3589" width="25.33203125" style="8" bestFit="1" customWidth="1"/>
    <col min="3590" max="3590" width="26.21875" style="8" bestFit="1" customWidth="1"/>
    <col min="3591" max="3591" width="9.33203125" style="8" bestFit="1" customWidth="1"/>
    <col min="3592" max="3592" width="19.33203125" style="8" bestFit="1" customWidth="1"/>
    <col min="3593" max="3593" width="13.77734375" style="8" bestFit="1" customWidth="1"/>
    <col min="3594" max="3594" width="18.77734375" style="8" bestFit="1" customWidth="1"/>
    <col min="3595" max="3595" width="18.21875" style="8" bestFit="1" customWidth="1"/>
    <col min="3596" max="3829" width="9.33203125" style="8"/>
    <col min="3830" max="3830" width="58.21875" style="8" customWidth="1"/>
    <col min="3831" max="3831" width="42.33203125" style="8" bestFit="1" customWidth="1"/>
    <col min="3832" max="3832" width="10.77734375" style="8" bestFit="1" customWidth="1"/>
    <col min="3833" max="3833" width="9.77734375" style="8" bestFit="1" customWidth="1"/>
    <col min="3834" max="3843" width="0" style="8" hidden="1" customWidth="1"/>
    <col min="3844" max="3844" width="26" style="8" customWidth="1"/>
    <col min="3845" max="3845" width="25.33203125" style="8" bestFit="1" customWidth="1"/>
    <col min="3846" max="3846" width="26.21875" style="8" bestFit="1" customWidth="1"/>
    <col min="3847" max="3847" width="9.33203125" style="8" bestFit="1" customWidth="1"/>
    <col min="3848" max="3848" width="19.33203125" style="8" bestFit="1" customWidth="1"/>
    <col min="3849" max="3849" width="13.77734375" style="8" bestFit="1" customWidth="1"/>
    <col min="3850" max="3850" width="18.77734375" style="8" bestFit="1" customWidth="1"/>
    <col min="3851" max="3851" width="18.21875" style="8" bestFit="1" customWidth="1"/>
    <col min="3852" max="4085" width="9.33203125" style="8"/>
    <col min="4086" max="4086" width="58.21875" style="8" customWidth="1"/>
    <col min="4087" max="4087" width="42.33203125" style="8" bestFit="1" customWidth="1"/>
    <col min="4088" max="4088" width="10.77734375" style="8" bestFit="1" customWidth="1"/>
    <col min="4089" max="4089" width="9.77734375" style="8" bestFit="1" customWidth="1"/>
    <col min="4090" max="4099" width="0" style="8" hidden="1" customWidth="1"/>
    <col min="4100" max="4100" width="26" style="8" customWidth="1"/>
    <col min="4101" max="4101" width="25.33203125" style="8" bestFit="1" customWidth="1"/>
    <col min="4102" max="4102" width="26.21875" style="8" bestFit="1" customWidth="1"/>
    <col min="4103" max="4103" width="9.33203125" style="8" bestFit="1" customWidth="1"/>
    <col min="4104" max="4104" width="19.33203125" style="8" bestFit="1" customWidth="1"/>
    <col min="4105" max="4105" width="13.77734375" style="8" bestFit="1" customWidth="1"/>
    <col min="4106" max="4106" width="18.77734375" style="8" bestFit="1" customWidth="1"/>
    <col min="4107" max="4107" width="18.21875" style="8" bestFit="1" customWidth="1"/>
    <col min="4108" max="4341" width="9.33203125" style="8"/>
    <col min="4342" max="4342" width="58.21875" style="8" customWidth="1"/>
    <col min="4343" max="4343" width="42.33203125" style="8" bestFit="1" customWidth="1"/>
    <col min="4344" max="4344" width="10.77734375" style="8" bestFit="1" customWidth="1"/>
    <col min="4345" max="4345" width="9.77734375" style="8" bestFit="1" customWidth="1"/>
    <col min="4346" max="4355" width="0" style="8" hidden="1" customWidth="1"/>
    <col min="4356" max="4356" width="26" style="8" customWidth="1"/>
    <col min="4357" max="4357" width="25.33203125" style="8" bestFit="1" customWidth="1"/>
    <col min="4358" max="4358" width="26.21875" style="8" bestFit="1" customWidth="1"/>
    <col min="4359" max="4359" width="9.33203125" style="8" bestFit="1" customWidth="1"/>
    <col min="4360" max="4360" width="19.33203125" style="8" bestFit="1" customWidth="1"/>
    <col min="4361" max="4361" width="13.77734375" style="8" bestFit="1" customWidth="1"/>
    <col min="4362" max="4362" width="18.77734375" style="8" bestFit="1" customWidth="1"/>
    <col min="4363" max="4363" width="18.21875" style="8" bestFit="1" customWidth="1"/>
    <col min="4364" max="4597" width="9.33203125" style="8"/>
    <col min="4598" max="4598" width="58.21875" style="8" customWidth="1"/>
    <col min="4599" max="4599" width="42.33203125" style="8" bestFit="1" customWidth="1"/>
    <col min="4600" max="4600" width="10.77734375" style="8" bestFit="1" customWidth="1"/>
    <col min="4601" max="4601" width="9.77734375" style="8" bestFit="1" customWidth="1"/>
    <col min="4602" max="4611" width="0" style="8" hidden="1" customWidth="1"/>
    <col min="4612" max="4612" width="26" style="8" customWidth="1"/>
    <col min="4613" max="4613" width="25.33203125" style="8" bestFit="1" customWidth="1"/>
    <col min="4614" max="4614" width="26.21875" style="8" bestFit="1" customWidth="1"/>
    <col min="4615" max="4615" width="9.33203125" style="8" bestFit="1" customWidth="1"/>
    <col min="4616" max="4616" width="19.33203125" style="8" bestFit="1" customWidth="1"/>
    <col min="4617" max="4617" width="13.77734375" style="8" bestFit="1" customWidth="1"/>
    <col min="4618" max="4618" width="18.77734375" style="8" bestFit="1" customWidth="1"/>
    <col min="4619" max="4619" width="18.21875" style="8" bestFit="1" customWidth="1"/>
    <col min="4620" max="4853" width="9.33203125" style="8"/>
    <col min="4854" max="4854" width="58.21875" style="8" customWidth="1"/>
    <col min="4855" max="4855" width="42.33203125" style="8" bestFit="1" customWidth="1"/>
    <col min="4856" max="4856" width="10.77734375" style="8" bestFit="1" customWidth="1"/>
    <col min="4857" max="4857" width="9.77734375" style="8" bestFit="1" customWidth="1"/>
    <col min="4858" max="4867" width="0" style="8" hidden="1" customWidth="1"/>
    <col min="4868" max="4868" width="26" style="8" customWidth="1"/>
    <col min="4869" max="4869" width="25.33203125" style="8" bestFit="1" customWidth="1"/>
    <col min="4870" max="4870" width="26.21875" style="8" bestFit="1" customWidth="1"/>
    <col min="4871" max="4871" width="9.33203125" style="8" bestFit="1" customWidth="1"/>
    <col min="4872" max="4872" width="19.33203125" style="8" bestFit="1" customWidth="1"/>
    <col min="4873" max="4873" width="13.77734375" style="8" bestFit="1" customWidth="1"/>
    <col min="4874" max="4874" width="18.77734375" style="8" bestFit="1" customWidth="1"/>
    <col min="4875" max="4875" width="18.21875" style="8" bestFit="1" customWidth="1"/>
    <col min="4876" max="5109" width="9.33203125" style="8"/>
    <col min="5110" max="5110" width="58.21875" style="8" customWidth="1"/>
    <col min="5111" max="5111" width="42.33203125" style="8" bestFit="1" customWidth="1"/>
    <col min="5112" max="5112" width="10.77734375" style="8" bestFit="1" customWidth="1"/>
    <col min="5113" max="5113" width="9.77734375" style="8" bestFit="1" customWidth="1"/>
    <col min="5114" max="5123" width="0" style="8" hidden="1" customWidth="1"/>
    <col min="5124" max="5124" width="26" style="8" customWidth="1"/>
    <col min="5125" max="5125" width="25.33203125" style="8" bestFit="1" customWidth="1"/>
    <col min="5126" max="5126" width="26.21875" style="8" bestFit="1" customWidth="1"/>
    <col min="5127" max="5127" width="9.33203125" style="8" bestFit="1" customWidth="1"/>
    <col min="5128" max="5128" width="19.33203125" style="8" bestFit="1" customWidth="1"/>
    <col min="5129" max="5129" width="13.77734375" style="8" bestFit="1" customWidth="1"/>
    <col min="5130" max="5130" width="18.77734375" style="8" bestFit="1" customWidth="1"/>
    <col min="5131" max="5131" width="18.21875" style="8" bestFit="1" customWidth="1"/>
    <col min="5132" max="5365" width="9.33203125" style="8"/>
    <col min="5366" max="5366" width="58.21875" style="8" customWidth="1"/>
    <col min="5367" max="5367" width="42.33203125" style="8" bestFit="1" customWidth="1"/>
    <col min="5368" max="5368" width="10.77734375" style="8" bestFit="1" customWidth="1"/>
    <col min="5369" max="5369" width="9.77734375" style="8" bestFit="1" customWidth="1"/>
    <col min="5370" max="5379" width="0" style="8" hidden="1" customWidth="1"/>
    <col min="5380" max="5380" width="26" style="8" customWidth="1"/>
    <col min="5381" max="5381" width="25.33203125" style="8" bestFit="1" customWidth="1"/>
    <col min="5382" max="5382" width="26.21875" style="8" bestFit="1" customWidth="1"/>
    <col min="5383" max="5383" width="9.33203125" style="8" bestFit="1" customWidth="1"/>
    <col min="5384" max="5384" width="19.33203125" style="8" bestFit="1" customWidth="1"/>
    <col min="5385" max="5385" width="13.77734375" style="8" bestFit="1" customWidth="1"/>
    <col min="5386" max="5386" width="18.77734375" style="8" bestFit="1" customWidth="1"/>
    <col min="5387" max="5387" width="18.21875" style="8" bestFit="1" customWidth="1"/>
    <col min="5388" max="5621" width="9.33203125" style="8"/>
    <col min="5622" max="5622" width="58.21875" style="8" customWidth="1"/>
    <col min="5623" max="5623" width="42.33203125" style="8" bestFit="1" customWidth="1"/>
    <col min="5624" max="5624" width="10.77734375" style="8" bestFit="1" customWidth="1"/>
    <col min="5625" max="5625" width="9.77734375" style="8" bestFit="1" customWidth="1"/>
    <col min="5626" max="5635" width="0" style="8" hidden="1" customWidth="1"/>
    <col min="5636" max="5636" width="26" style="8" customWidth="1"/>
    <col min="5637" max="5637" width="25.33203125" style="8" bestFit="1" customWidth="1"/>
    <col min="5638" max="5638" width="26.21875" style="8" bestFit="1" customWidth="1"/>
    <col min="5639" max="5639" width="9.33203125" style="8" bestFit="1" customWidth="1"/>
    <col min="5640" max="5640" width="19.33203125" style="8" bestFit="1" customWidth="1"/>
    <col min="5641" max="5641" width="13.77734375" style="8" bestFit="1" customWidth="1"/>
    <col min="5642" max="5642" width="18.77734375" style="8" bestFit="1" customWidth="1"/>
    <col min="5643" max="5643" width="18.21875" style="8" bestFit="1" customWidth="1"/>
    <col min="5644" max="5877" width="9.33203125" style="8"/>
    <col min="5878" max="5878" width="58.21875" style="8" customWidth="1"/>
    <col min="5879" max="5879" width="42.33203125" style="8" bestFit="1" customWidth="1"/>
    <col min="5880" max="5880" width="10.77734375" style="8" bestFit="1" customWidth="1"/>
    <col min="5881" max="5881" width="9.77734375" style="8" bestFit="1" customWidth="1"/>
    <col min="5882" max="5891" width="0" style="8" hidden="1" customWidth="1"/>
    <col min="5892" max="5892" width="26" style="8" customWidth="1"/>
    <col min="5893" max="5893" width="25.33203125" style="8" bestFit="1" customWidth="1"/>
    <col min="5894" max="5894" width="26.21875" style="8" bestFit="1" customWidth="1"/>
    <col min="5895" max="5895" width="9.33203125" style="8" bestFit="1" customWidth="1"/>
    <col min="5896" max="5896" width="19.33203125" style="8" bestFit="1" customWidth="1"/>
    <col min="5897" max="5897" width="13.77734375" style="8" bestFit="1" customWidth="1"/>
    <col min="5898" max="5898" width="18.77734375" style="8" bestFit="1" customWidth="1"/>
    <col min="5899" max="5899" width="18.21875" style="8" bestFit="1" customWidth="1"/>
    <col min="5900" max="6133" width="9.33203125" style="8"/>
    <col min="6134" max="6134" width="58.21875" style="8" customWidth="1"/>
    <col min="6135" max="6135" width="42.33203125" style="8" bestFit="1" customWidth="1"/>
    <col min="6136" max="6136" width="10.77734375" style="8" bestFit="1" customWidth="1"/>
    <col min="6137" max="6137" width="9.77734375" style="8" bestFit="1" customWidth="1"/>
    <col min="6138" max="6147" width="0" style="8" hidden="1" customWidth="1"/>
    <col min="6148" max="6148" width="26" style="8" customWidth="1"/>
    <col min="6149" max="6149" width="25.33203125" style="8" bestFit="1" customWidth="1"/>
    <col min="6150" max="6150" width="26.21875" style="8" bestFit="1" customWidth="1"/>
    <col min="6151" max="6151" width="9.33203125" style="8" bestFit="1" customWidth="1"/>
    <col min="6152" max="6152" width="19.33203125" style="8" bestFit="1" customWidth="1"/>
    <col min="6153" max="6153" width="13.77734375" style="8" bestFit="1" customWidth="1"/>
    <col min="6154" max="6154" width="18.77734375" style="8" bestFit="1" customWidth="1"/>
    <col min="6155" max="6155" width="18.21875" style="8" bestFit="1" customWidth="1"/>
    <col min="6156" max="6389" width="9.33203125" style="8"/>
    <col min="6390" max="6390" width="58.21875" style="8" customWidth="1"/>
    <col min="6391" max="6391" width="42.33203125" style="8" bestFit="1" customWidth="1"/>
    <col min="6392" max="6392" width="10.77734375" style="8" bestFit="1" customWidth="1"/>
    <col min="6393" max="6393" width="9.77734375" style="8" bestFit="1" customWidth="1"/>
    <col min="6394" max="6403" width="0" style="8" hidden="1" customWidth="1"/>
    <col min="6404" max="6404" width="26" style="8" customWidth="1"/>
    <col min="6405" max="6405" width="25.33203125" style="8" bestFit="1" customWidth="1"/>
    <col min="6406" max="6406" width="26.21875" style="8" bestFit="1" customWidth="1"/>
    <col min="6407" max="6407" width="9.33203125" style="8" bestFit="1" customWidth="1"/>
    <col min="6408" max="6408" width="19.33203125" style="8" bestFit="1" customWidth="1"/>
    <col min="6409" max="6409" width="13.77734375" style="8" bestFit="1" customWidth="1"/>
    <col min="6410" max="6410" width="18.77734375" style="8" bestFit="1" customWidth="1"/>
    <col min="6411" max="6411" width="18.21875" style="8" bestFit="1" customWidth="1"/>
    <col min="6412" max="6645" width="9.33203125" style="8"/>
    <col min="6646" max="6646" width="58.21875" style="8" customWidth="1"/>
    <col min="6647" max="6647" width="42.33203125" style="8" bestFit="1" customWidth="1"/>
    <col min="6648" max="6648" width="10.77734375" style="8" bestFit="1" customWidth="1"/>
    <col min="6649" max="6649" width="9.77734375" style="8" bestFit="1" customWidth="1"/>
    <col min="6650" max="6659" width="0" style="8" hidden="1" customWidth="1"/>
    <col min="6660" max="6660" width="26" style="8" customWidth="1"/>
    <col min="6661" max="6661" width="25.33203125" style="8" bestFit="1" customWidth="1"/>
    <col min="6662" max="6662" width="26.21875" style="8" bestFit="1" customWidth="1"/>
    <col min="6663" max="6663" width="9.33203125" style="8" bestFit="1" customWidth="1"/>
    <col min="6664" max="6664" width="19.33203125" style="8" bestFit="1" customWidth="1"/>
    <col min="6665" max="6665" width="13.77734375" style="8" bestFit="1" customWidth="1"/>
    <col min="6666" max="6666" width="18.77734375" style="8" bestFit="1" customWidth="1"/>
    <col min="6667" max="6667" width="18.21875" style="8" bestFit="1" customWidth="1"/>
    <col min="6668" max="6901" width="9.33203125" style="8"/>
    <col min="6902" max="6902" width="58.21875" style="8" customWidth="1"/>
    <col min="6903" max="6903" width="42.33203125" style="8" bestFit="1" customWidth="1"/>
    <col min="6904" max="6904" width="10.77734375" style="8" bestFit="1" customWidth="1"/>
    <col min="6905" max="6905" width="9.77734375" style="8" bestFit="1" customWidth="1"/>
    <col min="6906" max="6915" width="0" style="8" hidden="1" customWidth="1"/>
    <col min="6916" max="6916" width="26" style="8" customWidth="1"/>
    <col min="6917" max="6917" width="25.33203125" style="8" bestFit="1" customWidth="1"/>
    <col min="6918" max="6918" width="26.21875" style="8" bestFit="1" customWidth="1"/>
    <col min="6919" max="6919" width="9.33203125" style="8" bestFit="1" customWidth="1"/>
    <col min="6920" max="6920" width="19.33203125" style="8" bestFit="1" customWidth="1"/>
    <col min="6921" max="6921" width="13.77734375" style="8" bestFit="1" customWidth="1"/>
    <col min="6922" max="6922" width="18.77734375" style="8" bestFit="1" customWidth="1"/>
    <col min="6923" max="6923" width="18.21875" style="8" bestFit="1" customWidth="1"/>
    <col min="6924" max="7157" width="9.33203125" style="8"/>
    <col min="7158" max="7158" width="58.21875" style="8" customWidth="1"/>
    <col min="7159" max="7159" width="42.33203125" style="8" bestFit="1" customWidth="1"/>
    <col min="7160" max="7160" width="10.77734375" style="8" bestFit="1" customWidth="1"/>
    <col min="7161" max="7161" width="9.77734375" style="8" bestFit="1" customWidth="1"/>
    <col min="7162" max="7171" width="0" style="8" hidden="1" customWidth="1"/>
    <col min="7172" max="7172" width="26" style="8" customWidth="1"/>
    <col min="7173" max="7173" width="25.33203125" style="8" bestFit="1" customWidth="1"/>
    <col min="7174" max="7174" width="26.21875" style="8" bestFit="1" customWidth="1"/>
    <col min="7175" max="7175" width="9.33203125" style="8" bestFit="1" customWidth="1"/>
    <col min="7176" max="7176" width="19.33203125" style="8" bestFit="1" customWidth="1"/>
    <col min="7177" max="7177" width="13.77734375" style="8" bestFit="1" customWidth="1"/>
    <col min="7178" max="7178" width="18.77734375" style="8" bestFit="1" customWidth="1"/>
    <col min="7179" max="7179" width="18.21875" style="8" bestFit="1" customWidth="1"/>
    <col min="7180" max="7413" width="9.33203125" style="8"/>
    <col min="7414" max="7414" width="58.21875" style="8" customWidth="1"/>
    <col min="7415" max="7415" width="42.33203125" style="8" bestFit="1" customWidth="1"/>
    <col min="7416" max="7416" width="10.77734375" style="8" bestFit="1" customWidth="1"/>
    <col min="7417" max="7417" width="9.77734375" style="8" bestFit="1" customWidth="1"/>
    <col min="7418" max="7427" width="0" style="8" hidden="1" customWidth="1"/>
    <col min="7428" max="7428" width="26" style="8" customWidth="1"/>
    <col min="7429" max="7429" width="25.33203125" style="8" bestFit="1" customWidth="1"/>
    <col min="7430" max="7430" width="26.21875" style="8" bestFit="1" customWidth="1"/>
    <col min="7431" max="7431" width="9.33203125" style="8" bestFit="1" customWidth="1"/>
    <col min="7432" max="7432" width="19.33203125" style="8" bestFit="1" customWidth="1"/>
    <col min="7433" max="7433" width="13.77734375" style="8" bestFit="1" customWidth="1"/>
    <col min="7434" max="7434" width="18.77734375" style="8" bestFit="1" customWidth="1"/>
    <col min="7435" max="7435" width="18.21875" style="8" bestFit="1" customWidth="1"/>
    <col min="7436" max="7669" width="9.33203125" style="8"/>
    <col min="7670" max="7670" width="58.21875" style="8" customWidth="1"/>
    <col min="7671" max="7671" width="42.33203125" style="8" bestFit="1" customWidth="1"/>
    <col min="7672" max="7672" width="10.77734375" style="8" bestFit="1" customWidth="1"/>
    <col min="7673" max="7673" width="9.77734375" style="8" bestFit="1" customWidth="1"/>
    <col min="7674" max="7683" width="0" style="8" hidden="1" customWidth="1"/>
    <col min="7684" max="7684" width="26" style="8" customWidth="1"/>
    <col min="7685" max="7685" width="25.33203125" style="8" bestFit="1" customWidth="1"/>
    <col min="7686" max="7686" width="26.21875" style="8" bestFit="1" customWidth="1"/>
    <col min="7687" max="7687" width="9.33203125" style="8" bestFit="1" customWidth="1"/>
    <col min="7688" max="7688" width="19.33203125" style="8" bestFit="1" customWidth="1"/>
    <col min="7689" max="7689" width="13.77734375" style="8" bestFit="1" customWidth="1"/>
    <col min="7690" max="7690" width="18.77734375" style="8" bestFit="1" customWidth="1"/>
    <col min="7691" max="7691" width="18.21875" style="8" bestFit="1" customWidth="1"/>
    <col min="7692" max="7925" width="9.33203125" style="8"/>
    <col min="7926" max="7926" width="58.21875" style="8" customWidth="1"/>
    <col min="7927" max="7927" width="42.33203125" style="8" bestFit="1" customWidth="1"/>
    <col min="7928" max="7928" width="10.77734375" style="8" bestFit="1" customWidth="1"/>
    <col min="7929" max="7929" width="9.77734375" style="8" bestFit="1" customWidth="1"/>
    <col min="7930" max="7939" width="0" style="8" hidden="1" customWidth="1"/>
    <col min="7940" max="7940" width="26" style="8" customWidth="1"/>
    <col min="7941" max="7941" width="25.33203125" style="8" bestFit="1" customWidth="1"/>
    <col min="7942" max="7942" width="26.21875" style="8" bestFit="1" customWidth="1"/>
    <col min="7943" max="7943" width="9.33203125" style="8" bestFit="1" customWidth="1"/>
    <col min="7944" max="7944" width="19.33203125" style="8" bestFit="1" customWidth="1"/>
    <col min="7945" max="7945" width="13.77734375" style="8" bestFit="1" customWidth="1"/>
    <col min="7946" max="7946" width="18.77734375" style="8" bestFit="1" customWidth="1"/>
    <col min="7947" max="7947" width="18.21875" style="8" bestFit="1" customWidth="1"/>
    <col min="7948" max="8181" width="9.33203125" style="8"/>
    <col min="8182" max="8182" width="58.21875" style="8" customWidth="1"/>
    <col min="8183" max="8183" width="42.33203125" style="8" bestFit="1" customWidth="1"/>
    <col min="8184" max="8184" width="10.77734375" style="8" bestFit="1" customWidth="1"/>
    <col min="8185" max="8185" width="9.77734375" style="8" bestFit="1" customWidth="1"/>
    <col min="8186" max="8195" width="0" style="8" hidden="1" customWidth="1"/>
    <col min="8196" max="8196" width="26" style="8" customWidth="1"/>
    <col min="8197" max="8197" width="25.33203125" style="8" bestFit="1" customWidth="1"/>
    <col min="8198" max="8198" width="26.21875" style="8" bestFit="1" customWidth="1"/>
    <col min="8199" max="8199" width="9.33203125" style="8" bestFit="1" customWidth="1"/>
    <col min="8200" max="8200" width="19.33203125" style="8" bestFit="1" customWidth="1"/>
    <col min="8201" max="8201" width="13.77734375" style="8" bestFit="1" customWidth="1"/>
    <col min="8202" max="8202" width="18.77734375" style="8" bestFit="1" customWidth="1"/>
    <col min="8203" max="8203" width="18.21875" style="8" bestFit="1" customWidth="1"/>
    <col min="8204" max="8437" width="9.33203125" style="8"/>
    <col min="8438" max="8438" width="58.21875" style="8" customWidth="1"/>
    <col min="8439" max="8439" width="42.33203125" style="8" bestFit="1" customWidth="1"/>
    <col min="8440" max="8440" width="10.77734375" style="8" bestFit="1" customWidth="1"/>
    <col min="8441" max="8441" width="9.77734375" style="8" bestFit="1" customWidth="1"/>
    <col min="8442" max="8451" width="0" style="8" hidden="1" customWidth="1"/>
    <col min="8452" max="8452" width="26" style="8" customWidth="1"/>
    <col min="8453" max="8453" width="25.33203125" style="8" bestFit="1" customWidth="1"/>
    <col min="8454" max="8454" width="26.21875" style="8" bestFit="1" customWidth="1"/>
    <col min="8455" max="8455" width="9.33203125" style="8" bestFit="1" customWidth="1"/>
    <col min="8456" max="8456" width="19.33203125" style="8" bestFit="1" customWidth="1"/>
    <col min="8457" max="8457" width="13.77734375" style="8" bestFit="1" customWidth="1"/>
    <col min="8458" max="8458" width="18.77734375" style="8" bestFit="1" customWidth="1"/>
    <col min="8459" max="8459" width="18.21875" style="8" bestFit="1" customWidth="1"/>
    <col min="8460" max="8693" width="9.33203125" style="8"/>
    <col min="8694" max="8694" width="58.21875" style="8" customWidth="1"/>
    <col min="8695" max="8695" width="42.33203125" style="8" bestFit="1" customWidth="1"/>
    <col min="8696" max="8696" width="10.77734375" style="8" bestFit="1" customWidth="1"/>
    <col min="8697" max="8697" width="9.77734375" style="8" bestFit="1" customWidth="1"/>
    <col min="8698" max="8707" width="0" style="8" hidden="1" customWidth="1"/>
    <col min="8708" max="8708" width="26" style="8" customWidth="1"/>
    <col min="8709" max="8709" width="25.33203125" style="8" bestFit="1" customWidth="1"/>
    <col min="8710" max="8710" width="26.21875" style="8" bestFit="1" customWidth="1"/>
    <col min="8711" max="8711" width="9.33203125" style="8" bestFit="1" customWidth="1"/>
    <col min="8712" max="8712" width="19.33203125" style="8" bestFit="1" customWidth="1"/>
    <col min="8713" max="8713" width="13.77734375" style="8" bestFit="1" customWidth="1"/>
    <col min="8714" max="8714" width="18.77734375" style="8" bestFit="1" customWidth="1"/>
    <col min="8715" max="8715" width="18.21875" style="8" bestFit="1" customWidth="1"/>
    <col min="8716" max="8949" width="9.33203125" style="8"/>
    <col min="8950" max="8950" width="58.21875" style="8" customWidth="1"/>
    <col min="8951" max="8951" width="42.33203125" style="8" bestFit="1" customWidth="1"/>
    <col min="8952" max="8952" width="10.77734375" style="8" bestFit="1" customWidth="1"/>
    <col min="8953" max="8953" width="9.77734375" style="8" bestFit="1" customWidth="1"/>
    <col min="8954" max="8963" width="0" style="8" hidden="1" customWidth="1"/>
    <col min="8964" max="8964" width="26" style="8" customWidth="1"/>
    <col min="8965" max="8965" width="25.33203125" style="8" bestFit="1" customWidth="1"/>
    <col min="8966" max="8966" width="26.21875" style="8" bestFit="1" customWidth="1"/>
    <col min="8967" max="8967" width="9.33203125" style="8" bestFit="1" customWidth="1"/>
    <col min="8968" max="8968" width="19.33203125" style="8" bestFit="1" customWidth="1"/>
    <col min="8969" max="8969" width="13.77734375" style="8" bestFit="1" customWidth="1"/>
    <col min="8970" max="8970" width="18.77734375" style="8" bestFit="1" customWidth="1"/>
    <col min="8971" max="8971" width="18.21875" style="8" bestFit="1" customWidth="1"/>
    <col min="8972" max="9205" width="9.33203125" style="8"/>
    <col min="9206" max="9206" width="58.21875" style="8" customWidth="1"/>
    <col min="9207" max="9207" width="42.33203125" style="8" bestFit="1" customWidth="1"/>
    <col min="9208" max="9208" width="10.77734375" style="8" bestFit="1" customWidth="1"/>
    <col min="9209" max="9209" width="9.77734375" style="8" bestFit="1" customWidth="1"/>
    <col min="9210" max="9219" width="0" style="8" hidden="1" customWidth="1"/>
    <col min="9220" max="9220" width="26" style="8" customWidth="1"/>
    <col min="9221" max="9221" width="25.33203125" style="8" bestFit="1" customWidth="1"/>
    <col min="9222" max="9222" width="26.21875" style="8" bestFit="1" customWidth="1"/>
    <col min="9223" max="9223" width="9.33203125" style="8" bestFit="1" customWidth="1"/>
    <col min="9224" max="9224" width="19.33203125" style="8" bestFit="1" customWidth="1"/>
    <col min="9225" max="9225" width="13.77734375" style="8" bestFit="1" customWidth="1"/>
    <col min="9226" max="9226" width="18.77734375" style="8" bestFit="1" customWidth="1"/>
    <col min="9227" max="9227" width="18.21875" style="8" bestFit="1" customWidth="1"/>
    <col min="9228" max="9461" width="9.33203125" style="8"/>
    <col min="9462" max="9462" width="58.21875" style="8" customWidth="1"/>
    <col min="9463" max="9463" width="42.33203125" style="8" bestFit="1" customWidth="1"/>
    <col min="9464" max="9464" width="10.77734375" style="8" bestFit="1" customWidth="1"/>
    <col min="9465" max="9465" width="9.77734375" style="8" bestFit="1" customWidth="1"/>
    <col min="9466" max="9475" width="0" style="8" hidden="1" customWidth="1"/>
    <col min="9476" max="9476" width="26" style="8" customWidth="1"/>
    <col min="9477" max="9477" width="25.33203125" style="8" bestFit="1" customWidth="1"/>
    <col min="9478" max="9478" width="26.21875" style="8" bestFit="1" customWidth="1"/>
    <col min="9479" max="9479" width="9.33203125" style="8" bestFit="1" customWidth="1"/>
    <col min="9480" max="9480" width="19.33203125" style="8" bestFit="1" customWidth="1"/>
    <col min="9481" max="9481" width="13.77734375" style="8" bestFit="1" customWidth="1"/>
    <col min="9482" max="9482" width="18.77734375" style="8" bestFit="1" customWidth="1"/>
    <col min="9483" max="9483" width="18.21875" style="8" bestFit="1" customWidth="1"/>
    <col min="9484" max="9717" width="9.33203125" style="8"/>
    <col min="9718" max="9718" width="58.21875" style="8" customWidth="1"/>
    <col min="9719" max="9719" width="42.33203125" style="8" bestFit="1" customWidth="1"/>
    <col min="9720" max="9720" width="10.77734375" style="8" bestFit="1" customWidth="1"/>
    <col min="9721" max="9721" width="9.77734375" style="8" bestFit="1" customWidth="1"/>
    <col min="9722" max="9731" width="0" style="8" hidden="1" customWidth="1"/>
    <col min="9732" max="9732" width="26" style="8" customWidth="1"/>
    <col min="9733" max="9733" width="25.33203125" style="8" bestFit="1" customWidth="1"/>
    <col min="9734" max="9734" width="26.21875" style="8" bestFit="1" customWidth="1"/>
    <col min="9735" max="9735" width="9.33203125" style="8" bestFit="1" customWidth="1"/>
    <col min="9736" max="9736" width="19.33203125" style="8" bestFit="1" customWidth="1"/>
    <col min="9737" max="9737" width="13.77734375" style="8" bestFit="1" customWidth="1"/>
    <col min="9738" max="9738" width="18.77734375" style="8" bestFit="1" customWidth="1"/>
    <col min="9739" max="9739" width="18.21875" style="8" bestFit="1" customWidth="1"/>
    <col min="9740" max="9973" width="9.33203125" style="8"/>
    <col min="9974" max="9974" width="58.21875" style="8" customWidth="1"/>
    <col min="9975" max="9975" width="42.33203125" style="8" bestFit="1" customWidth="1"/>
    <col min="9976" max="9976" width="10.77734375" style="8" bestFit="1" customWidth="1"/>
    <col min="9977" max="9977" width="9.77734375" style="8" bestFit="1" customWidth="1"/>
    <col min="9978" max="9987" width="0" style="8" hidden="1" customWidth="1"/>
    <col min="9988" max="9988" width="26" style="8" customWidth="1"/>
    <col min="9989" max="9989" width="25.33203125" style="8" bestFit="1" customWidth="1"/>
    <col min="9990" max="9990" width="26.21875" style="8" bestFit="1" customWidth="1"/>
    <col min="9991" max="9991" width="9.33203125" style="8" bestFit="1" customWidth="1"/>
    <col min="9992" max="9992" width="19.33203125" style="8" bestFit="1" customWidth="1"/>
    <col min="9993" max="9993" width="13.77734375" style="8" bestFit="1" customWidth="1"/>
    <col min="9994" max="9994" width="18.77734375" style="8" bestFit="1" customWidth="1"/>
    <col min="9995" max="9995" width="18.21875" style="8" bestFit="1" customWidth="1"/>
    <col min="9996" max="10229" width="9.33203125" style="8"/>
    <col min="10230" max="10230" width="58.21875" style="8" customWidth="1"/>
    <col min="10231" max="10231" width="42.33203125" style="8" bestFit="1" customWidth="1"/>
    <col min="10232" max="10232" width="10.77734375" style="8" bestFit="1" customWidth="1"/>
    <col min="10233" max="10233" width="9.77734375" style="8" bestFit="1" customWidth="1"/>
    <col min="10234" max="10243" width="0" style="8" hidden="1" customWidth="1"/>
    <col min="10244" max="10244" width="26" style="8" customWidth="1"/>
    <col min="10245" max="10245" width="25.33203125" style="8" bestFit="1" customWidth="1"/>
    <col min="10246" max="10246" width="26.21875" style="8" bestFit="1" customWidth="1"/>
    <col min="10247" max="10247" width="9.33203125" style="8" bestFit="1" customWidth="1"/>
    <col min="10248" max="10248" width="19.33203125" style="8" bestFit="1" customWidth="1"/>
    <col min="10249" max="10249" width="13.77734375" style="8" bestFit="1" customWidth="1"/>
    <col min="10250" max="10250" width="18.77734375" style="8" bestFit="1" customWidth="1"/>
    <col min="10251" max="10251" width="18.21875" style="8" bestFit="1" customWidth="1"/>
    <col min="10252" max="10485" width="9.33203125" style="8"/>
    <col min="10486" max="10486" width="58.21875" style="8" customWidth="1"/>
    <col min="10487" max="10487" width="42.33203125" style="8" bestFit="1" customWidth="1"/>
    <col min="10488" max="10488" width="10.77734375" style="8" bestFit="1" customWidth="1"/>
    <col min="10489" max="10489" width="9.77734375" style="8" bestFit="1" customWidth="1"/>
    <col min="10490" max="10499" width="0" style="8" hidden="1" customWidth="1"/>
    <col min="10500" max="10500" width="26" style="8" customWidth="1"/>
    <col min="10501" max="10501" width="25.33203125" style="8" bestFit="1" customWidth="1"/>
    <col min="10502" max="10502" width="26.21875" style="8" bestFit="1" customWidth="1"/>
    <col min="10503" max="10503" width="9.33203125" style="8" bestFit="1" customWidth="1"/>
    <col min="10504" max="10504" width="19.33203125" style="8" bestFit="1" customWidth="1"/>
    <col min="10505" max="10505" width="13.77734375" style="8" bestFit="1" customWidth="1"/>
    <col min="10506" max="10506" width="18.77734375" style="8" bestFit="1" customWidth="1"/>
    <col min="10507" max="10507" width="18.21875" style="8" bestFit="1" customWidth="1"/>
    <col min="10508" max="10741" width="9.33203125" style="8"/>
    <col min="10742" max="10742" width="58.21875" style="8" customWidth="1"/>
    <col min="10743" max="10743" width="42.33203125" style="8" bestFit="1" customWidth="1"/>
    <col min="10744" max="10744" width="10.77734375" style="8" bestFit="1" customWidth="1"/>
    <col min="10745" max="10745" width="9.77734375" style="8" bestFit="1" customWidth="1"/>
    <col min="10746" max="10755" width="0" style="8" hidden="1" customWidth="1"/>
    <col min="10756" max="10756" width="26" style="8" customWidth="1"/>
    <col min="10757" max="10757" width="25.33203125" style="8" bestFit="1" customWidth="1"/>
    <col min="10758" max="10758" width="26.21875" style="8" bestFit="1" customWidth="1"/>
    <col min="10759" max="10759" width="9.33203125" style="8" bestFit="1" customWidth="1"/>
    <col min="10760" max="10760" width="19.33203125" style="8" bestFit="1" customWidth="1"/>
    <col min="10761" max="10761" width="13.77734375" style="8" bestFit="1" customWidth="1"/>
    <col min="10762" max="10762" width="18.77734375" style="8" bestFit="1" customWidth="1"/>
    <col min="10763" max="10763" width="18.21875" style="8" bestFit="1" customWidth="1"/>
    <col min="10764" max="10997" width="9.33203125" style="8"/>
    <col min="10998" max="10998" width="58.21875" style="8" customWidth="1"/>
    <col min="10999" max="10999" width="42.33203125" style="8" bestFit="1" customWidth="1"/>
    <col min="11000" max="11000" width="10.77734375" style="8" bestFit="1" customWidth="1"/>
    <col min="11001" max="11001" width="9.77734375" style="8" bestFit="1" customWidth="1"/>
    <col min="11002" max="11011" width="0" style="8" hidden="1" customWidth="1"/>
    <col min="11012" max="11012" width="26" style="8" customWidth="1"/>
    <col min="11013" max="11013" width="25.33203125" style="8" bestFit="1" customWidth="1"/>
    <col min="11014" max="11014" width="26.21875" style="8" bestFit="1" customWidth="1"/>
    <col min="11015" max="11015" width="9.33203125" style="8" bestFit="1" customWidth="1"/>
    <col min="11016" max="11016" width="19.33203125" style="8" bestFit="1" customWidth="1"/>
    <col min="11017" max="11017" width="13.77734375" style="8" bestFit="1" customWidth="1"/>
    <col min="11018" max="11018" width="18.77734375" style="8" bestFit="1" customWidth="1"/>
    <col min="11019" max="11019" width="18.21875" style="8" bestFit="1" customWidth="1"/>
    <col min="11020" max="11253" width="9.33203125" style="8"/>
    <col min="11254" max="11254" width="58.21875" style="8" customWidth="1"/>
    <col min="11255" max="11255" width="42.33203125" style="8" bestFit="1" customWidth="1"/>
    <col min="11256" max="11256" width="10.77734375" style="8" bestFit="1" customWidth="1"/>
    <col min="11257" max="11257" width="9.77734375" style="8" bestFit="1" customWidth="1"/>
    <col min="11258" max="11267" width="0" style="8" hidden="1" customWidth="1"/>
    <col min="11268" max="11268" width="26" style="8" customWidth="1"/>
    <col min="11269" max="11269" width="25.33203125" style="8" bestFit="1" customWidth="1"/>
    <col min="11270" max="11270" width="26.21875" style="8" bestFit="1" customWidth="1"/>
    <col min="11271" max="11271" width="9.33203125" style="8" bestFit="1" customWidth="1"/>
    <col min="11272" max="11272" width="19.33203125" style="8" bestFit="1" customWidth="1"/>
    <col min="11273" max="11273" width="13.77734375" style="8" bestFit="1" customWidth="1"/>
    <col min="11274" max="11274" width="18.77734375" style="8" bestFit="1" customWidth="1"/>
    <col min="11275" max="11275" width="18.21875" style="8" bestFit="1" customWidth="1"/>
    <col min="11276" max="11509" width="9.33203125" style="8"/>
    <col min="11510" max="11510" width="58.21875" style="8" customWidth="1"/>
    <col min="11511" max="11511" width="42.33203125" style="8" bestFit="1" customWidth="1"/>
    <col min="11512" max="11512" width="10.77734375" style="8" bestFit="1" customWidth="1"/>
    <col min="11513" max="11513" width="9.77734375" style="8" bestFit="1" customWidth="1"/>
    <col min="11514" max="11523" width="0" style="8" hidden="1" customWidth="1"/>
    <col min="11524" max="11524" width="26" style="8" customWidth="1"/>
    <col min="11525" max="11525" width="25.33203125" style="8" bestFit="1" customWidth="1"/>
    <col min="11526" max="11526" width="26.21875" style="8" bestFit="1" customWidth="1"/>
    <col min="11527" max="11527" width="9.33203125" style="8" bestFit="1" customWidth="1"/>
    <col min="11528" max="11528" width="19.33203125" style="8" bestFit="1" customWidth="1"/>
    <col min="11529" max="11529" width="13.77734375" style="8" bestFit="1" customWidth="1"/>
    <col min="11530" max="11530" width="18.77734375" style="8" bestFit="1" customWidth="1"/>
    <col min="11531" max="11531" width="18.21875" style="8" bestFit="1" customWidth="1"/>
    <col min="11532" max="11765" width="9.33203125" style="8"/>
    <col min="11766" max="11766" width="58.21875" style="8" customWidth="1"/>
    <col min="11767" max="11767" width="42.33203125" style="8" bestFit="1" customWidth="1"/>
    <col min="11768" max="11768" width="10.77734375" style="8" bestFit="1" customWidth="1"/>
    <col min="11769" max="11769" width="9.77734375" style="8" bestFit="1" customWidth="1"/>
    <col min="11770" max="11779" width="0" style="8" hidden="1" customWidth="1"/>
    <col min="11780" max="11780" width="26" style="8" customWidth="1"/>
    <col min="11781" max="11781" width="25.33203125" style="8" bestFit="1" customWidth="1"/>
    <col min="11782" max="11782" width="26.21875" style="8" bestFit="1" customWidth="1"/>
    <col min="11783" max="11783" width="9.33203125" style="8" bestFit="1" customWidth="1"/>
    <col min="11784" max="11784" width="19.33203125" style="8" bestFit="1" customWidth="1"/>
    <col min="11785" max="11785" width="13.77734375" style="8" bestFit="1" customWidth="1"/>
    <col min="11786" max="11786" width="18.77734375" style="8" bestFit="1" customWidth="1"/>
    <col min="11787" max="11787" width="18.21875" style="8" bestFit="1" customWidth="1"/>
    <col min="11788" max="12021" width="9.33203125" style="8"/>
    <col min="12022" max="12022" width="58.21875" style="8" customWidth="1"/>
    <col min="12023" max="12023" width="42.33203125" style="8" bestFit="1" customWidth="1"/>
    <col min="12024" max="12024" width="10.77734375" style="8" bestFit="1" customWidth="1"/>
    <col min="12025" max="12025" width="9.77734375" style="8" bestFit="1" customWidth="1"/>
    <col min="12026" max="12035" width="0" style="8" hidden="1" customWidth="1"/>
    <col min="12036" max="12036" width="26" style="8" customWidth="1"/>
    <col min="12037" max="12037" width="25.33203125" style="8" bestFit="1" customWidth="1"/>
    <col min="12038" max="12038" width="26.21875" style="8" bestFit="1" customWidth="1"/>
    <col min="12039" max="12039" width="9.33203125" style="8" bestFit="1" customWidth="1"/>
    <col min="12040" max="12040" width="19.33203125" style="8" bestFit="1" customWidth="1"/>
    <col min="12041" max="12041" width="13.77734375" style="8" bestFit="1" customWidth="1"/>
    <col min="12042" max="12042" width="18.77734375" style="8" bestFit="1" customWidth="1"/>
    <col min="12043" max="12043" width="18.21875" style="8" bestFit="1" customWidth="1"/>
    <col min="12044" max="12277" width="9.33203125" style="8"/>
    <col min="12278" max="12278" width="58.21875" style="8" customWidth="1"/>
    <col min="12279" max="12279" width="42.33203125" style="8" bestFit="1" customWidth="1"/>
    <col min="12280" max="12280" width="10.77734375" style="8" bestFit="1" customWidth="1"/>
    <col min="12281" max="12281" width="9.77734375" style="8" bestFit="1" customWidth="1"/>
    <col min="12282" max="12291" width="0" style="8" hidden="1" customWidth="1"/>
    <col min="12292" max="12292" width="26" style="8" customWidth="1"/>
    <col min="12293" max="12293" width="25.33203125" style="8" bestFit="1" customWidth="1"/>
    <col min="12294" max="12294" width="26.21875" style="8" bestFit="1" customWidth="1"/>
    <col min="12295" max="12295" width="9.33203125" style="8" bestFit="1" customWidth="1"/>
    <col min="12296" max="12296" width="19.33203125" style="8" bestFit="1" customWidth="1"/>
    <col min="12297" max="12297" width="13.77734375" style="8" bestFit="1" customWidth="1"/>
    <col min="12298" max="12298" width="18.77734375" style="8" bestFit="1" customWidth="1"/>
    <col min="12299" max="12299" width="18.21875" style="8" bestFit="1" customWidth="1"/>
    <col min="12300" max="12533" width="9.33203125" style="8"/>
    <col min="12534" max="12534" width="58.21875" style="8" customWidth="1"/>
    <col min="12535" max="12535" width="42.33203125" style="8" bestFit="1" customWidth="1"/>
    <col min="12536" max="12536" width="10.77734375" style="8" bestFit="1" customWidth="1"/>
    <col min="12537" max="12537" width="9.77734375" style="8" bestFit="1" customWidth="1"/>
    <col min="12538" max="12547" width="0" style="8" hidden="1" customWidth="1"/>
    <col min="12548" max="12548" width="26" style="8" customWidth="1"/>
    <col min="12549" max="12549" width="25.33203125" style="8" bestFit="1" customWidth="1"/>
    <col min="12550" max="12550" width="26.21875" style="8" bestFit="1" customWidth="1"/>
    <col min="12551" max="12551" width="9.33203125" style="8" bestFit="1" customWidth="1"/>
    <col min="12552" max="12552" width="19.33203125" style="8" bestFit="1" customWidth="1"/>
    <col min="12553" max="12553" width="13.77734375" style="8" bestFit="1" customWidth="1"/>
    <col min="12554" max="12554" width="18.77734375" style="8" bestFit="1" customWidth="1"/>
    <col min="12555" max="12555" width="18.21875" style="8" bestFit="1" customWidth="1"/>
    <col min="12556" max="12789" width="9.33203125" style="8"/>
    <col min="12790" max="12790" width="58.21875" style="8" customWidth="1"/>
    <col min="12791" max="12791" width="42.33203125" style="8" bestFit="1" customWidth="1"/>
    <col min="12792" max="12792" width="10.77734375" style="8" bestFit="1" customWidth="1"/>
    <col min="12793" max="12793" width="9.77734375" style="8" bestFit="1" customWidth="1"/>
    <col min="12794" max="12803" width="0" style="8" hidden="1" customWidth="1"/>
    <col min="12804" max="12804" width="26" style="8" customWidth="1"/>
    <col min="12805" max="12805" width="25.33203125" style="8" bestFit="1" customWidth="1"/>
    <col min="12806" max="12806" width="26.21875" style="8" bestFit="1" customWidth="1"/>
    <col min="12807" max="12807" width="9.33203125" style="8" bestFit="1" customWidth="1"/>
    <col min="12808" max="12808" width="19.33203125" style="8" bestFit="1" customWidth="1"/>
    <col min="12809" max="12809" width="13.77734375" style="8" bestFit="1" customWidth="1"/>
    <col min="12810" max="12810" width="18.77734375" style="8" bestFit="1" customWidth="1"/>
    <col min="12811" max="12811" width="18.21875" style="8" bestFit="1" customWidth="1"/>
    <col min="12812" max="13045" width="9.33203125" style="8"/>
    <col min="13046" max="13046" width="58.21875" style="8" customWidth="1"/>
    <col min="13047" max="13047" width="42.33203125" style="8" bestFit="1" customWidth="1"/>
    <col min="13048" max="13048" width="10.77734375" style="8" bestFit="1" customWidth="1"/>
    <col min="13049" max="13049" width="9.77734375" style="8" bestFit="1" customWidth="1"/>
    <col min="13050" max="13059" width="0" style="8" hidden="1" customWidth="1"/>
    <col min="13060" max="13060" width="26" style="8" customWidth="1"/>
    <col min="13061" max="13061" width="25.33203125" style="8" bestFit="1" customWidth="1"/>
    <col min="13062" max="13062" width="26.21875" style="8" bestFit="1" customWidth="1"/>
    <col min="13063" max="13063" width="9.33203125" style="8" bestFit="1" customWidth="1"/>
    <col min="13064" max="13064" width="19.33203125" style="8" bestFit="1" customWidth="1"/>
    <col min="13065" max="13065" width="13.77734375" style="8" bestFit="1" customWidth="1"/>
    <col min="13066" max="13066" width="18.77734375" style="8" bestFit="1" customWidth="1"/>
    <col min="13067" max="13067" width="18.21875" style="8" bestFit="1" customWidth="1"/>
    <col min="13068" max="13301" width="9.33203125" style="8"/>
    <col min="13302" max="13302" width="58.21875" style="8" customWidth="1"/>
    <col min="13303" max="13303" width="42.33203125" style="8" bestFit="1" customWidth="1"/>
    <col min="13304" max="13304" width="10.77734375" style="8" bestFit="1" customWidth="1"/>
    <col min="13305" max="13305" width="9.77734375" style="8" bestFit="1" customWidth="1"/>
    <col min="13306" max="13315" width="0" style="8" hidden="1" customWidth="1"/>
    <col min="13316" max="13316" width="26" style="8" customWidth="1"/>
    <col min="13317" max="13317" width="25.33203125" style="8" bestFit="1" customWidth="1"/>
    <col min="13318" max="13318" width="26.21875" style="8" bestFit="1" customWidth="1"/>
    <col min="13319" max="13319" width="9.33203125" style="8" bestFit="1" customWidth="1"/>
    <col min="13320" max="13320" width="19.33203125" style="8" bestFit="1" customWidth="1"/>
    <col min="13321" max="13321" width="13.77734375" style="8" bestFit="1" customWidth="1"/>
    <col min="13322" max="13322" width="18.77734375" style="8" bestFit="1" customWidth="1"/>
    <col min="13323" max="13323" width="18.21875" style="8" bestFit="1" customWidth="1"/>
    <col min="13324" max="13557" width="9.33203125" style="8"/>
    <col min="13558" max="13558" width="58.21875" style="8" customWidth="1"/>
    <col min="13559" max="13559" width="42.33203125" style="8" bestFit="1" customWidth="1"/>
    <col min="13560" max="13560" width="10.77734375" style="8" bestFit="1" customWidth="1"/>
    <col min="13561" max="13561" width="9.77734375" style="8" bestFit="1" customWidth="1"/>
    <col min="13562" max="13571" width="0" style="8" hidden="1" customWidth="1"/>
    <col min="13572" max="13572" width="26" style="8" customWidth="1"/>
    <col min="13573" max="13573" width="25.33203125" style="8" bestFit="1" customWidth="1"/>
    <col min="13574" max="13574" width="26.21875" style="8" bestFit="1" customWidth="1"/>
    <col min="13575" max="13575" width="9.33203125" style="8" bestFit="1" customWidth="1"/>
    <col min="13576" max="13576" width="19.33203125" style="8" bestFit="1" customWidth="1"/>
    <col min="13577" max="13577" width="13.77734375" style="8" bestFit="1" customWidth="1"/>
    <col min="13578" max="13578" width="18.77734375" style="8" bestFit="1" customWidth="1"/>
    <col min="13579" max="13579" width="18.21875" style="8" bestFit="1" customWidth="1"/>
    <col min="13580" max="13813" width="9.33203125" style="8"/>
    <col min="13814" max="13814" width="58.21875" style="8" customWidth="1"/>
    <col min="13815" max="13815" width="42.33203125" style="8" bestFit="1" customWidth="1"/>
    <col min="13816" max="13816" width="10.77734375" style="8" bestFit="1" customWidth="1"/>
    <col min="13817" max="13817" width="9.77734375" style="8" bestFit="1" customWidth="1"/>
    <col min="13818" max="13827" width="0" style="8" hidden="1" customWidth="1"/>
    <col min="13828" max="13828" width="26" style="8" customWidth="1"/>
    <col min="13829" max="13829" width="25.33203125" style="8" bestFit="1" customWidth="1"/>
    <col min="13830" max="13830" width="26.21875" style="8" bestFit="1" customWidth="1"/>
    <col min="13831" max="13831" width="9.33203125" style="8" bestFit="1" customWidth="1"/>
    <col min="13832" max="13832" width="19.33203125" style="8" bestFit="1" customWidth="1"/>
    <col min="13833" max="13833" width="13.77734375" style="8" bestFit="1" customWidth="1"/>
    <col min="13834" max="13834" width="18.77734375" style="8" bestFit="1" customWidth="1"/>
    <col min="13835" max="13835" width="18.21875" style="8" bestFit="1" customWidth="1"/>
    <col min="13836" max="14069" width="9.33203125" style="8"/>
    <col min="14070" max="14070" width="58.21875" style="8" customWidth="1"/>
    <col min="14071" max="14071" width="42.33203125" style="8" bestFit="1" customWidth="1"/>
    <col min="14072" max="14072" width="10.77734375" style="8" bestFit="1" customWidth="1"/>
    <col min="14073" max="14073" width="9.77734375" style="8" bestFit="1" customWidth="1"/>
    <col min="14074" max="14083" width="0" style="8" hidden="1" customWidth="1"/>
    <col min="14084" max="14084" width="26" style="8" customWidth="1"/>
    <col min="14085" max="14085" width="25.33203125" style="8" bestFit="1" customWidth="1"/>
    <col min="14086" max="14086" width="26.21875" style="8" bestFit="1" customWidth="1"/>
    <col min="14087" max="14087" width="9.33203125" style="8" bestFit="1" customWidth="1"/>
    <col min="14088" max="14088" width="19.33203125" style="8" bestFit="1" customWidth="1"/>
    <col min="14089" max="14089" width="13.77734375" style="8" bestFit="1" customWidth="1"/>
    <col min="14090" max="14090" width="18.77734375" style="8" bestFit="1" customWidth="1"/>
    <col min="14091" max="14091" width="18.21875" style="8" bestFit="1" customWidth="1"/>
    <col min="14092" max="14325" width="9.33203125" style="8"/>
    <col min="14326" max="14326" width="58.21875" style="8" customWidth="1"/>
    <col min="14327" max="14327" width="42.33203125" style="8" bestFit="1" customWidth="1"/>
    <col min="14328" max="14328" width="10.77734375" style="8" bestFit="1" customWidth="1"/>
    <col min="14329" max="14329" width="9.77734375" style="8" bestFit="1" customWidth="1"/>
    <col min="14330" max="14339" width="0" style="8" hidden="1" customWidth="1"/>
    <col min="14340" max="14340" width="26" style="8" customWidth="1"/>
    <col min="14341" max="14341" width="25.33203125" style="8" bestFit="1" customWidth="1"/>
    <col min="14342" max="14342" width="26.21875" style="8" bestFit="1" customWidth="1"/>
    <col min="14343" max="14343" width="9.33203125" style="8" bestFit="1" customWidth="1"/>
    <col min="14344" max="14344" width="19.33203125" style="8" bestFit="1" customWidth="1"/>
    <col min="14345" max="14345" width="13.77734375" style="8" bestFit="1" customWidth="1"/>
    <col min="14346" max="14346" width="18.77734375" style="8" bestFit="1" customWidth="1"/>
    <col min="14347" max="14347" width="18.21875" style="8" bestFit="1" customWidth="1"/>
    <col min="14348" max="14581" width="9.33203125" style="8"/>
    <col min="14582" max="14582" width="58.21875" style="8" customWidth="1"/>
    <col min="14583" max="14583" width="42.33203125" style="8" bestFit="1" customWidth="1"/>
    <col min="14584" max="14584" width="10.77734375" style="8" bestFit="1" customWidth="1"/>
    <col min="14585" max="14585" width="9.77734375" style="8" bestFit="1" customWidth="1"/>
    <col min="14586" max="14595" width="0" style="8" hidden="1" customWidth="1"/>
    <col min="14596" max="14596" width="26" style="8" customWidth="1"/>
    <col min="14597" max="14597" width="25.33203125" style="8" bestFit="1" customWidth="1"/>
    <col min="14598" max="14598" width="26.21875" style="8" bestFit="1" customWidth="1"/>
    <col min="14599" max="14599" width="9.33203125" style="8" bestFit="1" customWidth="1"/>
    <col min="14600" max="14600" width="19.33203125" style="8" bestFit="1" customWidth="1"/>
    <col min="14601" max="14601" width="13.77734375" style="8" bestFit="1" customWidth="1"/>
    <col min="14602" max="14602" width="18.77734375" style="8" bestFit="1" customWidth="1"/>
    <col min="14603" max="14603" width="18.21875" style="8" bestFit="1" customWidth="1"/>
    <col min="14604" max="14837" width="9.33203125" style="8"/>
    <col min="14838" max="14838" width="58.21875" style="8" customWidth="1"/>
    <col min="14839" max="14839" width="42.33203125" style="8" bestFit="1" customWidth="1"/>
    <col min="14840" max="14840" width="10.77734375" style="8" bestFit="1" customWidth="1"/>
    <col min="14841" max="14841" width="9.77734375" style="8" bestFit="1" customWidth="1"/>
    <col min="14842" max="14851" width="0" style="8" hidden="1" customWidth="1"/>
    <col min="14852" max="14852" width="26" style="8" customWidth="1"/>
    <col min="14853" max="14853" width="25.33203125" style="8" bestFit="1" customWidth="1"/>
    <col min="14854" max="14854" width="26.21875" style="8" bestFit="1" customWidth="1"/>
    <col min="14855" max="14855" width="9.33203125" style="8" bestFit="1" customWidth="1"/>
    <col min="14856" max="14856" width="19.33203125" style="8" bestFit="1" customWidth="1"/>
    <col min="14857" max="14857" width="13.77734375" style="8" bestFit="1" customWidth="1"/>
    <col min="14858" max="14858" width="18.77734375" style="8" bestFit="1" customWidth="1"/>
    <col min="14859" max="14859" width="18.21875" style="8" bestFit="1" customWidth="1"/>
    <col min="14860" max="15093" width="9.33203125" style="8"/>
    <col min="15094" max="15094" width="58.21875" style="8" customWidth="1"/>
    <col min="15095" max="15095" width="42.33203125" style="8" bestFit="1" customWidth="1"/>
    <col min="15096" max="15096" width="10.77734375" style="8" bestFit="1" customWidth="1"/>
    <col min="15097" max="15097" width="9.77734375" style="8" bestFit="1" customWidth="1"/>
    <col min="15098" max="15107" width="0" style="8" hidden="1" customWidth="1"/>
    <col min="15108" max="15108" width="26" style="8" customWidth="1"/>
    <col min="15109" max="15109" width="25.33203125" style="8" bestFit="1" customWidth="1"/>
    <col min="15110" max="15110" width="26.21875" style="8" bestFit="1" customWidth="1"/>
    <col min="15111" max="15111" width="9.33203125" style="8" bestFit="1" customWidth="1"/>
    <col min="15112" max="15112" width="19.33203125" style="8" bestFit="1" customWidth="1"/>
    <col min="15113" max="15113" width="13.77734375" style="8" bestFit="1" customWidth="1"/>
    <col min="15114" max="15114" width="18.77734375" style="8" bestFit="1" customWidth="1"/>
    <col min="15115" max="15115" width="18.21875" style="8" bestFit="1" customWidth="1"/>
    <col min="15116" max="15349" width="9.33203125" style="8"/>
    <col min="15350" max="15350" width="58.21875" style="8" customWidth="1"/>
    <col min="15351" max="15351" width="42.33203125" style="8" bestFit="1" customWidth="1"/>
    <col min="15352" max="15352" width="10.77734375" style="8" bestFit="1" customWidth="1"/>
    <col min="15353" max="15353" width="9.77734375" style="8" bestFit="1" customWidth="1"/>
    <col min="15354" max="15363" width="0" style="8" hidden="1" customWidth="1"/>
    <col min="15364" max="15364" width="26" style="8" customWidth="1"/>
    <col min="15365" max="15365" width="25.33203125" style="8" bestFit="1" customWidth="1"/>
    <col min="15366" max="15366" width="26.21875" style="8" bestFit="1" customWidth="1"/>
    <col min="15367" max="15367" width="9.33203125" style="8" bestFit="1" customWidth="1"/>
    <col min="15368" max="15368" width="19.33203125" style="8" bestFit="1" customWidth="1"/>
    <col min="15369" max="15369" width="13.77734375" style="8" bestFit="1" customWidth="1"/>
    <col min="15370" max="15370" width="18.77734375" style="8" bestFit="1" customWidth="1"/>
    <col min="15371" max="15371" width="18.21875" style="8" bestFit="1" customWidth="1"/>
    <col min="15372" max="15605" width="9.33203125" style="8"/>
    <col min="15606" max="15606" width="58.21875" style="8" customWidth="1"/>
    <col min="15607" max="15607" width="42.33203125" style="8" bestFit="1" customWidth="1"/>
    <col min="15608" max="15608" width="10.77734375" style="8" bestFit="1" customWidth="1"/>
    <col min="15609" max="15609" width="9.77734375" style="8" bestFit="1" customWidth="1"/>
    <col min="15610" max="15619" width="0" style="8" hidden="1" customWidth="1"/>
    <col min="15620" max="15620" width="26" style="8" customWidth="1"/>
    <col min="15621" max="15621" width="25.33203125" style="8" bestFit="1" customWidth="1"/>
    <col min="15622" max="15622" width="26.21875" style="8" bestFit="1" customWidth="1"/>
    <col min="15623" max="15623" width="9.33203125" style="8" bestFit="1" customWidth="1"/>
    <col min="15624" max="15624" width="19.33203125" style="8" bestFit="1" customWidth="1"/>
    <col min="15625" max="15625" width="13.77734375" style="8" bestFit="1" customWidth="1"/>
    <col min="15626" max="15626" width="18.77734375" style="8" bestFit="1" customWidth="1"/>
    <col min="15627" max="15627" width="18.21875" style="8" bestFit="1" customWidth="1"/>
    <col min="15628" max="15861" width="9.33203125" style="8"/>
    <col min="15862" max="15862" width="58.21875" style="8" customWidth="1"/>
    <col min="15863" max="15863" width="42.33203125" style="8" bestFit="1" customWidth="1"/>
    <col min="15864" max="15864" width="10.77734375" style="8" bestFit="1" customWidth="1"/>
    <col min="15865" max="15865" width="9.77734375" style="8" bestFit="1" customWidth="1"/>
    <col min="15866" max="15875" width="0" style="8" hidden="1" customWidth="1"/>
    <col min="15876" max="15876" width="26" style="8" customWidth="1"/>
    <col min="15877" max="15877" width="25.33203125" style="8" bestFit="1" customWidth="1"/>
    <col min="15878" max="15878" width="26.21875" style="8" bestFit="1" customWidth="1"/>
    <col min="15879" max="15879" width="9.33203125" style="8" bestFit="1" customWidth="1"/>
    <col min="15880" max="15880" width="19.33203125" style="8" bestFit="1" customWidth="1"/>
    <col min="15881" max="15881" width="13.77734375" style="8" bestFit="1" customWidth="1"/>
    <col min="15882" max="15882" width="18.77734375" style="8" bestFit="1" customWidth="1"/>
    <col min="15883" max="15883" width="18.21875" style="8" bestFit="1" customWidth="1"/>
    <col min="15884" max="16117" width="9.33203125" style="8"/>
    <col min="16118" max="16118" width="58.21875" style="8" customWidth="1"/>
    <col min="16119" max="16119" width="42.33203125" style="8" bestFit="1" customWidth="1"/>
    <col min="16120" max="16120" width="10.77734375" style="8" bestFit="1" customWidth="1"/>
    <col min="16121" max="16121" width="9.77734375" style="8" bestFit="1" customWidth="1"/>
    <col min="16122" max="16131" width="0" style="8" hidden="1" customWidth="1"/>
    <col min="16132" max="16132" width="26" style="8" customWidth="1"/>
    <col min="16133" max="16133" width="25.33203125" style="8" bestFit="1" customWidth="1"/>
    <col min="16134" max="16134" width="26.21875" style="8" bestFit="1" customWidth="1"/>
    <col min="16135" max="16135" width="9.33203125" style="8" bestFit="1" customWidth="1"/>
    <col min="16136" max="16136" width="19.33203125" style="8" bestFit="1" customWidth="1"/>
    <col min="16137" max="16137" width="13.77734375" style="8" bestFit="1" customWidth="1"/>
    <col min="16138" max="16138" width="18.77734375" style="8" bestFit="1" customWidth="1"/>
    <col min="16139" max="16139" width="18.21875" style="8" bestFit="1" customWidth="1"/>
    <col min="16140" max="16382" width="9.33203125" style="8"/>
    <col min="16383" max="16384" width="9.33203125" style="8" customWidth="1"/>
  </cols>
  <sheetData>
    <row r="1" spans="1:23" s="52" customFormat="1" ht="12.75" customHeight="1">
      <c r="A1" s="238" t="s">
        <v>303</v>
      </c>
      <c r="B1" s="54" t="s">
        <v>71</v>
      </c>
      <c r="C1" s="56" t="s">
        <v>285</v>
      </c>
      <c r="D1" s="55" t="s">
        <v>72</v>
      </c>
      <c r="E1" s="55" t="s">
        <v>161</v>
      </c>
      <c r="F1" s="56" t="s">
        <v>70</v>
      </c>
      <c r="G1" s="256" t="s">
        <v>181</v>
      </c>
      <c r="H1" s="133" t="s">
        <v>73</v>
      </c>
      <c r="I1" s="133" t="s">
        <v>73</v>
      </c>
      <c r="J1" s="133" t="s">
        <v>73</v>
      </c>
      <c r="K1" s="57" t="s">
        <v>73</v>
      </c>
      <c r="L1" s="133" t="s">
        <v>73</v>
      </c>
      <c r="M1" s="57" t="s">
        <v>73</v>
      </c>
      <c r="N1" s="133" t="s">
        <v>73</v>
      </c>
      <c r="O1" s="57" t="s">
        <v>73</v>
      </c>
      <c r="P1" s="133" t="s">
        <v>73</v>
      </c>
      <c r="Q1" s="57" t="s">
        <v>73</v>
      </c>
      <c r="R1" s="133" t="s">
        <v>73</v>
      </c>
      <c r="S1" s="57" t="s">
        <v>73</v>
      </c>
      <c r="T1" s="58" t="s">
        <v>0</v>
      </c>
    </row>
    <row r="2" spans="1:23" s="52" customFormat="1">
      <c r="A2" s="238" t="s">
        <v>304</v>
      </c>
      <c r="B2" s="59"/>
      <c r="C2" s="41"/>
      <c r="D2" s="42"/>
      <c r="E2" s="42"/>
      <c r="F2" s="41"/>
      <c r="G2" s="257"/>
      <c r="H2" s="138" t="s">
        <v>74</v>
      </c>
      <c r="I2" s="138" t="s">
        <v>74</v>
      </c>
      <c r="J2" s="138" t="s">
        <v>74</v>
      </c>
      <c r="K2" s="40" t="s">
        <v>75</v>
      </c>
      <c r="L2" s="138" t="s">
        <v>74</v>
      </c>
      <c r="M2" s="40" t="s">
        <v>75</v>
      </c>
      <c r="N2" s="138" t="s">
        <v>74</v>
      </c>
      <c r="O2" s="40" t="s">
        <v>75</v>
      </c>
      <c r="P2" s="138" t="s">
        <v>74</v>
      </c>
      <c r="Q2" s="40" t="s">
        <v>75</v>
      </c>
      <c r="R2" s="138" t="s">
        <v>74</v>
      </c>
      <c r="S2" s="40" t="s">
        <v>75</v>
      </c>
      <c r="T2" s="60" t="s">
        <v>76</v>
      </c>
    </row>
    <row r="3" spans="1:23" s="52" customFormat="1">
      <c r="A3" s="238"/>
      <c r="B3" s="59"/>
      <c r="C3" s="41"/>
      <c r="D3" s="42"/>
      <c r="E3" s="42"/>
      <c r="F3" s="41"/>
      <c r="G3" s="257"/>
      <c r="H3" s="139">
        <v>43830</v>
      </c>
      <c r="I3" s="139">
        <v>44196</v>
      </c>
      <c r="J3" s="139">
        <v>44561</v>
      </c>
      <c r="K3" s="43"/>
      <c r="L3" s="139">
        <v>44926</v>
      </c>
      <c r="M3" s="139">
        <v>44926</v>
      </c>
      <c r="N3" s="139">
        <v>45291</v>
      </c>
      <c r="O3" s="139">
        <v>45291</v>
      </c>
      <c r="P3" s="139">
        <v>45657</v>
      </c>
      <c r="Q3" s="139">
        <v>45657</v>
      </c>
      <c r="R3" s="139">
        <v>46022</v>
      </c>
      <c r="S3" s="139">
        <v>46022</v>
      </c>
      <c r="T3" s="61"/>
    </row>
    <row r="4" spans="1:23" s="52" customFormat="1" ht="15" customHeight="1" thickBot="1">
      <c r="A4" s="238"/>
      <c r="B4" s="62"/>
      <c r="C4" s="64"/>
      <c r="D4" s="63"/>
      <c r="E4" s="63"/>
      <c r="F4" s="64"/>
      <c r="G4" s="258"/>
      <c r="H4" s="144" t="s">
        <v>252</v>
      </c>
      <c r="I4" s="144" t="s">
        <v>254</v>
      </c>
      <c r="J4" s="144" t="s">
        <v>270</v>
      </c>
      <c r="K4" s="65"/>
      <c r="L4" s="144" t="s">
        <v>369</v>
      </c>
      <c r="M4" s="144" t="s">
        <v>370</v>
      </c>
      <c r="N4" s="144" t="s">
        <v>410</v>
      </c>
      <c r="O4" s="144" t="s">
        <v>409</v>
      </c>
      <c r="P4" s="144" t="s">
        <v>475</v>
      </c>
      <c r="Q4" s="144" t="s">
        <v>474</v>
      </c>
      <c r="R4" s="144" t="s">
        <v>611</v>
      </c>
      <c r="S4" s="144" t="s">
        <v>610</v>
      </c>
      <c r="T4" s="66"/>
    </row>
    <row r="5" spans="1:23">
      <c r="B5" s="39" t="s">
        <v>60</v>
      </c>
      <c r="C5" s="28"/>
      <c r="H5" s="17"/>
      <c r="I5" s="17"/>
      <c r="J5" s="17"/>
      <c r="K5" s="17"/>
      <c r="L5" s="17"/>
      <c r="M5" s="17"/>
      <c r="N5" s="37"/>
      <c r="O5" s="37"/>
      <c r="P5" s="37"/>
      <c r="Q5" s="37"/>
      <c r="R5" s="37"/>
      <c r="S5" s="37"/>
      <c r="T5" s="17"/>
    </row>
    <row r="6" spans="1:23">
      <c r="A6" s="211" t="s">
        <v>534</v>
      </c>
      <c r="B6" s="12" t="s">
        <v>286</v>
      </c>
      <c r="C6" s="157">
        <v>1</v>
      </c>
      <c r="D6" s="12" t="s">
        <v>80</v>
      </c>
      <c r="E6" s="12" t="s">
        <v>160</v>
      </c>
      <c r="F6" s="12" t="s">
        <v>429</v>
      </c>
      <c r="G6" s="12" t="s">
        <v>439</v>
      </c>
      <c r="H6" s="32">
        <v>132000</v>
      </c>
      <c r="I6" s="32">
        <f>ROUND(H6/140.3*150.8,-2)</f>
        <v>141900</v>
      </c>
      <c r="J6" s="213">
        <v>270000</v>
      </c>
      <c r="K6" s="11"/>
      <c r="L6" s="213">
        <f>J6</f>
        <v>270000</v>
      </c>
      <c r="M6" s="32">
        <f>ROUND(K6/126.6*140.8,-2)</f>
        <v>0</v>
      </c>
      <c r="N6" s="32">
        <f>ROUND(L6/119.7*125.2,-2)</f>
        <v>282400</v>
      </c>
      <c r="O6" s="32">
        <f>ROUND(M6/115.1*123.3,-2)</f>
        <v>0</v>
      </c>
      <c r="P6" s="32">
        <f>ROUND(N6/125.2*131.8,-2)</f>
        <v>297300</v>
      </c>
      <c r="Q6" s="32">
        <f>ROUND(O6/123.3*128.3,-2)</f>
        <v>0</v>
      </c>
      <c r="R6" s="32">
        <f>ROUND(P6/131.8*136.2,-2)</f>
        <v>307200</v>
      </c>
      <c r="S6" s="32">
        <f>ROUND(Q6/128.3*132.4,-2)</f>
        <v>0</v>
      </c>
      <c r="T6" s="11">
        <f>R6+S6</f>
        <v>307200</v>
      </c>
    </row>
    <row r="7" spans="1:23">
      <c r="A7" s="211" t="s">
        <v>535</v>
      </c>
      <c r="B7" s="12" t="s">
        <v>287</v>
      </c>
      <c r="C7" s="157">
        <v>26</v>
      </c>
      <c r="D7" s="12" t="s">
        <v>85</v>
      </c>
      <c r="E7" s="12" t="s">
        <v>162</v>
      </c>
      <c r="F7" s="12" t="s">
        <v>84</v>
      </c>
      <c r="G7" s="12" t="s">
        <v>380</v>
      </c>
      <c r="H7" s="32">
        <v>227900</v>
      </c>
      <c r="I7" s="32">
        <f t="shared" ref="I7:I9" si="0">ROUND(H7/140.3*150.8,-2)</f>
        <v>245000</v>
      </c>
      <c r="J7" s="36">
        <v>280000</v>
      </c>
      <c r="K7" s="11"/>
      <c r="L7" s="69">
        <f>J7</f>
        <v>280000</v>
      </c>
      <c r="M7" s="32">
        <f t="shared" ref="M7:M9" si="1">ROUND(K7/126.6*140.8,-2)</f>
        <v>0</v>
      </c>
      <c r="N7" s="32">
        <f t="shared" ref="N7:N27" si="2">ROUND(L7/119.7*125.2,-2)</f>
        <v>292900</v>
      </c>
      <c r="O7" s="32">
        <f t="shared" ref="O7:O27" si="3">ROUND(M7/115.1*123.3,-2)</f>
        <v>0</v>
      </c>
      <c r="P7" s="32">
        <f t="shared" ref="P7:P27" si="4">ROUND(N7/125.2*131.8,-2)</f>
        <v>308300</v>
      </c>
      <c r="Q7" s="32">
        <f t="shared" ref="Q7:Q27" si="5">ROUND(O7/123.3*128.3,-2)</f>
        <v>0</v>
      </c>
      <c r="R7" s="32">
        <f t="shared" ref="R7:R27" si="6">ROUND(P7/131.8*136.2,-2)</f>
        <v>318600</v>
      </c>
      <c r="S7" s="32">
        <f t="shared" ref="S7:S27" si="7">ROUND(Q7/128.3*132.4,-2)</f>
        <v>0</v>
      </c>
      <c r="T7" s="11">
        <f t="shared" ref="T7:T27" si="8">R7+S7</f>
        <v>318600</v>
      </c>
    </row>
    <row r="8" spans="1:23">
      <c r="A8" s="211" t="s">
        <v>536</v>
      </c>
      <c r="B8" s="12" t="s">
        <v>287</v>
      </c>
      <c r="C8" s="157" t="s">
        <v>302</v>
      </c>
      <c r="D8" s="12"/>
      <c r="E8" s="12" t="s">
        <v>162</v>
      </c>
      <c r="F8" s="12" t="s">
        <v>83</v>
      </c>
      <c r="G8" s="12" t="s">
        <v>380</v>
      </c>
      <c r="H8" s="32">
        <v>9400</v>
      </c>
      <c r="I8" s="32">
        <f t="shared" si="0"/>
        <v>10100</v>
      </c>
      <c r="J8" s="36">
        <v>12000</v>
      </c>
      <c r="K8" s="11"/>
      <c r="L8" s="69">
        <f t="shared" ref="L8:L9" si="9">J8</f>
        <v>12000</v>
      </c>
      <c r="M8" s="32">
        <f t="shared" si="1"/>
        <v>0</v>
      </c>
      <c r="N8" s="32">
        <f t="shared" si="2"/>
        <v>12600</v>
      </c>
      <c r="O8" s="32">
        <f t="shared" si="3"/>
        <v>0</v>
      </c>
      <c r="P8" s="32">
        <f t="shared" si="4"/>
        <v>13300</v>
      </c>
      <c r="Q8" s="32">
        <f t="shared" si="5"/>
        <v>0</v>
      </c>
      <c r="R8" s="32">
        <f t="shared" si="6"/>
        <v>13700</v>
      </c>
      <c r="S8" s="32">
        <f t="shared" si="7"/>
        <v>0</v>
      </c>
      <c r="T8" s="11">
        <f t="shared" si="8"/>
        <v>13700</v>
      </c>
    </row>
    <row r="9" spans="1:23">
      <c r="A9" s="211" t="s">
        <v>537</v>
      </c>
      <c r="B9" s="12" t="s">
        <v>165</v>
      </c>
      <c r="C9" s="157" t="s">
        <v>302</v>
      </c>
      <c r="D9" s="12"/>
      <c r="E9" s="12" t="s">
        <v>162</v>
      </c>
      <c r="F9" s="12" t="s">
        <v>81</v>
      </c>
      <c r="G9" s="12" t="s">
        <v>380</v>
      </c>
      <c r="H9" s="32">
        <v>40100</v>
      </c>
      <c r="I9" s="32">
        <f t="shared" si="0"/>
        <v>43100</v>
      </c>
      <c r="J9" s="36">
        <v>50000</v>
      </c>
      <c r="K9" s="11"/>
      <c r="L9" s="69">
        <f t="shared" si="9"/>
        <v>50000</v>
      </c>
      <c r="M9" s="32">
        <f t="shared" si="1"/>
        <v>0</v>
      </c>
      <c r="N9" s="32">
        <f t="shared" si="2"/>
        <v>52300</v>
      </c>
      <c r="O9" s="32">
        <f t="shared" si="3"/>
        <v>0</v>
      </c>
      <c r="P9" s="32">
        <f t="shared" si="4"/>
        <v>55100</v>
      </c>
      <c r="Q9" s="32">
        <f t="shared" si="5"/>
        <v>0</v>
      </c>
      <c r="R9" s="32">
        <f t="shared" si="6"/>
        <v>56900</v>
      </c>
      <c r="S9" s="32">
        <f t="shared" si="7"/>
        <v>0</v>
      </c>
      <c r="T9" s="11">
        <f t="shared" si="8"/>
        <v>56900</v>
      </c>
    </row>
    <row r="10" spans="1:23">
      <c r="A10" s="211" t="s">
        <v>538</v>
      </c>
      <c r="B10" s="158" t="s">
        <v>306</v>
      </c>
      <c r="C10" s="159" t="s">
        <v>425</v>
      </c>
      <c r="D10" s="12" t="s">
        <v>86</v>
      </c>
      <c r="E10" s="12" t="s">
        <v>160</v>
      </c>
      <c r="F10" s="12" t="s">
        <v>412</v>
      </c>
      <c r="G10" s="12" t="s">
        <v>439</v>
      </c>
      <c r="H10" s="36">
        <v>2529100</v>
      </c>
      <c r="I10" s="36">
        <f t="shared" ref="I10" si="10">ROUND(H10/147.5*150.8,-2)</f>
        <v>2585700</v>
      </c>
      <c r="J10" s="219">
        <v>2750000</v>
      </c>
      <c r="K10" s="14">
        <f>322615+74983</f>
        <v>397598</v>
      </c>
      <c r="L10" s="213">
        <f>J10</f>
        <v>2750000</v>
      </c>
      <c r="M10" s="69">
        <v>0</v>
      </c>
      <c r="N10" s="32">
        <f t="shared" si="2"/>
        <v>2876400</v>
      </c>
      <c r="O10" s="32">
        <f t="shared" si="3"/>
        <v>0</v>
      </c>
      <c r="P10" s="32">
        <f t="shared" si="4"/>
        <v>3028000</v>
      </c>
      <c r="Q10" s="32">
        <f t="shared" si="5"/>
        <v>0</v>
      </c>
      <c r="R10" s="32">
        <f t="shared" si="6"/>
        <v>3129100</v>
      </c>
      <c r="S10" s="32">
        <f t="shared" si="7"/>
        <v>0</v>
      </c>
      <c r="T10" s="11">
        <f t="shared" si="8"/>
        <v>3129100</v>
      </c>
      <c r="W10" s="71" t="s">
        <v>283</v>
      </c>
    </row>
    <row r="11" spans="1:23" s="71" customFormat="1">
      <c r="A11" s="211" t="s">
        <v>539</v>
      </c>
      <c r="B11" s="12" t="s">
        <v>288</v>
      </c>
      <c r="C11" s="157" t="s">
        <v>302</v>
      </c>
      <c r="D11" s="12"/>
      <c r="E11" s="12" t="s">
        <v>162</v>
      </c>
      <c r="F11" s="12" t="s">
        <v>413</v>
      </c>
      <c r="G11" s="44" t="s">
        <v>380</v>
      </c>
      <c r="H11" s="32">
        <v>135700</v>
      </c>
      <c r="I11" s="32">
        <f>ROUND(H11/140.3*150.8,-2)</f>
        <v>145900</v>
      </c>
      <c r="J11" s="36">
        <v>165000</v>
      </c>
      <c r="K11" s="68"/>
      <c r="L11" s="69">
        <f t="shared" ref="L11" si="11">J11</f>
        <v>165000</v>
      </c>
      <c r="M11" s="32">
        <f>ROUND(K11/126.6*140.8,-2)</f>
        <v>0</v>
      </c>
      <c r="N11" s="32">
        <f>ROUND(L11/125.1*125.2,-2)</f>
        <v>165100</v>
      </c>
      <c r="O11" s="32">
        <f t="shared" si="3"/>
        <v>0</v>
      </c>
      <c r="P11" s="32">
        <f t="shared" si="4"/>
        <v>173800</v>
      </c>
      <c r="Q11" s="32">
        <f t="shared" si="5"/>
        <v>0</v>
      </c>
      <c r="R11" s="32">
        <f t="shared" si="6"/>
        <v>179600</v>
      </c>
      <c r="S11" s="32">
        <f t="shared" si="7"/>
        <v>0</v>
      </c>
      <c r="T11" s="11">
        <f t="shared" si="8"/>
        <v>179600</v>
      </c>
    </row>
    <row r="12" spans="1:23">
      <c r="A12" s="211" t="s">
        <v>540</v>
      </c>
      <c r="B12" s="12" t="s">
        <v>159</v>
      </c>
      <c r="C12" s="157" t="s">
        <v>302</v>
      </c>
      <c r="D12" s="12"/>
      <c r="E12" s="12" t="s">
        <v>162</v>
      </c>
      <c r="F12" s="12" t="s">
        <v>158</v>
      </c>
      <c r="G12" s="12" t="s">
        <v>380</v>
      </c>
      <c r="H12" s="32">
        <v>304200</v>
      </c>
      <c r="I12" s="32">
        <f t="shared" ref="I12:I27" si="12">ROUND(H12/140.3*150.8,-2)</f>
        <v>327000</v>
      </c>
      <c r="J12" s="36">
        <v>2325000</v>
      </c>
      <c r="K12" s="10"/>
      <c r="L12" s="69">
        <f t="shared" ref="L12:L13" si="13">J12</f>
        <v>2325000</v>
      </c>
      <c r="M12" s="32">
        <f t="shared" ref="M12:M27" si="14">ROUND(K12/126.6*140.8,-2)</f>
        <v>0</v>
      </c>
      <c r="N12" s="32">
        <f t="shared" si="2"/>
        <v>2431800</v>
      </c>
      <c r="O12" s="32">
        <f t="shared" si="3"/>
        <v>0</v>
      </c>
      <c r="P12" s="32">
        <f t="shared" si="4"/>
        <v>2560000</v>
      </c>
      <c r="Q12" s="32">
        <f t="shared" si="5"/>
        <v>0</v>
      </c>
      <c r="R12" s="32">
        <f t="shared" si="6"/>
        <v>2645500</v>
      </c>
      <c r="S12" s="32">
        <f t="shared" si="7"/>
        <v>0</v>
      </c>
      <c r="T12" s="11">
        <f t="shared" si="8"/>
        <v>2645500</v>
      </c>
    </row>
    <row r="13" spans="1:23">
      <c r="A13" s="211" t="s">
        <v>541</v>
      </c>
      <c r="B13" s="12" t="s">
        <v>289</v>
      </c>
      <c r="C13" s="157" t="s">
        <v>302</v>
      </c>
      <c r="D13" s="12"/>
      <c r="E13" s="12" t="s">
        <v>162</v>
      </c>
      <c r="F13" s="12" t="s">
        <v>78</v>
      </c>
      <c r="G13" s="12" t="s">
        <v>380</v>
      </c>
      <c r="H13" s="32">
        <v>430000</v>
      </c>
      <c r="I13" s="32">
        <f t="shared" si="12"/>
        <v>462200</v>
      </c>
      <c r="J13" s="36">
        <v>530000</v>
      </c>
      <c r="K13" s="11"/>
      <c r="L13" s="69">
        <f t="shared" si="13"/>
        <v>530000</v>
      </c>
      <c r="M13" s="32">
        <f t="shared" si="14"/>
        <v>0</v>
      </c>
      <c r="N13" s="32">
        <f t="shared" si="2"/>
        <v>554400</v>
      </c>
      <c r="O13" s="32">
        <f t="shared" si="3"/>
        <v>0</v>
      </c>
      <c r="P13" s="32">
        <f t="shared" si="4"/>
        <v>583600</v>
      </c>
      <c r="Q13" s="32">
        <f t="shared" si="5"/>
        <v>0</v>
      </c>
      <c r="R13" s="32">
        <f t="shared" si="6"/>
        <v>603100</v>
      </c>
      <c r="S13" s="32">
        <f t="shared" si="7"/>
        <v>0</v>
      </c>
      <c r="T13" s="11">
        <f t="shared" si="8"/>
        <v>603100</v>
      </c>
    </row>
    <row r="14" spans="1:23">
      <c r="A14" s="211" t="s">
        <v>542</v>
      </c>
      <c r="B14" s="12" t="s">
        <v>476</v>
      </c>
      <c r="C14" s="157">
        <v>1</v>
      </c>
      <c r="D14" s="12" t="s">
        <v>88</v>
      </c>
      <c r="E14" s="12" t="s">
        <v>160</v>
      </c>
      <c r="F14" s="12" t="s">
        <v>15</v>
      </c>
      <c r="G14" s="12" t="s">
        <v>439</v>
      </c>
      <c r="H14" s="36">
        <v>1511000</v>
      </c>
      <c r="I14" s="36">
        <f t="shared" si="12"/>
        <v>1624100</v>
      </c>
      <c r="J14" s="36">
        <f t="shared" ref="J14:J27" si="15">ROUND(I14/150.8*158.3,-2)</f>
        <v>1704900</v>
      </c>
      <c r="K14" s="14">
        <f>86000+4300</f>
        <v>90300</v>
      </c>
      <c r="L14" s="213">
        <v>1600000</v>
      </c>
      <c r="M14" s="32">
        <f t="shared" si="14"/>
        <v>100400</v>
      </c>
      <c r="N14" s="32">
        <f t="shared" si="2"/>
        <v>1673500</v>
      </c>
      <c r="O14" s="32">
        <f t="shared" si="3"/>
        <v>107600</v>
      </c>
      <c r="P14" s="32">
        <f t="shared" si="4"/>
        <v>1761700</v>
      </c>
      <c r="Q14" s="32">
        <f t="shared" si="5"/>
        <v>112000</v>
      </c>
      <c r="R14" s="32">
        <f t="shared" si="6"/>
        <v>1820500</v>
      </c>
      <c r="S14" s="32">
        <f t="shared" si="7"/>
        <v>115600</v>
      </c>
      <c r="T14" s="11">
        <f t="shared" si="8"/>
        <v>1936100</v>
      </c>
      <c r="U14" s="8" t="s">
        <v>408</v>
      </c>
    </row>
    <row r="15" spans="1:23" s="29" customFormat="1" ht="26.4">
      <c r="A15" s="240" t="s">
        <v>543</v>
      </c>
      <c r="B15" s="22" t="s">
        <v>290</v>
      </c>
      <c r="C15" s="206">
        <v>10</v>
      </c>
      <c r="D15" s="22" t="s">
        <v>82</v>
      </c>
      <c r="E15" s="22" t="s">
        <v>160</v>
      </c>
      <c r="F15" s="13" t="s">
        <v>430</v>
      </c>
      <c r="G15" s="44" t="s">
        <v>440</v>
      </c>
      <c r="H15" s="36">
        <v>10620000</v>
      </c>
      <c r="I15" s="36">
        <f t="shared" si="12"/>
        <v>11414800</v>
      </c>
      <c r="J15" s="213">
        <v>13000000</v>
      </c>
      <c r="K15" s="24">
        <f>92835+5000</f>
        <v>97835</v>
      </c>
      <c r="L15" s="213">
        <f>J15</f>
        <v>13000000</v>
      </c>
      <c r="M15" s="36">
        <v>102850</v>
      </c>
      <c r="N15" s="32">
        <f>ROUND(L15/125.1*125.2,-2)</f>
        <v>13010400</v>
      </c>
      <c r="O15" s="32">
        <f t="shared" si="3"/>
        <v>110200</v>
      </c>
      <c r="P15" s="32">
        <f t="shared" si="4"/>
        <v>13696300</v>
      </c>
      <c r="Q15" s="32">
        <f t="shared" si="5"/>
        <v>114700</v>
      </c>
      <c r="R15" s="32">
        <f t="shared" si="6"/>
        <v>14153500</v>
      </c>
      <c r="S15" s="32">
        <f t="shared" si="7"/>
        <v>118400</v>
      </c>
      <c r="T15" s="216">
        <f t="shared" si="8"/>
        <v>14271900</v>
      </c>
      <c r="W15" s="217" t="s">
        <v>431</v>
      </c>
    </row>
    <row r="16" spans="1:23">
      <c r="A16" s="211" t="s">
        <v>544</v>
      </c>
      <c r="B16" s="12" t="s">
        <v>291</v>
      </c>
      <c r="C16" s="157" t="s">
        <v>292</v>
      </c>
      <c r="D16" s="12" t="s">
        <v>82</v>
      </c>
      <c r="E16" s="12" t="s">
        <v>160</v>
      </c>
      <c r="F16" s="12" t="s">
        <v>447</v>
      </c>
      <c r="G16" s="12" t="s">
        <v>439</v>
      </c>
      <c r="H16" s="36">
        <v>144900</v>
      </c>
      <c r="I16" s="36">
        <f>ROUND(H16/147.5*150.8,-2)</f>
        <v>148100</v>
      </c>
      <c r="J16" s="219">
        <v>185000</v>
      </c>
      <c r="K16" s="14"/>
      <c r="L16" s="213">
        <f>J16</f>
        <v>185000</v>
      </c>
      <c r="M16" s="32">
        <f t="shared" si="14"/>
        <v>0</v>
      </c>
      <c r="N16" s="32">
        <f t="shared" si="2"/>
        <v>193500</v>
      </c>
      <c r="O16" s="32">
        <f t="shared" si="3"/>
        <v>0</v>
      </c>
      <c r="P16" s="32">
        <f t="shared" si="4"/>
        <v>203700</v>
      </c>
      <c r="Q16" s="32">
        <f t="shared" si="5"/>
        <v>0</v>
      </c>
      <c r="R16" s="32">
        <f t="shared" si="6"/>
        <v>210500</v>
      </c>
      <c r="S16" s="32">
        <f t="shared" si="7"/>
        <v>0</v>
      </c>
      <c r="T16" s="11">
        <f t="shared" si="8"/>
        <v>210500</v>
      </c>
    </row>
    <row r="17" spans="1:23">
      <c r="A17" s="211" t="s">
        <v>544</v>
      </c>
      <c r="B17" s="12" t="s">
        <v>293</v>
      </c>
      <c r="C17" s="157">
        <v>2</v>
      </c>
      <c r="D17" s="12" t="s">
        <v>262</v>
      </c>
      <c r="E17" s="12" t="s">
        <v>162</v>
      </c>
      <c r="F17" s="12" t="s">
        <v>414</v>
      </c>
      <c r="G17" s="12" t="s">
        <v>380</v>
      </c>
      <c r="H17" s="36">
        <v>2144700</v>
      </c>
      <c r="I17" s="36">
        <f t="shared" ref="I17" si="16">ROUND(H17/140.3*150.8,-2)</f>
        <v>2305200</v>
      </c>
      <c r="J17" s="36">
        <v>3150000</v>
      </c>
      <c r="K17" s="14"/>
      <c r="L17" s="69">
        <f t="shared" ref="L17:L19" si="17">J17</f>
        <v>3150000</v>
      </c>
      <c r="M17" s="32">
        <f t="shared" si="14"/>
        <v>0</v>
      </c>
      <c r="N17" s="32">
        <f t="shared" si="2"/>
        <v>3294700</v>
      </c>
      <c r="O17" s="32">
        <f t="shared" si="3"/>
        <v>0</v>
      </c>
      <c r="P17" s="32">
        <f t="shared" si="4"/>
        <v>3468400</v>
      </c>
      <c r="Q17" s="32">
        <f t="shared" si="5"/>
        <v>0</v>
      </c>
      <c r="R17" s="32">
        <f t="shared" si="6"/>
        <v>3584200</v>
      </c>
      <c r="S17" s="32">
        <f t="shared" si="7"/>
        <v>0</v>
      </c>
      <c r="T17" s="11">
        <f t="shared" si="8"/>
        <v>3584200</v>
      </c>
      <c r="U17" s="17"/>
      <c r="W17" s="121" t="s">
        <v>263</v>
      </c>
    </row>
    <row r="18" spans="1:23">
      <c r="A18" s="211" t="s">
        <v>545</v>
      </c>
      <c r="B18" s="12" t="s">
        <v>294</v>
      </c>
      <c r="C18" s="157">
        <v>3</v>
      </c>
      <c r="D18" s="12" t="s">
        <v>437</v>
      </c>
      <c r="E18" s="12" t="s">
        <v>160</v>
      </c>
      <c r="F18" s="12" t="s">
        <v>432</v>
      </c>
      <c r="G18" s="12" t="s">
        <v>439</v>
      </c>
      <c r="H18" s="36">
        <v>2698000</v>
      </c>
      <c r="I18" s="36">
        <f t="shared" si="12"/>
        <v>2899900</v>
      </c>
      <c r="J18" s="213">
        <v>3300000</v>
      </c>
      <c r="K18" s="14"/>
      <c r="L18" s="213">
        <f t="shared" si="17"/>
        <v>3300000</v>
      </c>
      <c r="M18" s="32">
        <f t="shared" si="14"/>
        <v>0</v>
      </c>
      <c r="N18" s="32">
        <f t="shared" si="2"/>
        <v>3451600</v>
      </c>
      <c r="O18" s="32">
        <f t="shared" si="3"/>
        <v>0</v>
      </c>
      <c r="P18" s="32">
        <f t="shared" si="4"/>
        <v>3633600</v>
      </c>
      <c r="Q18" s="32">
        <f t="shared" si="5"/>
        <v>0</v>
      </c>
      <c r="R18" s="32">
        <f t="shared" si="6"/>
        <v>3754900</v>
      </c>
      <c r="S18" s="32">
        <f t="shared" si="7"/>
        <v>0</v>
      </c>
      <c r="T18" s="11">
        <f t="shared" si="8"/>
        <v>3754900</v>
      </c>
      <c r="W18" s="217" t="s">
        <v>433</v>
      </c>
    </row>
    <row r="19" spans="1:23">
      <c r="A19" s="241" t="s">
        <v>546</v>
      </c>
      <c r="B19" s="12" t="s">
        <v>295</v>
      </c>
      <c r="C19" s="157">
        <v>69</v>
      </c>
      <c r="D19" s="12" t="s">
        <v>434</v>
      </c>
      <c r="E19" s="12" t="s">
        <v>160</v>
      </c>
      <c r="F19" s="12" t="s">
        <v>477</v>
      </c>
      <c r="G19" s="12" t="s">
        <v>439</v>
      </c>
      <c r="H19" s="36">
        <v>476500</v>
      </c>
      <c r="I19" s="36">
        <f t="shared" si="12"/>
        <v>512200</v>
      </c>
      <c r="J19" s="213">
        <v>625000</v>
      </c>
      <c r="K19" s="83"/>
      <c r="L19" s="213">
        <f t="shared" si="17"/>
        <v>625000</v>
      </c>
      <c r="M19" s="32">
        <f t="shared" si="14"/>
        <v>0</v>
      </c>
      <c r="N19" s="32">
        <f t="shared" si="2"/>
        <v>653700</v>
      </c>
      <c r="O19" s="32">
        <f t="shared" si="3"/>
        <v>0</v>
      </c>
      <c r="P19" s="32">
        <f t="shared" si="4"/>
        <v>688200</v>
      </c>
      <c r="Q19" s="32">
        <f t="shared" si="5"/>
        <v>0</v>
      </c>
      <c r="R19" s="32">
        <f t="shared" si="6"/>
        <v>711200</v>
      </c>
      <c r="S19" s="32">
        <f t="shared" si="7"/>
        <v>0</v>
      </c>
      <c r="T19" s="11">
        <f t="shared" si="8"/>
        <v>711200</v>
      </c>
      <c r="W19" s="217" t="s">
        <v>435</v>
      </c>
    </row>
    <row r="20" spans="1:23">
      <c r="A20" s="242" t="s">
        <v>547</v>
      </c>
      <c r="B20" s="12" t="s">
        <v>312</v>
      </c>
      <c r="C20" s="12">
        <v>20</v>
      </c>
      <c r="D20" s="12" t="s">
        <v>275</v>
      </c>
      <c r="E20" s="12" t="s">
        <v>160</v>
      </c>
      <c r="F20" s="12" t="s">
        <v>276</v>
      </c>
      <c r="G20" s="12"/>
      <c r="H20" s="12"/>
      <c r="I20" s="146"/>
      <c r="J20" s="146">
        <v>7260000</v>
      </c>
      <c r="K20" s="148">
        <v>163350</v>
      </c>
      <c r="L20" s="32">
        <f>J20</f>
        <v>7260000</v>
      </c>
      <c r="M20" s="32">
        <f>K20</f>
        <v>163350</v>
      </c>
      <c r="N20" s="32">
        <f t="shared" si="2"/>
        <v>7593600</v>
      </c>
      <c r="O20" s="32">
        <f t="shared" si="3"/>
        <v>175000</v>
      </c>
      <c r="P20" s="32">
        <f t="shared" si="4"/>
        <v>7993900</v>
      </c>
      <c r="Q20" s="32">
        <f t="shared" si="5"/>
        <v>182100</v>
      </c>
      <c r="R20" s="32">
        <f t="shared" si="6"/>
        <v>8260800</v>
      </c>
      <c r="S20" s="32">
        <f t="shared" si="7"/>
        <v>187900</v>
      </c>
      <c r="T20" s="11">
        <f t="shared" si="8"/>
        <v>8448700</v>
      </c>
      <c r="U20" s="8" t="s">
        <v>408</v>
      </c>
    </row>
    <row r="21" spans="1:23" s="29" customFormat="1">
      <c r="A21" s="242" t="s">
        <v>548</v>
      </c>
      <c r="B21" s="22" t="s">
        <v>296</v>
      </c>
      <c r="C21" s="206">
        <v>26</v>
      </c>
      <c r="D21" s="22" t="s">
        <v>87</v>
      </c>
      <c r="E21" s="22" t="s">
        <v>162</v>
      </c>
      <c r="F21" s="22" t="s">
        <v>164</v>
      </c>
      <c r="G21" s="12" t="s">
        <v>380</v>
      </c>
      <c r="H21" s="36">
        <v>3834800</v>
      </c>
      <c r="I21" s="36">
        <f t="shared" ref="I21" si="18">ROUND(H21/140.3*150.8,-2)</f>
        <v>4121800</v>
      </c>
      <c r="J21" s="36">
        <v>4700000</v>
      </c>
      <c r="K21" s="24">
        <f>112215+31935</f>
        <v>144150</v>
      </c>
      <c r="L21" s="69">
        <f t="shared" ref="L21" si="19">J21</f>
        <v>4700000</v>
      </c>
      <c r="M21" s="32">
        <f t="shared" ref="M21" si="20">ROUND(K21/126.6*140.8,-2)</f>
        <v>160300</v>
      </c>
      <c r="N21" s="32">
        <f t="shared" si="2"/>
        <v>4916000</v>
      </c>
      <c r="O21" s="32">
        <f t="shared" si="3"/>
        <v>171700</v>
      </c>
      <c r="P21" s="32">
        <f t="shared" si="4"/>
        <v>5175200</v>
      </c>
      <c r="Q21" s="32">
        <f t="shared" si="5"/>
        <v>178700</v>
      </c>
      <c r="R21" s="32">
        <f t="shared" si="6"/>
        <v>5348000</v>
      </c>
      <c r="S21" s="32">
        <f t="shared" si="7"/>
        <v>184400</v>
      </c>
      <c r="T21" s="11">
        <f t="shared" si="8"/>
        <v>5532400</v>
      </c>
    </row>
    <row r="22" spans="1:23">
      <c r="A22" s="242" t="s">
        <v>549</v>
      </c>
      <c r="B22" s="12" t="s">
        <v>297</v>
      </c>
      <c r="C22" s="157">
        <v>26</v>
      </c>
      <c r="D22" s="12" t="s">
        <v>87</v>
      </c>
      <c r="E22" s="12" t="s">
        <v>162</v>
      </c>
      <c r="F22" s="12" t="s">
        <v>234</v>
      </c>
      <c r="G22" s="44"/>
      <c r="H22" s="36"/>
      <c r="I22" s="36">
        <f t="shared" si="12"/>
        <v>0</v>
      </c>
      <c r="J22" s="36">
        <f t="shared" si="15"/>
        <v>0</v>
      </c>
      <c r="K22" s="14">
        <f>96000+4800</f>
        <v>100800</v>
      </c>
      <c r="L22" s="32">
        <f t="shared" ref="L22" si="21">ROUND(J22/158.3*175.4,-2)</f>
        <v>0</v>
      </c>
      <c r="M22" s="32">
        <f t="shared" si="14"/>
        <v>112100</v>
      </c>
      <c r="N22" s="32">
        <f t="shared" si="2"/>
        <v>0</v>
      </c>
      <c r="O22" s="32">
        <f t="shared" si="3"/>
        <v>120100</v>
      </c>
      <c r="P22" s="32">
        <f t="shared" si="4"/>
        <v>0</v>
      </c>
      <c r="Q22" s="32">
        <f t="shared" si="5"/>
        <v>125000</v>
      </c>
      <c r="R22" s="32">
        <f t="shared" si="6"/>
        <v>0</v>
      </c>
      <c r="S22" s="32">
        <f t="shared" si="7"/>
        <v>129000</v>
      </c>
      <c r="T22" s="11">
        <f t="shared" si="8"/>
        <v>129000</v>
      </c>
    </row>
    <row r="23" spans="1:23">
      <c r="A23" s="242" t="s">
        <v>550</v>
      </c>
      <c r="B23" s="12" t="s">
        <v>297</v>
      </c>
      <c r="C23" s="157" t="s">
        <v>298</v>
      </c>
      <c r="D23" s="12" t="s">
        <v>87</v>
      </c>
      <c r="E23" s="12" t="s">
        <v>162</v>
      </c>
      <c r="F23" s="12" t="s">
        <v>411</v>
      </c>
      <c r="G23" s="12" t="s">
        <v>380</v>
      </c>
      <c r="H23" s="36">
        <v>1605800</v>
      </c>
      <c r="I23" s="36">
        <f t="shared" si="12"/>
        <v>1726000</v>
      </c>
      <c r="J23" s="36">
        <v>2150000</v>
      </c>
      <c r="K23" s="14">
        <v>180800</v>
      </c>
      <c r="L23" s="69">
        <f t="shared" ref="L23" si="22">J23</f>
        <v>2150000</v>
      </c>
      <c r="M23" s="32">
        <f t="shared" si="14"/>
        <v>201100</v>
      </c>
      <c r="N23" s="32">
        <f t="shared" si="2"/>
        <v>2248800</v>
      </c>
      <c r="O23" s="32">
        <f t="shared" si="3"/>
        <v>215400</v>
      </c>
      <c r="P23" s="32">
        <f t="shared" si="4"/>
        <v>2367300</v>
      </c>
      <c r="Q23" s="32">
        <f t="shared" si="5"/>
        <v>224100</v>
      </c>
      <c r="R23" s="32">
        <f t="shared" si="6"/>
        <v>2446300</v>
      </c>
      <c r="S23" s="32">
        <f t="shared" si="7"/>
        <v>231300</v>
      </c>
      <c r="T23" s="11">
        <f t="shared" si="8"/>
        <v>2677600</v>
      </c>
    </row>
    <row r="24" spans="1:23" s="26" customFormat="1">
      <c r="A24" s="242" t="s">
        <v>551</v>
      </c>
      <c r="B24" s="12" t="s">
        <v>299</v>
      </c>
      <c r="C24" s="157" t="s">
        <v>427</v>
      </c>
      <c r="D24" s="12" t="s">
        <v>428</v>
      </c>
      <c r="E24" s="12" t="s">
        <v>160</v>
      </c>
      <c r="F24" s="12" t="s">
        <v>478</v>
      </c>
      <c r="G24" s="12" t="s">
        <v>439</v>
      </c>
      <c r="H24" s="36">
        <v>350200</v>
      </c>
      <c r="I24" s="36">
        <f t="shared" si="12"/>
        <v>376400</v>
      </c>
      <c r="J24" s="213">
        <v>1900000</v>
      </c>
      <c r="K24" s="83"/>
      <c r="L24" s="213">
        <f>J24</f>
        <v>1900000</v>
      </c>
      <c r="M24" s="32">
        <f t="shared" si="14"/>
        <v>0</v>
      </c>
      <c r="N24" s="32">
        <f t="shared" si="2"/>
        <v>1987300</v>
      </c>
      <c r="O24" s="32">
        <f t="shared" si="3"/>
        <v>0</v>
      </c>
      <c r="P24" s="32">
        <f t="shared" si="4"/>
        <v>2092100</v>
      </c>
      <c r="Q24" s="32">
        <f t="shared" si="5"/>
        <v>0</v>
      </c>
      <c r="R24" s="32">
        <f t="shared" si="6"/>
        <v>2161900</v>
      </c>
      <c r="S24" s="32">
        <f t="shared" si="7"/>
        <v>0</v>
      </c>
      <c r="T24" s="11">
        <f t="shared" si="8"/>
        <v>2161900</v>
      </c>
      <c r="W24" s="217" t="s">
        <v>436</v>
      </c>
    </row>
    <row r="25" spans="1:23" s="27" customFormat="1">
      <c r="A25" s="240" t="s">
        <v>552</v>
      </c>
      <c r="B25" s="12" t="s">
        <v>300</v>
      </c>
      <c r="C25" s="157" t="s">
        <v>301</v>
      </c>
      <c r="D25" s="12" t="s">
        <v>77</v>
      </c>
      <c r="E25" s="12" t="s">
        <v>160</v>
      </c>
      <c r="F25" s="12" t="s">
        <v>274</v>
      </c>
      <c r="G25" s="12"/>
      <c r="H25" s="36"/>
      <c r="I25" s="36"/>
      <c r="J25" s="32">
        <v>2359500</v>
      </c>
      <c r="K25" s="14"/>
      <c r="L25" s="32">
        <f>J25</f>
        <v>2359500</v>
      </c>
      <c r="M25" s="32">
        <f t="shared" si="14"/>
        <v>0</v>
      </c>
      <c r="N25" s="32">
        <f t="shared" si="2"/>
        <v>2467900</v>
      </c>
      <c r="O25" s="32">
        <f t="shared" si="3"/>
        <v>0</v>
      </c>
      <c r="P25" s="32">
        <f t="shared" si="4"/>
        <v>2598000</v>
      </c>
      <c r="Q25" s="32">
        <f t="shared" si="5"/>
        <v>0</v>
      </c>
      <c r="R25" s="32">
        <f t="shared" si="6"/>
        <v>2684700</v>
      </c>
      <c r="S25" s="32">
        <f t="shared" si="7"/>
        <v>0</v>
      </c>
      <c r="T25" s="11">
        <f t="shared" si="8"/>
        <v>2684700</v>
      </c>
      <c r="U25" s="8" t="s">
        <v>408</v>
      </c>
    </row>
    <row r="26" spans="1:23" s="26" customFormat="1">
      <c r="A26" s="240" t="s">
        <v>553</v>
      </c>
      <c r="B26" s="12" t="s">
        <v>300</v>
      </c>
      <c r="C26" s="157" t="s">
        <v>448</v>
      </c>
      <c r="D26" s="12" t="s">
        <v>77</v>
      </c>
      <c r="E26" s="12" t="s">
        <v>160</v>
      </c>
      <c r="F26" s="12" t="s">
        <v>163</v>
      </c>
      <c r="G26" s="12" t="s">
        <v>439</v>
      </c>
      <c r="H26" s="36">
        <v>6300</v>
      </c>
      <c r="I26" s="36">
        <f t="shared" si="12"/>
        <v>6800</v>
      </c>
      <c r="J26" s="213">
        <v>150000</v>
      </c>
      <c r="K26" s="14"/>
      <c r="L26" s="213">
        <v>150000</v>
      </c>
      <c r="M26" s="32">
        <f t="shared" si="14"/>
        <v>0</v>
      </c>
      <c r="N26" s="32">
        <f t="shared" si="2"/>
        <v>156900</v>
      </c>
      <c r="O26" s="32">
        <f t="shared" si="3"/>
        <v>0</v>
      </c>
      <c r="P26" s="32">
        <f t="shared" si="4"/>
        <v>165200</v>
      </c>
      <c r="Q26" s="32">
        <f t="shared" si="5"/>
        <v>0</v>
      </c>
      <c r="R26" s="32">
        <f t="shared" si="6"/>
        <v>170700</v>
      </c>
      <c r="S26" s="32">
        <f t="shared" si="7"/>
        <v>0</v>
      </c>
      <c r="T26" s="11">
        <f t="shared" si="8"/>
        <v>170700</v>
      </c>
    </row>
    <row r="27" spans="1:23" s="26" customFormat="1" ht="26.4">
      <c r="A27" s="240" t="s">
        <v>554</v>
      </c>
      <c r="B27" s="22" t="s">
        <v>442</v>
      </c>
      <c r="C27" s="206">
        <v>50</v>
      </c>
      <c r="D27" s="22" t="s">
        <v>443</v>
      </c>
      <c r="E27" s="22" t="s">
        <v>160</v>
      </c>
      <c r="F27" s="13" t="s">
        <v>444</v>
      </c>
      <c r="G27" s="22" t="s">
        <v>439</v>
      </c>
      <c r="H27" s="36">
        <v>4133200</v>
      </c>
      <c r="I27" s="36">
        <f t="shared" si="12"/>
        <v>4442500</v>
      </c>
      <c r="J27" s="32">
        <f t="shared" si="15"/>
        <v>4663400</v>
      </c>
      <c r="K27" s="14"/>
      <c r="L27" s="213">
        <v>5000000</v>
      </c>
      <c r="M27" s="32">
        <f t="shared" si="14"/>
        <v>0</v>
      </c>
      <c r="N27" s="32">
        <f t="shared" si="2"/>
        <v>5229700</v>
      </c>
      <c r="O27" s="32">
        <f t="shared" si="3"/>
        <v>0</v>
      </c>
      <c r="P27" s="32">
        <f t="shared" si="4"/>
        <v>5505400</v>
      </c>
      <c r="Q27" s="32">
        <f t="shared" si="5"/>
        <v>0</v>
      </c>
      <c r="R27" s="32">
        <f t="shared" si="6"/>
        <v>5689200</v>
      </c>
      <c r="S27" s="32">
        <f t="shared" si="7"/>
        <v>0</v>
      </c>
      <c r="T27" s="11">
        <f t="shared" si="8"/>
        <v>5689200</v>
      </c>
    </row>
    <row r="28" spans="1:23"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3" s="28" customFormat="1" ht="13.8" thickBot="1">
      <c r="A29" s="243"/>
      <c r="B29" s="108" t="s">
        <v>26</v>
      </c>
      <c r="C29" s="88"/>
      <c r="D29" s="89"/>
      <c r="E29" s="89"/>
      <c r="F29" s="89"/>
      <c r="G29" s="89"/>
      <c r="H29" s="90">
        <v>35308000</v>
      </c>
      <c r="I29" s="90">
        <f t="shared" ref="I29:T29" si="23">SUM(I6:I28)</f>
        <v>33538700</v>
      </c>
      <c r="J29" s="90">
        <f t="shared" si="23"/>
        <v>51529800</v>
      </c>
      <c r="K29" s="90">
        <f t="shared" si="23"/>
        <v>1174833</v>
      </c>
      <c r="L29" s="90">
        <f t="shared" si="23"/>
        <v>51761500</v>
      </c>
      <c r="M29" s="90">
        <f t="shared" si="23"/>
        <v>840100</v>
      </c>
      <c r="N29" s="90">
        <f t="shared" si="23"/>
        <v>53545500</v>
      </c>
      <c r="O29" s="90">
        <f t="shared" si="23"/>
        <v>900000</v>
      </c>
      <c r="P29" s="90">
        <f t="shared" si="23"/>
        <v>56368400</v>
      </c>
      <c r="Q29" s="90">
        <f t="shared" si="23"/>
        <v>936600</v>
      </c>
      <c r="R29" s="90">
        <f t="shared" si="23"/>
        <v>58250100</v>
      </c>
      <c r="S29" s="90">
        <f t="shared" si="23"/>
        <v>966600</v>
      </c>
      <c r="T29" s="90">
        <f t="shared" si="23"/>
        <v>59216700</v>
      </c>
    </row>
    <row r="30" spans="1:23" ht="13.8" thickTop="1"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3">
      <c r="B31" s="94" t="s">
        <v>61</v>
      </c>
      <c r="C31" s="28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3" s="26" customFormat="1">
      <c r="A32" s="211" t="s">
        <v>555</v>
      </c>
      <c r="B32" s="158" t="s">
        <v>295</v>
      </c>
      <c r="C32" s="159" t="s">
        <v>307</v>
      </c>
      <c r="D32" s="12" t="s">
        <v>233</v>
      </c>
      <c r="E32" s="12" t="s">
        <v>160</v>
      </c>
      <c r="F32" s="12" t="s">
        <v>182</v>
      </c>
      <c r="G32" s="12" t="s">
        <v>439</v>
      </c>
      <c r="H32" s="36">
        <v>3766200</v>
      </c>
      <c r="I32" s="36">
        <f t="shared" ref="I32" si="24">ROUND(H32/147.5*150.8,-2)</f>
        <v>3850500</v>
      </c>
      <c r="J32" s="219">
        <v>4200000</v>
      </c>
      <c r="K32" s="14">
        <f>378280+186520</f>
        <v>564800</v>
      </c>
      <c r="L32" s="213">
        <f t="shared" ref="L32:L33" si="25">J32</f>
        <v>4200000</v>
      </c>
      <c r="M32" s="32">
        <f t="shared" ref="M32" si="26">ROUND(K32/126.6*140.8,-2)</f>
        <v>628200</v>
      </c>
      <c r="N32" s="32">
        <f t="shared" ref="N32:N35" si="27">ROUND(L32/119.7*125.2,-2)</f>
        <v>4393000</v>
      </c>
      <c r="O32" s="32">
        <f t="shared" ref="O32:O35" si="28">ROUND(M32/115.1*123.3,-2)</f>
        <v>673000</v>
      </c>
      <c r="P32" s="32">
        <f t="shared" ref="P32:P35" si="29">ROUND(N32/125.2*131.8,-2)</f>
        <v>4624600</v>
      </c>
      <c r="Q32" s="32">
        <f t="shared" ref="Q32:Q35" si="30">ROUND(O32/123.3*128.3,-2)</f>
        <v>700300</v>
      </c>
      <c r="R32" s="32">
        <f t="shared" ref="R32:R35" si="31">ROUND(P32/131.8*136.2,-2)</f>
        <v>4779000</v>
      </c>
      <c r="S32" s="32">
        <f t="shared" ref="S32:S35" si="32">ROUND(Q32/128.3*132.4,-2)</f>
        <v>722700</v>
      </c>
      <c r="T32" s="11">
        <f>R32+S32</f>
        <v>5501700</v>
      </c>
    </row>
    <row r="33" spans="1:23">
      <c r="A33" s="211" t="s">
        <v>556</v>
      </c>
      <c r="B33" s="12" t="s">
        <v>308</v>
      </c>
      <c r="C33" s="157">
        <v>1</v>
      </c>
      <c r="D33" s="12" t="s">
        <v>266</v>
      </c>
      <c r="E33" s="12" t="s">
        <v>160</v>
      </c>
      <c r="F33" s="12" t="s">
        <v>265</v>
      </c>
      <c r="G33" s="12" t="s">
        <v>441</v>
      </c>
      <c r="H33" s="12"/>
      <c r="I33" s="146">
        <v>9500000</v>
      </c>
      <c r="J33" s="220">
        <v>11400000</v>
      </c>
      <c r="K33" s="12"/>
      <c r="L33" s="213">
        <f t="shared" si="25"/>
        <v>11400000</v>
      </c>
      <c r="M33" s="36">
        <v>1113200</v>
      </c>
      <c r="N33" s="32">
        <f t="shared" si="27"/>
        <v>11923800</v>
      </c>
      <c r="O33" s="32">
        <f>ROUND(M33/122.3*123.3,-2)</f>
        <v>1122300</v>
      </c>
      <c r="P33" s="32">
        <f t="shared" si="29"/>
        <v>12552400</v>
      </c>
      <c r="Q33" s="32">
        <f t="shared" si="30"/>
        <v>1167800</v>
      </c>
      <c r="R33" s="32">
        <f t="shared" si="31"/>
        <v>12971400</v>
      </c>
      <c r="S33" s="32">
        <f t="shared" si="32"/>
        <v>1205100</v>
      </c>
      <c r="T33" s="11">
        <f t="shared" ref="T33:T35" si="33">R33+S33</f>
        <v>14176500</v>
      </c>
      <c r="W33" s="8" t="s">
        <v>267</v>
      </c>
    </row>
    <row r="34" spans="1:23" s="71" customFormat="1">
      <c r="A34" s="240" t="s">
        <v>557</v>
      </c>
      <c r="B34" s="12" t="s">
        <v>381</v>
      </c>
      <c r="C34" s="12" t="s">
        <v>20</v>
      </c>
      <c r="D34" s="12" t="s">
        <v>382</v>
      </c>
      <c r="E34" s="12" t="s">
        <v>162</v>
      </c>
      <c r="F34" s="207" t="s">
        <v>383</v>
      </c>
      <c r="G34" s="12" t="s">
        <v>380</v>
      </c>
      <c r="H34" s="153"/>
      <c r="I34" s="153"/>
      <c r="J34" s="148">
        <v>3500000</v>
      </c>
      <c r="K34" s="153"/>
      <c r="L34" s="202">
        <f>J34</f>
        <v>3500000</v>
      </c>
      <c r="M34" s="36">
        <f t="shared" ref="M34" si="34">ROUND(K34/126.6*140.8,-2)</f>
        <v>0</v>
      </c>
      <c r="N34" s="32">
        <f t="shared" si="27"/>
        <v>3660800</v>
      </c>
      <c r="O34" s="32">
        <f t="shared" si="28"/>
        <v>0</v>
      </c>
      <c r="P34" s="32">
        <f t="shared" si="29"/>
        <v>3853800</v>
      </c>
      <c r="Q34" s="32">
        <f t="shared" si="30"/>
        <v>0</v>
      </c>
      <c r="R34" s="32">
        <f t="shared" si="31"/>
        <v>3982500</v>
      </c>
      <c r="S34" s="32">
        <f t="shared" si="32"/>
        <v>0</v>
      </c>
      <c r="T34" s="11">
        <f t="shared" si="33"/>
        <v>3982500</v>
      </c>
      <c r="W34" s="198" t="s">
        <v>384</v>
      </c>
    </row>
    <row r="35" spans="1:23">
      <c r="A35" s="240" t="s">
        <v>558</v>
      </c>
      <c r="B35" s="12" t="s">
        <v>309</v>
      </c>
      <c r="C35" s="157">
        <v>75</v>
      </c>
      <c r="D35" s="12" t="s">
        <v>79</v>
      </c>
      <c r="E35" s="12" t="s">
        <v>162</v>
      </c>
      <c r="F35" s="12" t="s">
        <v>371</v>
      </c>
      <c r="G35" s="12" t="s">
        <v>380</v>
      </c>
      <c r="H35" s="36">
        <v>3350200</v>
      </c>
      <c r="I35" s="36">
        <f t="shared" ref="I35" si="35">ROUND(H35/147.5*150.8,-2)</f>
        <v>3425200</v>
      </c>
      <c r="J35" s="36">
        <v>4000000</v>
      </c>
      <c r="K35" s="14">
        <f>388625+131414</f>
        <v>520039</v>
      </c>
      <c r="L35" s="69">
        <f t="shared" ref="L35" si="36">J35</f>
        <v>4000000</v>
      </c>
      <c r="M35" s="36">
        <f>ROUND(K35/126.6*140.8,-2)+501900</f>
        <v>1080300</v>
      </c>
      <c r="N35" s="32">
        <f t="shared" si="27"/>
        <v>4183800</v>
      </c>
      <c r="O35" s="32">
        <f t="shared" si="28"/>
        <v>1157300</v>
      </c>
      <c r="P35" s="32">
        <f t="shared" si="29"/>
        <v>4404400</v>
      </c>
      <c r="Q35" s="32">
        <f t="shared" si="30"/>
        <v>1204200</v>
      </c>
      <c r="R35" s="32">
        <f t="shared" si="31"/>
        <v>4551400</v>
      </c>
      <c r="S35" s="32">
        <f t="shared" si="32"/>
        <v>1242700</v>
      </c>
      <c r="T35" s="11">
        <f t="shared" si="33"/>
        <v>5794100</v>
      </c>
    </row>
    <row r="36" spans="1:23"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3" s="28" customFormat="1" ht="13.8" thickBot="1">
      <c r="A37" s="243"/>
      <c r="B37" s="108" t="s">
        <v>47</v>
      </c>
      <c r="C37" s="88"/>
      <c r="D37" s="89"/>
      <c r="E37" s="89"/>
      <c r="F37" s="89"/>
      <c r="G37" s="89"/>
      <c r="H37" s="90">
        <v>12952100</v>
      </c>
      <c r="I37" s="90">
        <f>SUM(I10:I36)</f>
        <v>83413000</v>
      </c>
      <c r="J37" s="90">
        <f>SUM(J10:J36)</f>
        <v>125547600</v>
      </c>
      <c r="K37" s="90">
        <f>SUM(K10:K36)</f>
        <v>3434505</v>
      </c>
      <c r="L37" s="90">
        <f>SUM(L32:L36)</f>
        <v>23100000</v>
      </c>
      <c r="M37" s="90">
        <f>SUM(M10:M36)</f>
        <v>4501900</v>
      </c>
      <c r="N37" s="90">
        <f t="shared" ref="N37:T37" si="37">SUM(N32:N36)</f>
        <v>24161400</v>
      </c>
      <c r="O37" s="90">
        <f t="shared" si="37"/>
        <v>2952600</v>
      </c>
      <c r="P37" s="90">
        <f t="shared" si="37"/>
        <v>25435200</v>
      </c>
      <c r="Q37" s="90">
        <f t="shared" si="37"/>
        <v>3072300</v>
      </c>
      <c r="R37" s="90">
        <f t="shared" si="37"/>
        <v>26284300</v>
      </c>
      <c r="S37" s="90">
        <f t="shared" si="37"/>
        <v>3170500</v>
      </c>
      <c r="T37" s="90">
        <f t="shared" si="37"/>
        <v>29454800</v>
      </c>
    </row>
    <row r="38" spans="1:23" s="28" customFormat="1" ht="13.8" thickTop="1">
      <c r="A38" s="243"/>
      <c r="B38" s="84"/>
      <c r="C38" s="84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</row>
    <row r="39" spans="1:23">
      <c r="B39" s="94" t="s">
        <v>313</v>
      </c>
      <c r="C39" s="28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3" s="218" customFormat="1" ht="26.4">
      <c r="A40" s="211" t="s">
        <v>559</v>
      </c>
      <c r="B40" s="22" t="s">
        <v>311</v>
      </c>
      <c r="C40" s="206">
        <v>1</v>
      </c>
      <c r="D40" s="22" t="s">
        <v>82</v>
      </c>
      <c r="E40" s="22" t="s">
        <v>160</v>
      </c>
      <c r="F40" s="13" t="s">
        <v>445</v>
      </c>
      <c r="G40" s="12" t="s">
        <v>439</v>
      </c>
      <c r="H40" s="36">
        <v>19518000</v>
      </c>
      <c r="I40" s="36">
        <f t="shared" ref="I40" si="38">ROUND(H40/140.3*150.8,-2)</f>
        <v>20978700</v>
      </c>
      <c r="J40" s="219">
        <v>7000000</v>
      </c>
      <c r="K40" s="24">
        <v>0</v>
      </c>
      <c r="L40" s="213">
        <f t="shared" ref="L40" si="39">J40</f>
        <v>7000000</v>
      </c>
      <c r="M40" s="32">
        <f t="shared" ref="M40:M41" si="40">ROUND(K40/126.6*140.8,-2)</f>
        <v>0</v>
      </c>
      <c r="N40" s="32">
        <f t="shared" ref="N40:N41" si="41">ROUND(L40/119.7*125.2,-2)</f>
        <v>7321600</v>
      </c>
      <c r="O40" s="32">
        <f t="shared" ref="O40:O41" si="42">ROUND(M40/115.1*123.3,-2)</f>
        <v>0</v>
      </c>
      <c r="P40" s="32">
        <f t="shared" ref="P40:P41" si="43">ROUND(N40/125.2*131.8,-2)</f>
        <v>7707600</v>
      </c>
      <c r="Q40" s="32">
        <f t="shared" ref="Q40:Q41" si="44">ROUND(O40/123.3*128.3,-2)</f>
        <v>0</v>
      </c>
      <c r="R40" s="32">
        <f t="shared" ref="R40:R41" si="45">ROUND(P40/131.8*136.2,-2)</f>
        <v>7964900</v>
      </c>
      <c r="S40" s="32">
        <f t="shared" ref="S40:S41" si="46">ROUND(Q40/128.3*132.4,-2)</f>
        <v>0</v>
      </c>
      <c r="T40" s="216">
        <f>R40+S40</f>
        <v>7964900</v>
      </c>
      <c r="W40" s="215" t="s">
        <v>446</v>
      </c>
    </row>
    <row r="41" spans="1:23" s="71" customFormat="1">
      <c r="A41" s="211" t="s">
        <v>560</v>
      </c>
      <c r="B41" s="12" t="s">
        <v>253</v>
      </c>
      <c r="C41" s="157"/>
      <c r="D41" s="12"/>
      <c r="E41" s="12" t="s">
        <v>160</v>
      </c>
      <c r="F41" s="12" t="s">
        <v>479</v>
      </c>
      <c r="G41" s="12" t="s">
        <v>439</v>
      </c>
      <c r="H41" s="14">
        <v>70000</v>
      </c>
      <c r="I41" s="36">
        <f t="shared" ref="I41" si="47">ROUND(H41/147.5*150.8,-2)</f>
        <v>71600</v>
      </c>
      <c r="J41" s="219">
        <v>350000</v>
      </c>
      <c r="K41" s="12"/>
      <c r="L41" s="213">
        <f t="shared" ref="L41" si="48">J41</f>
        <v>350000</v>
      </c>
      <c r="M41" s="32">
        <f t="shared" si="40"/>
        <v>0</v>
      </c>
      <c r="N41" s="32">
        <f t="shared" si="41"/>
        <v>366100</v>
      </c>
      <c r="O41" s="32">
        <f t="shared" si="42"/>
        <v>0</v>
      </c>
      <c r="P41" s="32">
        <f t="shared" si="43"/>
        <v>385400</v>
      </c>
      <c r="Q41" s="32">
        <f t="shared" si="44"/>
        <v>0</v>
      </c>
      <c r="R41" s="32">
        <f t="shared" si="45"/>
        <v>398300</v>
      </c>
      <c r="S41" s="32">
        <f t="shared" si="46"/>
        <v>0</v>
      </c>
      <c r="T41" s="216">
        <f>R41+S41</f>
        <v>398300</v>
      </c>
      <c r="W41" s="215" t="s">
        <v>426</v>
      </c>
    </row>
    <row r="42" spans="1:23"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3" s="28" customFormat="1" ht="13.8" thickBot="1">
      <c r="A43" s="243"/>
      <c r="B43" s="89" t="s">
        <v>305</v>
      </c>
      <c r="C43" s="88"/>
      <c r="D43" s="89"/>
      <c r="E43" s="89"/>
      <c r="F43" s="89"/>
      <c r="G43" s="89"/>
      <c r="H43" s="90">
        <v>19588000</v>
      </c>
      <c r="I43" s="90">
        <f t="shared" ref="I43:T43" si="49">SUM(I40:I42)</f>
        <v>21050300</v>
      </c>
      <c r="J43" s="90">
        <f t="shared" si="49"/>
        <v>7350000</v>
      </c>
      <c r="K43" s="91">
        <f t="shared" si="49"/>
        <v>0</v>
      </c>
      <c r="L43" s="90">
        <f t="shared" si="49"/>
        <v>7350000</v>
      </c>
      <c r="M43" s="91">
        <f t="shared" si="49"/>
        <v>0</v>
      </c>
      <c r="N43" s="90">
        <f t="shared" si="49"/>
        <v>7687700</v>
      </c>
      <c r="O43" s="91">
        <f t="shared" si="49"/>
        <v>0</v>
      </c>
      <c r="P43" s="90">
        <f t="shared" ref="P43:Q43" si="50">SUM(P40:P42)</f>
        <v>8093000</v>
      </c>
      <c r="Q43" s="91">
        <f t="shared" si="50"/>
        <v>0</v>
      </c>
      <c r="R43" s="90">
        <f t="shared" ref="R43:S43" si="51">SUM(R40:R42)</f>
        <v>8363200</v>
      </c>
      <c r="S43" s="91">
        <f t="shared" si="51"/>
        <v>0</v>
      </c>
      <c r="T43" s="90">
        <f t="shared" si="49"/>
        <v>8363200</v>
      </c>
    </row>
    <row r="44" spans="1:23" ht="13.8" thickTop="1">
      <c r="H44" s="82"/>
      <c r="I44" s="82"/>
      <c r="J44" s="82"/>
      <c r="K44" s="17"/>
      <c r="L44" s="82"/>
      <c r="M44" s="17"/>
      <c r="N44" s="82"/>
      <c r="O44" s="17"/>
      <c r="P44" s="82"/>
      <c r="Q44" s="17"/>
      <c r="R44" s="82"/>
      <c r="S44" s="17"/>
      <c r="T44" s="17"/>
    </row>
    <row r="45" spans="1:23" ht="13.8" thickBot="1">
      <c r="B45" s="92" t="s">
        <v>310</v>
      </c>
      <c r="C45" s="92"/>
      <c r="D45" s="92"/>
      <c r="E45" s="92"/>
      <c r="F45" s="92"/>
      <c r="G45" s="92"/>
      <c r="H45" s="93">
        <v>67848100</v>
      </c>
      <c r="I45" s="93">
        <f t="shared" ref="I45:T45" si="52">SUM(I29+I37+I43)</f>
        <v>138002000</v>
      </c>
      <c r="J45" s="93">
        <f t="shared" si="52"/>
        <v>184427400</v>
      </c>
      <c r="K45" s="93">
        <f t="shared" si="52"/>
        <v>4609338</v>
      </c>
      <c r="L45" s="93">
        <f t="shared" si="52"/>
        <v>82211500</v>
      </c>
      <c r="M45" s="93">
        <f t="shared" si="52"/>
        <v>5342000</v>
      </c>
      <c r="N45" s="93">
        <f t="shared" si="52"/>
        <v>85394600</v>
      </c>
      <c r="O45" s="93">
        <f t="shared" si="52"/>
        <v>3852600</v>
      </c>
      <c r="P45" s="93">
        <f t="shared" ref="P45:Q45" si="53">SUM(P29+P37+P43)</f>
        <v>89896600</v>
      </c>
      <c r="Q45" s="93">
        <f t="shared" si="53"/>
        <v>4008900</v>
      </c>
      <c r="R45" s="93">
        <f t="shared" ref="R45:S45" si="54">SUM(R29+R37+R43)</f>
        <v>92897600</v>
      </c>
      <c r="S45" s="93">
        <f t="shared" si="54"/>
        <v>4137100</v>
      </c>
      <c r="T45" s="93">
        <f t="shared" si="52"/>
        <v>97034700</v>
      </c>
    </row>
    <row r="46" spans="1:23" ht="13.8" thickTop="1">
      <c r="B46" s="26"/>
      <c r="C46" s="26"/>
      <c r="H46" s="82"/>
      <c r="I46" s="82"/>
      <c r="J46" s="82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3">
      <c r="B47" s="74" t="s">
        <v>243</v>
      </c>
      <c r="C47" s="74"/>
      <c r="K47" s="87"/>
      <c r="M47" s="87"/>
      <c r="N47" s="87"/>
      <c r="O47" s="87"/>
      <c r="P47" s="87"/>
      <c r="Q47" s="87"/>
      <c r="R47" s="87"/>
      <c r="S47" s="87"/>
      <c r="T47" s="87"/>
    </row>
    <row r="48" spans="1:23" s="75" customFormat="1" ht="12" customHeight="1">
      <c r="B48" s="74" t="s">
        <v>376</v>
      </c>
      <c r="C48" s="74"/>
      <c r="D48" s="74"/>
      <c r="F48" s="80"/>
      <c r="G48" s="80"/>
    </row>
    <row r="49" spans="1:23">
      <c r="B49" s="74" t="s">
        <v>377</v>
      </c>
      <c r="J49" s="214"/>
      <c r="L49" s="214"/>
    </row>
    <row r="50" spans="1:23">
      <c r="B50" s="74" t="s">
        <v>378</v>
      </c>
    </row>
    <row r="51" spans="1:23">
      <c r="B51" s="74" t="s">
        <v>379</v>
      </c>
      <c r="J51" s="87"/>
    </row>
    <row r="52" spans="1:23">
      <c r="B52" s="74" t="s">
        <v>438</v>
      </c>
    </row>
    <row r="56" spans="1:23">
      <c r="B56" s="27" t="s">
        <v>612</v>
      </c>
    </row>
    <row r="57" spans="1:23">
      <c r="A57" s="211" t="s">
        <v>538</v>
      </c>
      <c r="B57" s="158" t="s">
        <v>306</v>
      </c>
      <c r="C57" s="159" t="s">
        <v>425</v>
      </c>
      <c r="D57" s="12" t="s">
        <v>86</v>
      </c>
      <c r="E57" s="12" t="s">
        <v>160</v>
      </c>
      <c r="F57" s="12" t="s">
        <v>615</v>
      </c>
      <c r="G57" s="12" t="s">
        <v>439</v>
      </c>
      <c r="H57" s="36">
        <v>2529100</v>
      </c>
      <c r="I57" s="36">
        <f t="shared" ref="I57" si="55">ROUND(H57/147.5*150.8,-2)</f>
        <v>2585700</v>
      </c>
      <c r="J57" s="219">
        <v>2750000</v>
      </c>
      <c r="K57" s="14">
        <f>322615+74983</f>
        <v>397598</v>
      </c>
      <c r="L57" s="213">
        <f>J57</f>
        <v>2750000</v>
      </c>
      <c r="M57" s="69">
        <v>0</v>
      </c>
      <c r="N57" s="32">
        <f t="shared" ref="N57" si="56">ROUND(L57/119.7*125.2,-2)</f>
        <v>2876400</v>
      </c>
      <c r="O57" s="32">
        <f t="shared" ref="O57" si="57">ROUND(M57/115.1*123.3,-2)</f>
        <v>0</v>
      </c>
      <c r="P57" s="32">
        <f t="shared" ref="P57" si="58">ROUND(N57/125.2*131.8,-2)</f>
        <v>3028000</v>
      </c>
      <c r="Q57" s="32">
        <f t="shared" ref="Q57" si="59">ROUND(O57/123.3*128.3,-2)</f>
        <v>0</v>
      </c>
      <c r="R57" s="32">
        <f t="shared" ref="R57" si="60">ROUND(P57/131.8*136.2,-2)</f>
        <v>3129100</v>
      </c>
      <c r="S57" s="32">
        <f t="shared" ref="S57" si="61">ROUND(Q57/128.3*132.4,-2)</f>
        <v>0</v>
      </c>
      <c r="T57" s="11">
        <f t="shared" ref="T57:T60" si="62">R57+S57</f>
        <v>3129100</v>
      </c>
      <c r="W57" s="72" t="s">
        <v>614</v>
      </c>
    </row>
    <row r="58" spans="1:23" s="71" customFormat="1">
      <c r="A58" s="246"/>
      <c r="B58" s="153" t="s">
        <v>616</v>
      </c>
      <c r="C58" s="153" t="s">
        <v>617</v>
      </c>
      <c r="D58" s="153" t="s">
        <v>85</v>
      </c>
      <c r="E58" s="153" t="s">
        <v>162</v>
      </c>
      <c r="F58" s="153" t="s">
        <v>619</v>
      </c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247">
        <v>192000</v>
      </c>
      <c r="S58" s="153"/>
      <c r="T58" s="68">
        <f t="shared" si="62"/>
        <v>192000</v>
      </c>
      <c r="W58" s="71" t="s">
        <v>618</v>
      </c>
    </row>
    <row r="59" spans="1:23" s="71" customFormat="1">
      <c r="A59" s="246"/>
      <c r="B59" s="153" t="s">
        <v>624</v>
      </c>
      <c r="C59" s="153">
        <v>47</v>
      </c>
      <c r="D59" s="153" t="s">
        <v>623</v>
      </c>
      <c r="E59" s="153" t="s">
        <v>162</v>
      </c>
      <c r="F59" s="153" t="s">
        <v>371</v>
      </c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247">
        <v>6500000</v>
      </c>
      <c r="S59" s="153"/>
      <c r="T59" s="68">
        <f t="shared" si="62"/>
        <v>6500000</v>
      </c>
      <c r="W59" s="71" t="s">
        <v>622</v>
      </c>
    </row>
    <row r="60" spans="1:23">
      <c r="A60" s="240" t="s">
        <v>558</v>
      </c>
      <c r="B60" s="12" t="s">
        <v>309</v>
      </c>
      <c r="C60" s="157">
        <v>75</v>
      </c>
      <c r="D60" s="12" t="s">
        <v>79</v>
      </c>
      <c r="E60" s="12" t="s">
        <v>162</v>
      </c>
      <c r="F60" s="12" t="s">
        <v>626</v>
      </c>
      <c r="G60" s="12" t="s">
        <v>380</v>
      </c>
      <c r="H60" s="36">
        <v>3350200</v>
      </c>
      <c r="I60" s="36">
        <f t="shared" ref="I60" si="63">ROUND(H60/147.5*150.8,-2)</f>
        <v>3425200</v>
      </c>
      <c r="J60" s="36">
        <v>4000000</v>
      </c>
      <c r="K60" s="14">
        <f>388625+131414</f>
        <v>520039</v>
      </c>
      <c r="L60" s="69">
        <f t="shared" ref="L60" si="64">J60</f>
        <v>4000000</v>
      </c>
      <c r="M60" s="36">
        <f>ROUND(K60/126.6*140.8,-2)+501900</f>
        <v>1080300</v>
      </c>
      <c r="N60" s="32">
        <f t="shared" ref="N60" si="65">ROUND(L60/119.7*125.2,-2)</f>
        <v>4183800</v>
      </c>
      <c r="O60" s="32">
        <f t="shared" ref="O60" si="66">ROUND(M60/115.1*123.3,-2)</f>
        <v>1157300</v>
      </c>
      <c r="P60" s="32">
        <f t="shared" ref="P60" si="67">ROUND(N60/125.2*131.8,-2)</f>
        <v>4404400</v>
      </c>
      <c r="Q60" s="32">
        <f t="shared" ref="Q60" si="68">ROUND(O60/123.3*128.3,-2)</f>
        <v>1204200</v>
      </c>
      <c r="R60" s="32">
        <f t="shared" ref="R60" si="69">ROUND(P60/131.8*136.2,-2)</f>
        <v>4551400</v>
      </c>
      <c r="S60" s="69">
        <v>0</v>
      </c>
      <c r="T60" s="11">
        <f t="shared" si="62"/>
        <v>4551400</v>
      </c>
      <c r="W60" s="71" t="s">
        <v>625</v>
      </c>
    </row>
  </sheetData>
  <autoFilter ref="B1:T27" xr:uid="{7E817855-42DB-482E-A304-F7EF813785B4}"/>
  <sortState xmlns:xlrd2="http://schemas.microsoft.com/office/spreadsheetml/2017/richdata2" ref="B30:I35">
    <sortCondition ref="B30:B35"/>
  </sortState>
  <mergeCells count="1">
    <mergeCell ref="G1:G4"/>
  </mergeCells>
  <pageMargins left="0.51181102362204722" right="0.51181102362204722" top="1.7716535433070868" bottom="0.98425196850393704" header="0.31496062992125984" footer="0.70866141732283472"/>
  <pageSetup paperSize="9" scale="57" fitToHeight="2" orientation="landscape" r:id="rId1"/>
  <headerFooter>
    <oddFooter>&amp;L&amp;"Arial,Standaard"&amp;F &amp;A&amp;C&amp;"Arial,Standaard"&amp;P</oddFooter>
  </headerFooter>
  <rowBreaks count="1" manualBreakCount="1">
    <brk id="30" min="1" max="15" man="1"/>
  </rowBreaks>
  <ignoredErrors>
    <ignoredError sqref="N32:O32 N34:O36 N33 N12:O14 O11 O15 N6:O10 N16:O27 N40:O41 P6:Q6 P7:Q27 P40:Q41 P32:Q35 R6:S6 R7:S27 R32:S35 R40:S41" unlocked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5"/>
  <sheetViews>
    <sheetView zoomScaleNormal="100" workbookViewId="0">
      <selection activeCell="F84" sqref="F84"/>
    </sheetView>
  </sheetViews>
  <sheetFormatPr defaultColWidth="9.33203125" defaultRowHeight="13.2"/>
  <cols>
    <col min="1" max="1" width="12.21875" style="8" bestFit="1" customWidth="1"/>
    <col min="2" max="2" width="40" style="16" customWidth="1"/>
    <col min="3" max="3" width="12.77734375" style="16" bestFit="1" customWidth="1"/>
    <col min="4" max="4" width="14.33203125" style="8" bestFit="1" customWidth="1"/>
    <col min="5" max="5" width="14.33203125" style="8" customWidth="1"/>
    <col min="6" max="6" width="41.77734375" style="15" customWidth="1"/>
    <col min="7" max="7" width="9.44140625" style="15" bestFit="1" customWidth="1"/>
    <col min="8" max="8" width="20.6640625" style="8" customWidth="1"/>
    <col min="9" max="12" width="18.77734375" style="8" hidden="1" customWidth="1"/>
    <col min="13" max="19" width="22.77734375" style="8" hidden="1" customWidth="1"/>
    <col min="20" max="21" width="22.77734375" style="8" customWidth="1"/>
    <col min="22" max="22" width="19.44140625" style="8" bestFit="1" customWidth="1"/>
    <col min="23" max="23" width="18.33203125" style="8" customWidth="1"/>
    <col min="24" max="24" width="39.44140625" style="8" customWidth="1"/>
    <col min="25" max="25" width="15.21875" style="8" bestFit="1" customWidth="1"/>
    <col min="26" max="26" width="18.77734375" style="8" bestFit="1" customWidth="1"/>
    <col min="27" max="16384" width="9.33203125" style="8"/>
  </cols>
  <sheetData>
    <row r="1" spans="1:26" ht="12.75" customHeight="1">
      <c r="A1" s="237" t="s">
        <v>303</v>
      </c>
      <c r="B1" s="129" t="s">
        <v>71</v>
      </c>
      <c r="C1" s="166" t="s">
        <v>285</v>
      </c>
      <c r="D1" s="130" t="s">
        <v>72</v>
      </c>
      <c r="E1" s="130" t="s">
        <v>161</v>
      </c>
      <c r="F1" s="131" t="s">
        <v>70</v>
      </c>
      <c r="G1" s="256" t="s">
        <v>181</v>
      </c>
      <c r="H1" s="132" t="s">
        <v>89</v>
      </c>
      <c r="I1" s="133" t="s">
        <v>73</v>
      </c>
      <c r="J1" s="133" t="s">
        <v>73</v>
      </c>
      <c r="K1" s="133" t="s">
        <v>73</v>
      </c>
      <c r="L1" s="133" t="s">
        <v>73</v>
      </c>
      <c r="M1" s="57" t="s">
        <v>73</v>
      </c>
      <c r="N1" s="133" t="s">
        <v>73</v>
      </c>
      <c r="O1" s="57" t="s">
        <v>73</v>
      </c>
      <c r="P1" s="133" t="s">
        <v>73</v>
      </c>
      <c r="Q1" s="57" t="s">
        <v>73</v>
      </c>
      <c r="R1" s="133" t="s">
        <v>73</v>
      </c>
      <c r="S1" s="57" t="s">
        <v>73</v>
      </c>
      <c r="T1" s="133" t="s">
        <v>73</v>
      </c>
      <c r="U1" s="57" t="s">
        <v>73</v>
      </c>
      <c r="V1" s="58" t="s">
        <v>0</v>
      </c>
      <c r="W1" s="53"/>
      <c r="Y1" s="52" t="s">
        <v>260</v>
      </c>
      <c r="Z1" s="52" t="s">
        <v>260</v>
      </c>
    </row>
    <row r="2" spans="1:26">
      <c r="A2" s="237" t="s">
        <v>304</v>
      </c>
      <c r="B2" s="134"/>
      <c r="C2" s="162"/>
      <c r="D2" s="135"/>
      <c r="E2" s="135"/>
      <c r="F2" s="136"/>
      <c r="G2" s="257"/>
      <c r="H2" s="137"/>
      <c r="I2" s="138" t="s">
        <v>74</v>
      </c>
      <c r="J2" s="138" t="s">
        <v>74</v>
      </c>
      <c r="K2" s="138" t="s">
        <v>74</v>
      </c>
      <c r="L2" s="138" t="s">
        <v>74</v>
      </c>
      <c r="M2" s="40" t="s">
        <v>75</v>
      </c>
      <c r="N2" s="138" t="s">
        <v>74</v>
      </c>
      <c r="O2" s="40" t="s">
        <v>75</v>
      </c>
      <c r="P2" s="138" t="s">
        <v>74</v>
      </c>
      <c r="Q2" s="40" t="s">
        <v>75</v>
      </c>
      <c r="R2" s="138" t="s">
        <v>74</v>
      </c>
      <c r="S2" s="40" t="s">
        <v>75</v>
      </c>
      <c r="T2" s="138" t="s">
        <v>74</v>
      </c>
      <c r="U2" s="40" t="s">
        <v>75</v>
      </c>
      <c r="V2" s="60" t="s">
        <v>76</v>
      </c>
      <c r="W2" s="53"/>
      <c r="Y2" s="52"/>
      <c r="Z2" s="52" t="s">
        <v>261</v>
      </c>
    </row>
    <row r="3" spans="1:26">
      <c r="A3" s="237"/>
      <c r="B3" s="134"/>
      <c r="C3" s="162"/>
      <c r="D3" s="135"/>
      <c r="E3" s="135"/>
      <c r="F3" s="136"/>
      <c r="G3" s="257"/>
      <c r="H3" s="137"/>
      <c r="I3" s="139">
        <v>43465</v>
      </c>
      <c r="J3" s="139">
        <v>43830</v>
      </c>
      <c r="K3" s="139">
        <v>44196</v>
      </c>
      <c r="L3" s="139">
        <v>44561</v>
      </c>
      <c r="M3" s="43"/>
      <c r="N3" s="139">
        <v>44926</v>
      </c>
      <c r="O3" s="139">
        <v>44926</v>
      </c>
      <c r="P3" s="139">
        <v>45291</v>
      </c>
      <c r="Q3" s="139">
        <v>45291</v>
      </c>
      <c r="R3" s="139">
        <v>45657</v>
      </c>
      <c r="S3" s="139">
        <v>45657</v>
      </c>
      <c r="T3" s="139">
        <v>46022</v>
      </c>
      <c r="U3" s="139">
        <v>46022</v>
      </c>
      <c r="V3" s="61"/>
      <c r="W3" s="53"/>
    </row>
    <row r="4" spans="1:26" ht="18" customHeight="1" thickBot="1">
      <c r="A4" s="237"/>
      <c r="B4" s="140"/>
      <c r="C4" s="167"/>
      <c r="D4" s="141"/>
      <c r="E4" s="141"/>
      <c r="F4" s="142"/>
      <c r="G4" s="258"/>
      <c r="H4" s="143"/>
      <c r="I4" s="144" t="s">
        <v>247</v>
      </c>
      <c r="J4" s="144" t="s">
        <v>252</v>
      </c>
      <c r="K4" s="144" t="s">
        <v>254</v>
      </c>
      <c r="L4" s="144" t="s">
        <v>270</v>
      </c>
      <c r="M4" s="65"/>
      <c r="N4" s="144" t="s">
        <v>369</v>
      </c>
      <c r="O4" s="144" t="s">
        <v>370</v>
      </c>
      <c r="P4" s="144" t="s">
        <v>410</v>
      </c>
      <c r="Q4" s="144" t="s">
        <v>409</v>
      </c>
      <c r="R4" s="144" t="s">
        <v>475</v>
      </c>
      <c r="S4" s="144" t="s">
        <v>474</v>
      </c>
      <c r="T4" s="144" t="s">
        <v>611</v>
      </c>
      <c r="U4" s="144" t="s">
        <v>610</v>
      </c>
      <c r="V4" s="66"/>
      <c r="W4" s="53"/>
    </row>
    <row r="5" spans="1:26">
      <c r="A5" s="244"/>
      <c r="B5" s="39" t="s">
        <v>60</v>
      </c>
      <c r="C5" s="39"/>
      <c r="D5" s="19"/>
      <c r="E5" s="19"/>
      <c r="F5" s="163"/>
      <c r="G5" s="164"/>
      <c r="H5" s="120"/>
      <c r="I5" s="20"/>
      <c r="J5" s="20"/>
      <c r="K5" s="20"/>
      <c r="L5" s="20"/>
      <c r="M5" s="165"/>
      <c r="N5" s="20"/>
      <c r="O5" s="20"/>
      <c r="P5" s="37"/>
      <c r="Q5" s="37"/>
      <c r="R5" s="37"/>
      <c r="S5" s="37"/>
      <c r="T5" s="37"/>
      <c r="U5" s="37"/>
      <c r="V5" s="37"/>
      <c r="W5" s="53"/>
    </row>
    <row r="6" spans="1:26">
      <c r="A6" s="160" t="s">
        <v>561</v>
      </c>
      <c r="B6" s="186" t="s">
        <v>318</v>
      </c>
      <c r="C6" s="187" t="s">
        <v>390</v>
      </c>
      <c r="D6" s="22" t="s">
        <v>90</v>
      </c>
      <c r="E6" s="22" t="s">
        <v>146</v>
      </c>
      <c r="F6" s="13" t="s">
        <v>91</v>
      </c>
      <c r="G6" s="13" t="s">
        <v>386</v>
      </c>
      <c r="H6" s="22" t="s">
        <v>92</v>
      </c>
      <c r="I6" s="36">
        <v>92900</v>
      </c>
      <c r="J6" s="36">
        <f t="shared" ref="J6:J8" si="0">ROUND(I6/131.5*140.3,-2)</f>
        <v>99100</v>
      </c>
      <c r="K6" s="36">
        <f t="shared" ref="K6:K8" si="1">ROUND(J6/140.3*150.8,-2)</f>
        <v>106500</v>
      </c>
      <c r="L6" s="36">
        <f t="shared" ref="L6:L8" si="2">ROUND(K6/150.8*158.3,-2)</f>
        <v>111800</v>
      </c>
      <c r="M6" s="24"/>
      <c r="N6" s="69">
        <v>120000</v>
      </c>
      <c r="O6" s="32">
        <f t="shared" ref="O6:O8" si="3">ROUND(M6/126.6*140.8,-2)</f>
        <v>0</v>
      </c>
      <c r="P6" s="32">
        <f>ROUND(N6/119.7*125.2,-2)</f>
        <v>125500</v>
      </c>
      <c r="Q6" s="32">
        <f>ROUND(O6/115.1*123.3,-2)</f>
        <v>0</v>
      </c>
      <c r="R6" s="32">
        <f t="shared" ref="R6:R36" si="4">ROUND(P6/125.2*131.8,-2)</f>
        <v>132100</v>
      </c>
      <c r="S6" s="32">
        <f>ROUND(Q6/123.3*128.3,-2)</f>
        <v>0</v>
      </c>
      <c r="T6" s="32">
        <f>ROUND(R6/131.8*136.2,-2)</f>
        <v>136500</v>
      </c>
      <c r="U6" s="32">
        <f>ROUND(S6/128.3*132.4,-2)</f>
        <v>0</v>
      </c>
      <c r="V6" s="24">
        <f>T6+U6</f>
        <v>136500</v>
      </c>
      <c r="W6" s="17"/>
      <c r="Y6" s="67" t="e">
        <f>ROUND(V6*#REF!/1000,2)</f>
        <v>#REF!</v>
      </c>
      <c r="Z6" s="67" t="e">
        <f t="shared" ref="Z6" si="5">Y6*1.21</f>
        <v>#REF!</v>
      </c>
    </row>
    <row r="7" spans="1:26">
      <c r="A7" s="160" t="s">
        <v>562</v>
      </c>
      <c r="B7" s="23" t="s">
        <v>94</v>
      </c>
      <c r="C7" s="185" t="s">
        <v>5</v>
      </c>
      <c r="D7" s="22"/>
      <c r="E7" s="22" t="s">
        <v>146</v>
      </c>
      <c r="F7" s="13" t="s">
        <v>93</v>
      </c>
      <c r="G7" s="13" t="s">
        <v>386</v>
      </c>
      <c r="H7" s="22" t="s">
        <v>93</v>
      </c>
      <c r="I7" s="36">
        <v>25800</v>
      </c>
      <c r="J7" s="36">
        <f t="shared" si="0"/>
        <v>27500</v>
      </c>
      <c r="K7" s="36">
        <f t="shared" si="1"/>
        <v>29600</v>
      </c>
      <c r="L7" s="36">
        <f t="shared" si="2"/>
        <v>31100</v>
      </c>
      <c r="M7" s="24"/>
      <c r="N7" s="69">
        <v>40000</v>
      </c>
      <c r="O7" s="32">
        <f t="shared" si="3"/>
        <v>0</v>
      </c>
      <c r="P7" s="32">
        <f t="shared" ref="P7:P36" si="6">ROUND(N7/119.7*125.2,-2)</f>
        <v>41800</v>
      </c>
      <c r="Q7" s="32">
        <f t="shared" ref="Q7:Q35" si="7">ROUND(O7/115.1*123.3,-2)</f>
        <v>0</v>
      </c>
      <c r="R7" s="32">
        <f t="shared" si="4"/>
        <v>44000</v>
      </c>
      <c r="S7" s="32">
        <f t="shared" ref="S7:S35" si="8">ROUND(Q7/123.3*128.3,-2)</f>
        <v>0</v>
      </c>
      <c r="T7" s="32">
        <f t="shared" ref="T7:T36" si="9">ROUND(R7/131.8*136.2,-2)</f>
        <v>45500</v>
      </c>
      <c r="U7" s="32">
        <f t="shared" ref="U7:U35" si="10">ROUND(S7/128.3*132.4,-2)</f>
        <v>0</v>
      </c>
      <c r="V7" s="24">
        <f t="shared" ref="V7:V35" si="11">T7+U7</f>
        <v>45500</v>
      </c>
      <c r="W7" s="17"/>
      <c r="Y7" s="67" t="e">
        <f>ROUND(V7*#REF!/1000,2)</f>
        <v>#REF!</v>
      </c>
      <c r="Z7" s="67" t="e">
        <f t="shared" ref="Z7:Z67" si="12">Y7*1.21</f>
        <v>#REF!</v>
      </c>
    </row>
    <row r="8" spans="1:26">
      <c r="A8" s="160" t="s">
        <v>563</v>
      </c>
      <c r="B8" s="23" t="s">
        <v>102</v>
      </c>
      <c r="C8" s="185" t="s">
        <v>320</v>
      </c>
      <c r="D8" s="22" t="s">
        <v>97</v>
      </c>
      <c r="E8" s="22" t="s">
        <v>146</v>
      </c>
      <c r="F8" s="13" t="s">
        <v>101</v>
      </c>
      <c r="G8" s="13" t="s">
        <v>386</v>
      </c>
      <c r="H8" s="22"/>
      <c r="I8" s="36">
        <v>232500</v>
      </c>
      <c r="J8" s="36">
        <f t="shared" si="0"/>
        <v>248100</v>
      </c>
      <c r="K8" s="36">
        <f t="shared" si="1"/>
        <v>266700</v>
      </c>
      <c r="L8" s="36">
        <f t="shared" si="2"/>
        <v>280000</v>
      </c>
      <c r="M8" s="22"/>
      <c r="N8" s="69">
        <v>300000</v>
      </c>
      <c r="O8" s="36">
        <f t="shared" si="3"/>
        <v>0</v>
      </c>
      <c r="P8" s="32">
        <f t="shared" si="6"/>
        <v>313800</v>
      </c>
      <c r="Q8" s="32">
        <f t="shared" si="7"/>
        <v>0</v>
      </c>
      <c r="R8" s="32">
        <f t="shared" si="4"/>
        <v>330300</v>
      </c>
      <c r="S8" s="32">
        <f t="shared" si="8"/>
        <v>0</v>
      </c>
      <c r="T8" s="32">
        <f t="shared" si="9"/>
        <v>341300</v>
      </c>
      <c r="U8" s="32">
        <f t="shared" si="10"/>
        <v>0</v>
      </c>
      <c r="V8" s="24">
        <f t="shared" si="11"/>
        <v>341300</v>
      </c>
      <c r="W8" s="17"/>
      <c r="Y8" s="67" t="e">
        <f>ROUND(V8*#REF!/1000,2)</f>
        <v>#REF!</v>
      </c>
      <c r="Z8" s="67" t="e">
        <f t="shared" si="12"/>
        <v>#REF!</v>
      </c>
    </row>
    <row r="9" spans="1:26">
      <c r="A9" s="160" t="s">
        <v>564</v>
      </c>
      <c r="B9" s="23" t="s">
        <v>102</v>
      </c>
      <c r="C9" s="185" t="s">
        <v>395</v>
      </c>
      <c r="D9" s="22" t="s">
        <v>96</v>
      </c>
      <c r="E9" s="22" t="s">
        <v>146</v>
      </c>
      <c r="F9" s="13" t="s">
        <v>242</v>
      </c>
      <c r="G9" s="13" t="s">
        <v>386</v>
      </c>
      <c r="H9" s="22" t="s">
        <v>8</v>
      </c>
      <c r="I9" s="77">
        <v>144000</v>
      </c>
      <c r="J9" s="77">
        <f>ROUND(I9/134.2*140.3,-2)</f>
        <v>150500</v>
      </c>
      <c r="K9" s="36">
        <f t="shared" ref="K9:K34" si="13">ROUND(J9/140.3*150.8,-2)</f>
        <v>161800</v>
      </c>
      <c r="L9" s="36">
        <f t="shared" ref="L9:L35" si="14">ROUND(K9/150.8*158.3,-2)</f>
        <v>169800</v>
      </c>
      <c r="M9" s="24"/>
      <c r="N9" s="69">
        <v>280000</v>
      </c>
      <c r="O9" s="36">
        <f t="shared" ref="O9:O35" si="15">ROUND(M9/126.6*140.8,-2)</f>
        <v>0</v>
      </c>
      <c r="P9" s="32">
        <f t="shared" si="6"/>
        <v>292900</v>
      </c>
      <c r="Q9" s="32">
        <f t="shared" si="7"/>
        <v>0</v>
      </c>
      <c r="R9" s="32">
        <f t="shared" si="4"/>
        <v>308300</v>
      </c>
      <c r="S9" s="32">
        <f t="shared" si="8"/>
        <v>0</v>
      </c>
      <c r="T9" s="32">
        <f t="shared" si="9"/>
        <v>318600</v>
      </c>
      <c r="U9" s="32">
        <f t="shared" si="10"/>
        <v>0</v>
      </c>
      <c r="V9" s="24">
        <f t="shared" si="11"/>
        <v>318600</v>
      </c>
      <c r="W9" s="17"/>
      <c r="Y9" s="67" t="e">
        <f>ROUND(V9*#REF!/1000,2)</f>
        <v>#REF!</v>
      </c>
      <c r="Z9" s="67" t="e">
        <f t="shared" si="12"/>
        <v>#REF!</v>
      </c>
    </row>
    <row r="10" spans="1:26" ht="26.4">
      <c r="A10" s="160" t="s">
        <v>565</v>
      </c>
      <c r="B10" s="208" t="s">
        <v>416</v>
      </c>
      <c r="C10" s="212" t="s">
        <v>392</v>
      </c>
      <c r="D10" s="13" t="s">
        <v>417</v>
      </c>
      <c r="E10" s="13" t="s">
        <v>153</v>
      </c>
      <c r="F10" s="13" t="s">
        <v>415</v>
      </c>
      <c r="G10" s="13" t="s">
        <v>386</v>
      </c>
      <c r="H10" s="22" t="s">
        <v>100</v>
      </c>
      <c r="I10" s="77">
        <v>9271200</v>
      </c>
      <c r="J10" s="36">
        <f t="shared" ref="J10" si="16">ROUND(I10/131.5*140.3,-2)</f>
        <v>9891600</v>
      </c>
      <c r="K10" s="36">
        <f>ROUND(J10/140.3*150.8,-2)</f>
        <v>10631900</v>
      </c>
      <c r="L10" s="36">
        <f>ROUND(K10/150.8*158.3,-2)</f>
        <v>11160700</v>
      </c>
      <c r="M10" s="50"/>
      <c r="N10" s="69">
        <v>13500000</v>
      </c>
      <c r="O10" s="36">
        <f>ROUND(M10/126.6*140.8,-2)</f>
        <v>0</v>
      </c>
      <c r="P10" s="32">
        <f t="shared" si="6"/>
        <v>14120300</v>
      </c>
      <c r="Q10" s="32">
        <f t="shared" si="7"/>
        <v>0</v>
      </c>
      <c r="R10" s="32">
        <f t="shared" si="4"/>
        <v>14864700</v>
      </c>
      <c r="S10" s="32">
        <f t="shared" si="8"/>
        <v>0</v>
      </c>
      <c r="T10" s="32">
        <f t="shared" si="9"/>
        <v>15360900</v>
      </c>
      <c r="U10" s="32">
        <f t="shared" si="10"/>
        <v>0</v>
      </c>
      <c r="V10" s="24">
        <f t="shared" si="11"/>
        <v>15360900</v>
      </c>
      <c r="W10" s="17"/>
      <c r="Y10" s="67" t="e">
        <f>ROUND(V10*#REF!/1000,2)</f>
        <v>#REF!</v>
      </c>
      <c r="Z10" s="67" t="e">
        <f t="shared" si="12"/>
        <v>#REF!</v>
      </c>
    </row>
    <row r="11" spans="1:26" s="71" customFormat="1">
      <c r="A11" s="160" t="s">
        <v>566</v>
      </c>
      <c r="B11" s="23" t="s">
        <v>319</v>
      </c>
      <c r="C11" s="185" t="s">
        <v>321</v>
      </c>
      <c r="D11" s="22" t="s">
        <v>97</v>
      </c>
      <c r="E11" s="22" t="s">
        <v>146</v>
      </c>
      <c r="F11" s="13" t="s">
        <v>98</v>
      </c>
      <c r="G11" s="13"/>
      <c r="H11" s="22" t="s">
        <v>99</v>
      </c>
      <c r="I11" s="36">
        <v>0</v>
      </c>
      <c r="J11" s="77"/>
      <c r="K11" s="36">
        <f t="shared" si="13"/>
        <v>0</v>
      </c>
      <c r="L11" s="36">
        <f t="shared" si="14"/>
        <v>0</v>
      </c>
      <c r="M11" s="24">
        <f>726340+60000</f>
        <v>786340</v>
      </c>
      <c r="N11" s="32">
        <f t="shared" ref="N11:N29" si="17">ROUND(L11/158.3*175.4,-2)</f>
        <v>0</v>
      </c>
      <c r="O11" s="32">
        <f t="shared" si="15"/>
        <v>874500</v>
      </c>
      <c r="P11" s="32">
        <f t="shared" si="6"/>
        <v>0</v>
      </c>
      <c r="Q11" s="32">
        <f t="shared" si="7"/>
        <v>936800</v>
      </c>
      <c r="R11" s="32">
        <f t="shared" si="4"/>
        <v>0</v>
      </c>
      <c r="S11" s="32">
        <f t="shared" si="8"/>
        <v>974800</v>
      </c>
      <c r="T11" s="32">
        <f t="shared" si="9"/>
        <v>0</v>
      </c>
      <c r="U11" s="32">
        <f t="shared" si="10"/>
        <v>1006000</v>
      </c>
      <c r="V11" s="24">
        <f t="shared" si="11"/>
        <v>1006000</v>
      </c>
      <c r="W11" s="17"/>
      <c r="X11" s="8"/>
      <c r="Y11" s="67" t="e">
        <f>ROUND(V11*#REF!/1000,2)</f>
        <v>#REF!</v>
      </c>
      <c r="Z11" s="67" t="e">
        <f t="shared" si="12"/>
        <v>#REF!</v>
      </c>
    </row>
    <row r="12" spans="1:26">
      <c r="A12" s="160" t="s">
        <v>567</v>
      </c>
      <c r="B12" s="23" t="s">
        <v>102</v>
      </c>
      <c r="C12" s="185" t="s">
        <v>394</v>
      </c>
      <c r="D12" s="22" t="s">
        <v>97</v>
      </c>
      <c r="E12" s="22" t="s">
        <v>146</v>
      </c>
      <c r="F12" s="13" t="s">
        <v>393</v>
      </c>
      <c r="G12" s="13" t="s">
        <v>386</v>
      </c>
      <c r="H12" s="22" t="s">
        <v>103</v>
      </c>
      <c r="I12" s="77">
        <v>60300</v>
      </c>
      <c r="J12" s="77">
        <f t="shared" ref="J12" si="18">ROUND(I12/131.5*140.3,-2)</f>
        <v>64300</v>
      </c>
      <c r="K12" s="36">
        <f>ROUND(J12/140.3*150.8,-2)</f>
        <v>69100</v>
      </c>
      <c r="L12" s="36">
        <f>ROUND(K12/150.8*158.3,-2)</f>
        <v>72500</v>
      </c>
      <c r="M12" s="24"/>
      <c r="N12" s="69">
        <v>100000</v>
      </c>
      <c r="O12" s="36">
        <f>ROUND(M12/126.6*140.8,-2)</f>
        <v>0</v>
      </c>
      <c r="P12" s="32">
        <f t="shared" si="6"/>
        <v>104600</v>
      </c>
      <c r="Q12" s="32">
        <f t="shared" si="7"/>
        <v>0</v>
      </c>
      <c r="R12" s="32">
        <f t="shared" si="4"/>
        <v>110100</v>
      </c>
      <c r="S12" s="32">
        <f t="shared" si="8"/>
        <v>0</v>
      </c>
      <c r="T12" s="32">
        <f t="shared" si="9"/>
        <v>113800</v>
      </c>
      <c r="U12" s="32">
        <f t="shared" si="10"/>
        <v>0</v>
      </c>
      <c r="V12" s="24">
        <f t="shared" si="11"/>
        <v>113800</v>
      </c>
      <c r="W12" s="17"/>
      <c r="Y12" s="67" t="e">
        <f>ROUND(V12*#REF!/1000,2)</f>
        <v>#REF!</v>
      </c>
      <c r="Z12" s="67" t="e">
        <f t="shared" si="12"/>
        <v>#REF!</v>
      </c>
    </row>
    <row r="13" spans="1:26" ht="26.4">
      <c r="A13" s="160" t="s">
        <v>568</v>
      </c>
      <c r="B13" s="23" t="s">
        <v>323</v>
      </c>
      <c r="C13" s="185" t="s">
        <v>322</v>
      </c>
      <c r="D13" s="22" t="s">
        <v>105</v>
      </c>
      <c r="E13" s="22" t="s">
        <v>146</v>
      </c>
      <c r="F13" s="13" t="s">
        <v>418</v>
      </c>
      <c r="G13" s="13" t="s">
        <v>386</v>
      </c>
      <c r="H13" s="22" t="s">
        <v>100</v>
      </c>
      <c r="I13" s="77">
        <v>586500</v>
      </c>
      <c r="J13" s="77">
        <f t="shared" ref="J13:J16" si="19">ROUND(I13/131.5*140.3,-2)</f>
        <v>625700</v>
      </c>
      <c r="K13" s="36">
        <f>ROUND(J13/140.3*150.8,-2)</f>
        <v>672500</v>
      </c>
      <c r="L13" s="36">
        <f>ROUND(K13/150.8*158.3,-2)</f>
        <v>705900</v>
      </c>
      <c r="M13" s="24"/>
      <c r="N13" s="69">
        <v>6000000</v>
      </c>
      <c r="O13" s="36">
        <f>ROUND(M13/126.6*140.8,-2)</f>
        <v>0</v>
      </c>
      <c r="P13" s="32">
        <f t="shared" si="6"/>
        <v>6275700</v>
      </c>
      <c r="Q13" s="32">
        <f t="shared" si="7"/>
        <v>0</v>
      </c>
      <c r="R13" s="32">
        <f t="shared" si="4"/>
        <v>6606500</v>
      </c>
      <c r="S13" s="32">
        <f t="shared" si="8"/>
        <v>0</v>
      </c>
      <c r="T13" s="32">
        <f t="shared" si="9"/>
        <v>6827100</v>
      </c>
      <c r="U13" s="32">
        <f t="shared" si="10"/>
        <v>0</v>
      </c>
      <c r="V13" s="24">
        <f t="shared" si="11"/>
        <v>6827100</v>
      </c>
      <c r="W13" s="17"/>
      <c r="Y13" s="67" t="e">
        <f>ROUND(V13*#REF!/1000,2)</f>
        <v>#REF!</v>
      </c>
      <c r="Z13" s="67" t="e">
        <f t="shared" si="12"/>
        <v>#REF!</v>
      </c>
    </row>
    <row r="14" spans="1:26">
      <c r="A14" s="160" t="s">
        <v>569</v>
      </c>
      <c r="B14" s="23" t="s">
        <v>324</v>
      </c>
      <c r="C14" s="185" t="s">
        <v>325</v>
      </c>
      <c r="D14" s="22" t="s">
        <v>152</v>
      </c>
      <c r="E14" s="22" t="s">
        <v>146</v>
      </c>
      <c r="F14" s="13" t="s">
        <v>147</v>
      </c>
      <c r="G14" s="13" t="s">
        <v>386</v>
      </c>
      <c r="H14" s="22" t="s">
        <v>8</v>
      </c>
      <c r="I14" s="77">
        <v>462700</v>
      </c>
      <c r="J14" s="77">
        <f t="shared" si="19"/>
        <v>493700</v>
      </c>
      <c r="K14" s="36">
        <f t="shared" ref="K14:K16" si="20">ROUND(J14/140.3*150.8,-2)</f>
        <v>530600</v>
      </c>
      <c r="L14" s="36">
        <f t="shared" ref="L14:L16" si="21">ROUND(K14/150.8*158.3,-2)</f>
        <v>557000</v>
      </c>
      <c r="M14" s="24"/>
      <c r="N14" s="69">
        <v>550000</v>
      </c>
      <c r="O14" s="32">
        <f t="shared" ref="O14:O16" si="22">ROUND(M14/126.6*140.8,-2)</f>
        <v>0</v>
      </c>
      <c r="P14" s="32">
        <f t="shared" si="6"/>
        <v>575300</v>
      </c>
      <c r="Q14" s="32">
        <f t="shared" si="7"/>
        <v>0</v>
      </c>
      <c r="R14" s="32">
        <f t="shared" si="4"/>
        <v>605600</v>
      </c>
      <c r="S14" s="32">
        <f t="shared" si="8"/>
        <v>0</v>
      </c>
      <c r="T14" s="32">
        <f t="shared" si="9"/>
        <v>625800</v>
      </c>
      <c r="U14" s="32">
        <f t="shared" si="10"/>
        <v>0</v>
      </c>
      <c r="V14" s="24">
        <f t="shared" si="11"/>
        <v>625800</v>
      </c>
      <c r="W14" s="17"/>
      <c r="Y14" s="67" t="e">
        <f>ROUND(V14*#REF!/1000,2)</f>
        <v>#REF!</v>
      </c>
      <c r="Z14" s="67" t="e">
        <f t="shared" si="12"/>
        <v>#REF!</v>
      </c>
    </row>
    <row r="15" spans="1:26">
      <c r="A15" s="160" t="s">
        <v>570</v>
      </c>
      <c r="B15" s="23" t="s">
        <v>326</v>
      </c>
      <c r="C15" s="185" t="s">
        <v>396</v>
      </c>
      <c r="D15" s="22" t="s">
        <v>148</v>
      </c>
      <c r="E15" s="22" t="s">
        <v>146</v>
      </c>
      <c r="F15" s="13" t="s">
        <v>8</v>
      </c>
      <c r="G15" s="13" t="s">
        <v>386</v>
      </c>
      <c r="H15" s="22" t="s">
        <v>8</v>
      </c>
      <c r="I15" s="77">
        <v>385800</v>
      </c>
      <c r="J15" s="77">
        <f t="shared" si="19"/>
        <v>411600</v>
      </c>
      <c r="K15" s="36">
        <f t="shared" si="20"/>
        <v>442400</v>
      </c>
      <c r="L15" s="36">
        <f t="shared" si="21"/>
        <v>464400</v>
      </c>
      <c r="M15" s="24"/>
      <c r="N15" s="69">
        <v>1150000</v>
      </c>
      <c r="O15" s="32">
        <f t="shared" si="22"/>
        <v>0</v>
      </c>
      <c r="P15" s="32">
        <f t="shared" si="6"/>
        <v>1202800</v>
      </c>
      <c r="Q15" s="32">
        <f t="shared" si="7"/>
        <v>0</v>
      </c>
      <c r="R15" s="32">
        <f t="shared" si="4"/>
        <v>1266200</v>
      </c>
      <c r="S15" s="32">
        <f t="shared" si="8"/>
        <v>0</v>
      </c>
      <c r="T15" s="32">
        <f t="shared" si="9"/>
        <v>1308500</v>
      </c>
      <c r="U15" s="32">
        <f t="shared" si="10"/>
        <v>0</v>
      </c>
      <c r="V15" s="24">
        <f t="shared" si="11"/>
        <v>1308500</v>
      </c>
      <c r="W15" s="17"/>
      <c r="X15" s="8" t="s">
        <v>397</v>
      </c>
      <c r="Y15" s="67" t="e">
        <f>ROUND(V15*#REF!/1000,2)</f>
        <v>#REF!</v>
      </c>
      <c r="Z15" s="67" t="e">
        <f t="shared" si="12"/>
        <v>#REF!</v>
      </c>
    </row>
    <row r="16" spans="1:26">
      <c r="A16" s="160" t="s">
        <v>571</v>
      </c>
      <c r="B16" s="186" t="s">
        <v>326</v>
      </c>
      <c r="C16" s="187" t="s">
        <v>327</v>
      </c>
      <c r="D16" s="22" t="s">
        <v>111</v>
      </c>
      <c r="E16" s="22" t="s">
        <v>146</v>
      </c>
      <c r="F16" s="13" t="s">
        <v>112</v>
      </c>
      <c r="G16" s="13" t="s">
        <v>386</v>
      </c>
      <c r="H16" s="22" t="s">
        <v>113</v>
      </c>
      <c r="I16" s="77">
        <v>6073500</v>
      </c>
      <c r="J16" s="77">
        <f t="shared" si="19"/>
        <v>6479900</v>
      </c>
      <c r="K16" s="36">
        <f t="shared" si="20"/>
        <v>6964900</v>
      </c>
      <c r="L16" s="36">
        <f t="shared" si="21"/>
        <v>7311300</v>
      </c>
      <c r="M16" s="24"/>
      <c r="N16" s="69">
        <v>7750000</v>
      </c>
      <c r="O16" s="32">
        <f t="shared" si="22"/>
        <v>0</v>
      </c>
      <c r="P16" s="32">
        <f t="shared" si="6"/>
        <v>8106100</v>
      </c>
      <c r="Q16" s="32">
        <f t="shared" si="7"/>
        <v>0</v>
      </c>
      <c r="R16" s="32">
        <f t="shared" si="4"/>
        <v>8533400</v>
      </c>
      <c r="S16" s="32">
        <f t="shared" si="8"/>
        <v>0</v>
      </c>
      <c r="T16" s="32">
        <f t="shared" si="9"/>
        <v>8818300</v>
      </c>
      <c r="U16" s="32">
        <f t="shared" si="10"/>
        <v>0</v>
      </c>
      <c r="V16" s="24">
        <f t="shared" si="11"/>
        <v>8818300</v>
      </c>
      <c r="W16" s="17"/>
      <c r="X16" s="8" t="s">
        <v>424</v>
      </c>
      <c r="Y16" s="67" t="e">
        <f>ROUND(V16*#REF!/1000,2)</f>
        <v>#REF!</v>
      </c>
      <c r="Z16" s="67" t="e">
        <f t="shared" si="12"/>
        <v>#REF!</v>
      </c>
    </row>
    <row r="17" spans="1:26">
      <c r="A17" s="160" t="s">
        <v>572</v>
      </c>
      <c r="B17" s="186" t="s">
        <v>326</v>
      </c>
      <c r="C17" s="187" t="s">
        <v>327</v>
      </c>
      <c r="D17" s="22" t="s">
        <v>111</v>
      </c>
      <c r="E17" s="22" t="s">
        <v>146</v>
      </c>
      <c r="F17" s="13" t="s">
        <v>112</v>
      </c>
      <c r="G17" s="13"/>
      <c r="H17" s="22" t="s">
        <v>113</v>
      </c>
      <c r="I17" s="77">
        <v>0</v>
      </c>
      <c r="J17" s="77"/>
      <c r="K17" s="36">
        <f t="shared" si="13"/>
        <v>0</v>
      </c>
      <c r="L17" s="36">
        <f t="shared" si="14"/>
        <v>0</v>
      </c>
      <c r="M17" s="24">
        <f>376900+55000</f>
        <v>431900</v>
      </c>
      <c r="N17" s="32">
        <f t="shared" si="17"/>
        <v>0</v>
      </c>
      <c r="O17" s="32">
        <f t="shared" si="15"/>
        <v>480300</v>
      </c>
      <c r="P17" s="32">
        <f t="shared" si="6"/>
        <v>0</v>
      </c>
      <c r="Q17" s="32">
        <f t="shared" si="7"/>
        <v>514500</v>
      </c>
      <c r="R17" s="32">
        <f t="shared" si="4"/>
        <v>0</v>
      </c>
      <c r="S17" s="32">
        <f t="shared" si="8"/>
        <v>535400</v>
      </c>
      <c r="T17" s="32">
        <f t="shared" si="9"/>
        <v>0</v>
      </c>
      <c r="U17" s="32">
        <f t="shared" si="10"/>
        <v>552500</v>
      </c>
      <c r="V17" s="24">
        <f t="shared" si="11"/>
        <v>552500</v>
      </c>
      <c r="W17" s="17"/>
      <c r="X17" s="8" t="s">
        <v>424</v>
      </c>
      <c r="Y17" s="67" t="e">
        <f>ROUND(V17*#REF!/1000,2)</f>
        <v>#REF!</v>
      </c>
      <c r="Z17" s="67" t="e">
        <f t="shared" si="12"/>
        <v>#REF!</v>
      </c>
    </row>
    <row r="18" spans="1:26" ht="26.4">
      <c r="A18" s="160" t="s">
        <v>573</v>
      </c>
      <c r="B18" s="23" t="s">
        <v>328</v>
      </c>
      <c r="C18" s="185" t="s">
        <v>329</v>
      </c>
      <c r="D18" s="22" t="s">
        <v>122</v>
      </c>
      <c r="E18" s="22" t="s">
        <v>146</v>
      </c>
      <c r="F18" s="13" t="s">
        <v>400</v>
      </c>
      <c r="G18" s="13" t="s">
        <v>386</v>
      </c>
      <c r="H18" s="22" t="s">
        <v>121</v>
      </c>
      <c r="I18" s="77">
        <v>4096700</v>
      </c>
      <c r="J18" s="77">
        <f>ROUND(I18/131.5*140.3,-2)</f>
        <v>4370900</v>
      </c>
      <c r="K18" s="36">
        <f>ROUND(J18/140.3*150.8,-2)</f>
        <v>4698000</v>
      </c>
      <c r="L18" s="36">
        <f>ROUND(K18/150.8*158.3,-2)</f>
        <v>4931700</v>
      </c>
      <c r="M18" s="24"/>
      <c r="N18" s="69">
        <v>5800000</v>
      </c>
      <c r="O18" s="32">
        <f>ROUND(M18/126.6*140.8,-2)</f>
        <v>0</v>
      </c>
      <c r="P18" s="32">
        <f t="shared" si="6"/>
        <v>6066500</v>
      </c>
      <c r="Q18" s="32">
        <f t="shared" si="7"/>
        <v>0</v>
      </c>
      <c r="R18" s="32">
        <f t="shared" si="4"/>
        <v>6386300</v>
      </c>
      <c r="S18" s="32">
        <f t="shared" si="8"/>
        <v>0</v>
      </c>
      <c r="T18" s="32">
        <f t="shared" si="9"/>
        <v>6599500</v>
      </c>
      <c r="U18" s="32">
        <f t="shared" si="10"/>
        <v>0</v>
      </c>
      <c r="V18" s="24">
        <f t="shared" si="11"/>
        <v>6599500</v>
      </c>
      <c r="W18" s="17"/>
      <c r="Y18" s="67" t="e">
        <f>ROUND(V18*#REF!/1000,2)</f>
        <v>#REF!</v>
      </c>
      <c r="Z18" s="67" t="e">
        <f t="shared" si="12"/>
        <v>#REF!</v>
      </c>
    </row>
    <row r="19" spans="1:26">
      <c r="A19" s="160" t="s">
        <v>574</v>
      </c>
      <c r="B19" s="23" t="s">
        <v>328</v>
      </c>
      <c r="C19" s="185" t="s">
        <v>329</v>
      </c>
      <c r="D19" s="22" t="s">
        <v>122</v>
      </c>
      <c r="E19" s="22" t="s">
        <v>146</v>
      </c>
      <c r="F19" s="13" t="s">
        <v>120</v>
      </c>
      <c r="G19" s="13"/>
      <c r="H19" s="22" t="s">
        <v>121</v>
      </c>
      <c r="I19" s="77">
        <v>0</v>
      </c>
      <c r="J19" s="77"/>
      <c r="K19" s="36">
        <f t="shared" si="13"/>
        <v>0</v>
      </c>
      <c r="L19" s="36">
        <f t="shared" si="14"/>
        <v>0</v>
      </c>
      <c r="M19" s="24">
        <f>307315+36000</f>
        <v>343315</v>
      </c>
      <c r="N19" s="32">
        <f t="shared" si="17"/>
        <v>0</v>
      </c>
      <c r="O19" s="32">
        <f t="shared" si="15"/>
        <v>381800</v>
      </c>
      <c r="P19" s="32">
        <f t="shared" si="6"/>
        <v>0</v>
      </c>
      <c r="Q19" s="32">
        <f t="shared" si="7"/>
        <v>409000</v>
      </c>
      <c r="R19" s="32">
        <f t="shared" si="4"/>
        <v>0</v>
      </c>
      <c r="S19" s="32">
        <f t="shared" si="8"/>
        <v>425600</v>
      </c>
      <c r="T19" s="32">
        <f t="shared" si="9"/>
        <v>0</v>
      </c>
      <c r="U19" s="32">
        <f t="shared" si="10"/>
        <v>439200</v>
      </c>
      <c r="V19" s="24">
        <f t="shared" si="11"/>
        <v>439200</v>
      </c>
      <c r="W19" s="17"/>
      <c r="Y19" s="67" t="e">
        <f>ROUND(V19*#REF!/1000,2)</f>
        <v>#REF!</v>
      </c>
      <c r="Z19" s="67" t="e">
        <f t="shared" si="12"/>
        <v>#REF!</v>
      </c>
    </row>
    <row r="20" spans="1:26">
      <c r="A20" s="160" t="s">
        <v>575</v>
      </c>
      <c r="B20" s="23" t="s">
        <v>330</v>
      </c>
      <c r="C20" s="209" t="s">
        <v>325</v>
      </c>
      <c r="D20" s="22" t="s">
        <v>149</v>
      </c>
      <c r="E20" s="22" t="s">
        <v>146</v>
      </c>
      <c r="F20" s="13" t="s">
        <v>8</v>
      </c>
      <c r="G20" s="13" t="s">
        <v>386</v>
      </c>
      <c r="H20" s="22" t="s">
        <v>8</v>
      </c>
      <c r="I20" s="77">
        <v>242200</v>
      </c>
      <c r="J20" s="77">
        <f t="shared" ref="J20" si="23">ROUND(I20/131.5*140.3,-2)</f>
        <v>258400</v>
      </c>
      <c r="K20" s="36">
        <f t="shared" si="13"/>
        <v>277700</v>
      </c>
      <c r="L20" s="36">
        <f t="shared" si="14"/>
        <v>291500</v>
      </c>
      <c r="M20" s="24"/>
      <c r="N20" s="69">
        <v>320000</v>
      </c>
      <c r="O20" s="32">
        <f t="shared" si="15"/>
        <v>0</v>
      </c>
      <c r="P20" s="32">
        <f t="shared" si="6"/>
        <v>334700</v>
      </c>
      <c r="Q20" s="32">
        <f t="shared" si="7"/>
        <v>0</v>
      </c>
      <c r="R20" s="32">
        <f t="shared" si="4"/>
        <v>352300</v>
      </c>
      <c r="S20" s="32">
        <f t="shared" si="8"/>
        <v>0</v>
      </c>
      <c r="T20" s="32">
        <f t="shared" si="9"/>
        <v>364100</v>
      </c>
      <c r="U20" s="32">
        <f t="shared" si="10"/>
        <v>0</v>
      </c>
      <c r="V20" s="24">
        <f t="shared" si="11"/>
        <v>364100</v>
      </c>
      <c r="W20" s="17"/>
      <c r="Y20" s="67" t="e">
        <f>ROUND(V20*#REF!/1000,2)</f>
        <v>#REF!</v>
      </c>
      <c r="Z20" s="67" t="e">
        <f t="shared" si="12"/>
        <v>#REF!</v>
      </c>
    </row>
    <row r="21" spans="1:26">
      <c r="A21" s="160" t="s">
        <v>576</v>
      </c>
      <c r="B21" s="186" t="s">
        <v>293</v>
      </c>
      <c r="C21" s="187" t="s">
        <v>331</v>
      </c>
      <c r="D21" s="22" t="s">
        <v>250</v>
      </c>
      <c r="E21" s="22" t="s">
        <v>146</v>
      </c>
      <c r="F21" s="13" t="s">
        <v>109</v>
      </c>
      <c r="G21" s="13" t="s">
        <v>386</v>
      </c>
      <c r="H21" s="22" t="s">
        <v>110</v>
      </c>
      <c r="I21" s="77">
        <v>7834000</v>
      </c>
      <c r="J21" s="77">
        <f>ROUND(I21/131.5*140.3,-2)</f>
        <v>8358300</v>
      </c>
      <c r="K21" s="36">
        <f>ROUND(J21/140.3*150.8,-2)</f>
        <v>8983800</v>
      </c>
      <c r="L21" s="36">
        <f>ROUND(K21/150.8*158.3,-2)</f>
        <v>9430600</v>
      </c>
      <c r="M21" s="24"/>
      <c r="N21" s="69">
        <v>16000000</v>
      </c>
      <c r="O21" s="32">
        <f>ROUND(M21/126.6*140.8,-2)</f>
        <v>0</v>
      </c>
      <c r="P21" s="32">
        <f t="shared" si="6"/>
        <v>16735200</v>
      </c>
      <c r="Q21" s="32">
        <f t="shared" si="7"/>
        <v>0</v>
      </c>
      <c r="R21" s="32">
        <f t="shared" si="4"/>
        <v>17617400</v>
      </c>
      <c r="S21" s="32">
        <f t="shared" si="8"/>
        <v>0</v>
      </c>
      <c r="T21" s="32">
        <f t="shared" si="9"/>
        <v>18205500</v>
      </c>
      <c r="U21" s="32">
        <f t="shared" si="10"/>
        <v>0</v>
      </c>
      <c r="V21" s="24">
        <f t="shared" si="11"/>
        <v>18205500</v>
      </c>
      <c r="W21" s="17"/>
      <c r="X21" s="8" t="s">
        <v>401</v>
      </c>
      <c r="Y21" s="67" t="e">
        <f>ROUND(V21*#REF!/1000,2)</f>
        <v>#REF!</v>
      </c>
      <c r="Z21" s="67" t="e">
        <f t="shared" si="12"/>
        <v>#REF!</v>
      </c>
    </row>
    <row r="22" spans="1:26" ht="39.6">
      <c r="A22" s="160" t="s">
        <v>577</v>
      </c>
      <c r="B22" s="23" t="s">
        <v>332</v>
      </c>
      <c r="C22" s="185" t="s">
        <v>331</v>
      </c>
      <c r="D22" s="13" t="s">
        <v>127</v>
      </c>
      <c r="E22" s="22" t="s">
        <v>146</v>
      </c>
      <c r="F22" s="13" t="s">
        <v>245</v>
      </c>
      <c r="G22" s="13" t="s">
        <v>386</v>
      </c>
      <c r="H22" s="13" t="s">
        <v>100</v>
      </c>
      <c r="I22" s="77">
        <v>780200</v>
      </c>
      <c r="J22" s="77">
        <f t="shared" ref="J22:J26" si="24">ROUND(I22/131.5*140.3,-2)</f>
        <v>832400</v>
      </c>
      <c r="K22" s="36">
        <f t="shared" ref="K22:K26" si="25">ROUND(J22/140.3*150.8,-2)</f>
        <v>894700</v>
      </c>
      <c r="L22" s="36">
        <f t="shared" ref="L22:L26" si="26">ROUND(K22/150.8*158.3,-2)</f>
        <v>939200</v>
      </c>
      <c r="M22" s="24"/>
      <c r="N22" s="69">
        <v>1250000</v>
      </c>
      <c r="O22" s="32">
        <f t="shared" ref="O22:O26" si="27">ROUND(M22/126.6*140.8,-2)</f>
        <v>0</v>
      </c>
      <c r="P22" s="32">
        <f t="shared" si="6"/>
        <v>1307400</v>
      </c>
      <c r="Q22" s="32">
        <f t="shared" si="7"/>
        <v>0</v>
      </c>
      <c r="R22" s="32">
        <f t="shared" si="4"/>
        <v>1376300</v>
      </c>
      <c r="S22" s="32">
        <f t="shared" si="8"/>
        <v>0</v>
      </c>
      <c r="T22" s="32">
        <f t="shared" si="9"/>
        <v>1422200</v>
      </c>
      <c r="U22" s="32">
        <f t="shared" si="10"/>
        <v>0</v>
      </c>
      <c r="V22" s="24">
        <f t="shared" si="11"/>
        <v>1422200</v>
      </c>
      <c r="W22" s="17"/>
      <c r="Y22" s="67" t="e">
        <f>ROUND(V22*#REF!/1000,2)</f>
        <v>#REF!</v>
      </c>
      <c r="Z22" s="67" t="e">
        <f t="shared" si="12"/>
        <v>#REF!</v>
      </c>
    </row>
    <row r="23" spans="1:26">
      <c r="A23" s="160" t="s">
        <v>578</v>
      </c>
      <c r="B23" s="23" t="s">
        <v>333</v>
      </c>
      <c r="C23" s="185" t="s">
        <v>334</v>
      </c>
      <c r="D23" s="22" t="s">
        <v>129</v>
      </c>
      <c r="E23" s="22" t="s">
        <v>146</v>
      </c>
      <c r="F23" s="13" t="s">
        <v>128</v>
      </c>
      <c r="G23" s="13" t="s">
        <v>386</v>
      </c>
      <c r="H23" s="22"/>
      <c r="I23" s="77">
        <v>2464200</v>
      </c>
      <c r="J23" s="77">
        <f t="shared" si="24"/>
        <v>2629100</v>
      </c>
      <c r="K23" s="36">
        <f t="shared" si="25"/>
        <v>2825900</v>
      </c>
      <c r="L23" s="36">
        <f t="shared" si="26"/>
        <v>2966400</v>
      </c>
      <c r="M23" s="24"/>
      <c r="N23" s="69">
        <v>3200000</v>
      </c>
      <c r="O23" s="32">
        <f t="shared" si="27"/>
        <v>0</v>
      </c>
      <c r="P23" s="32">
        <f t="shared" si="6"/>
        <v>3347000</v>
      </c>
      <c r="Q23" s="32">
        <f t="shared" si="7"/>
        <v>0</v>
      </c>
      <c r="R23" s="32">
        <f t="shared" si="4"/>
        <v>3523400</v>
      </c>
      <c r="S23" s="32">
        <f t="shared" si="8"/>
        <v>0</v>
      </c>
      <c r="T23" s="32">
        <f t="shared" si="9"/>
        <v>3641000</v>
      </c>
      <c r="U23" s="32">
        <f t="shared" si="10"/>
        <v>0</v>
      </c>
      <c r="V23" s="24">
        <f t="shared" si="11"/>
        <v>3641000</v>
      </c>
      <c r="W23" s="17"/>
      <c r="X23" s="8" t="s">
        <v>423</v>
      </c>
      <c r="Y23" s="67" t="e">
        <f>ROUND(V23*#REF!/1000,2)</f>
        <v>#REF!</v>
      </c>
      <c r="Z23" s="67" t="e">
        <f t="shared" si="12"/>
        <v>#REF!</v>
      </c>
    </row>
    <row r="24" spans="1:26">
      <c r="A24" s="160" t="s">
        <v>579</v>
      </c>
      <c r="B24" s="23" t="s">
        <v>419</v>
      </c>
      <c r="C24" s="185" t="s">
        <v>388</v>
      </c>
      <c r="D24" s="22" t="s">
        <v>132</v>
      </c>
      <c r="E24" s="22" t="s">
        <v>146</v>
      </c>
      <c r="F24" s="13" t="s">
        <v>130</v>
      </c>
      <c r="G24" s="13" t="s">
        <v>386</v>
      </c>
      <c r="H24" s="22" t="s">
        <v>131</v>
      </c>
      <c r="I24" s="77">
        <v>69400</v>
      </c>
      <c r="J24" s="77">
        <f t="shared" si="24"/>
        <v>74000</v>
      </c>
      <c r="K24" s="36">
        <f t="shared" si="25"/>
        <v>79500</v>
      </c>
      <c r="L24" s="36">
        <f t="shared" si="26"/>
        <v>83500</v>
      </c>
      <c r="M24" s="24"/>
      <c r="N24" s="69">
        <v>170000</v>
      </c>
      <c r="O24" s="32">
        <f t="shared" si="27"/>
        <v>0</v>
      </c>
      <c r="P24" s="32">
        <f t="shared" si="6"/>
        <v>177800</v>
      </c>
      <c r="Q24" s="32">
        <f t="shared" si="7"/>
        <v>0</v>
      </c>
      <c r="R24" s="32">
        <f t="shared" si="4"/>
        <v>187200</v>
      </c>
      <c r="S24" s="32">
        <f t="shared" si="8"/>
        <v>0</v>
      </c>
      <c r="T24" s="32">
        <f t="shared" si="9"/>
        <v>193400</v>
      </c>
      <c r="U24" s="32">
        <f t="shared" si="10"/>
        <v>0</v>
      </c>
      <c r="V24" s="24">
        <f t="shared" si="11"/>
        <v>193400</v>
      </c>
      <c r="W24" s="17"/>
      <c r="Y24" s="67" t="e">
        <f>ROUND(V24*#REF!/1000,2)</f>
        <v>#REF!</v>
      </c>
      <c r="Z24" s="67" t="e">
        <f t="shared" si="12"/>
        <v>#REF!</v>
      </c>
    </row>
    <row r="25" spans="1:26">
      <c r="A25" s="160" t="s">
        <v>580</v>
      </c>
      <c r="B25" s="23" t="s">
        <v>335</v>
      </c>
      <c r="C25" s="209" t="s">
        <v>336</v>
      </c>
      <c r="D25" s="22" t="s">
        <v>134</v>
      </c>
      <c r="E25" s="22" t="s">
        <v>146</v>
      </c>
      <c r="F25" s="13" t="s">
        <v>246</v>
      </c>
      <c r="G25" s="13" t="s">
        <v>386</v>
      </c>
      <c r="H25" s="22" t="s">
        <v>133</v>
      </c>
      <c r="I25" s="77">
        <v>387500</v>
      </c>
      <c r="J25" s="77">
        <f t="shared" si="24"/>
        <v>413400</v>
      </c>
      <c r="K25" s="36">
        <f t="shared" si="25"/>
        <v>444300</v>
      </c>
      <c r="L25" s="36">
        <f t="shared" si="26"/>
        <v>466400</v>
      </c>
      <c r="M25" s="24"/>
      <c r="N25" s="69">
        <v>540000</v>
      </c>
      <c r="O25" s="32">
        <f t="shared" si="27"/>
        <v>0</v>
      </c>
      <c r="P25" s="32">
        <f t="shared" si="6"/>
        <v>564800</v>
      </c>
      <c r="Q25" s="32">
        <f t="shared" si="7"/>
        <v>0</v>
      </c>
      <c r="R25" s="32">
        <f t="shared" si="4"/>
        <v>594600</v>
      </c>
      <c r="S25" s="32">
        <f t="shared" si="8"/>
        <v>0</v>
      </c>
      <c r="T25" s="32">
        <f t="shared" si="9"/>
        <v>614500</v>
      </c>
      <c r="U25" s="32">
        <f t="shared" si="10"/>
        <v>0</v>
      </c>
      <c r="V25" s="24">
        <f t="shared" si="11"/>
        <v>614500</v>
      </c>
      <c r="W25" s="17"/>
      <c r="Y25" s="67" t="e">
        <f>ROUND(V25*#REF!/1000,2)</f>
        <v>#REF!</v>
      </c>
      <c r="Z25" s="67" t="e">
        <f t="shared" si="12"/>
        <v>#REF!</v>
      </c>
    </row>
    <row r="26" spans="1:26">
      <c r="A26" s="160" t="s">
        <v>581</v>
      </c>
      <c r="B26" s="23" t="s">
        <v>335</v>
      </c>
      <c r="C26" s="185" t="s">
        <v>337</v>
      </c>
      <c r="D26" s="22" t="s">
        <v>134</v>
      </c>
      <c r="E26" s="22" t="s">
        <v>146</v>
      </c>
      <c r="F26" s="13" t="s">
        <v>136</v>
      </c>
      <c r="G26" s="13" t="s">
        <v>386</v>
      </c>
      <c r="H26" s="22" t="s">
        <v>135</v>
      </c>
      <c r="I26" s="77">
        <v>6684800</v>
      </c>
      <c r="J26" s="77">
        <f t="shared" si="24"/>
        <v>7132100</v>
      </c>
      <c r="K26" s="36">
        <f t="shared" si="25"/>
        <v>7665900</v>
      </c>
      <c r="L26" s="36">
        <f t="shared" si="26"/>
        <v>8047200</v>
      </c>
      <c r="M26" s="24"/>
      <c r="N26" s="69">
        <v>8500000</v>
      </c>
      <c r="O26" s="32">
        <f t="shared" si="27"/>
        <v>0</v>
      </c>
      <c r="P26" s="32">
        <f t="shared" si="6"/>
        <v>8890600</v>
      </c>
      <c r="Q26" s="32">
        <f t="shared" si="7"/>
        <v>0</v>
      </c>
      <c r="R26" s="32">
        <f t="shared" si="4"/>
        <v>9359300</v>
      </c>
      <c r="S26" s="32">
        <f t="shared" si="8"/>
        <v>0</v>
      </c>
      <c r="T26" s="32">
        <f t="shared" si="9"/>
        <v>9671800</v>
      </c>
      <c r="U26" s="32">
        <f t="shared" si="10"/>
        <v>0</v>
      </c>
      <c r="V26" s="24">
        <f t="shared" si="11"/>
        <v>9671800</v>
      </c>
      <c r="W26" s="17"/>
      <c r="X26" s="8" t="s">
        <v>402</v>
      </c>
      <c r="Y26" s="67" t="e">
        <f>ROUND(V26*#REF!/1000,2)</f>
        <v>#REF!</v>
      </c>
      <c r="Z26" s="67" t="e">
        <f t="shared" si="12"/>
        <v>#REF!</v>
      </c>
    </row>
    <row r="27" spans="1:26">
      <c r="A27" s="160" t="s">
        <v>582</v>
      </c>
      <c r="B27" s="23" t="s">
        <v>335</v>
      </c>
      <c r="C27" s="185" t="s">
        <v>337</v>
      </c>
      <c r="D27" s="22" t="s">
        <v>134</v>
      </c>
      <c r="E27" s="22" t="s">
        <v>146</v>
      </c>
      <c r="F27" s="13" t="s">
        <v>136</v>
      </c>
      <c r="G27" s="13"/>
      <c r="H27" s="22" t="s">
        <v>135</v>
      </c>
      <c r="I27" s="77">
        <v>0</v>
      </c>
      <c r="J27" s="77"/>
      <c r="K27" s="36">
        <f t="shared" si="13"/>
        <v>0</v>
      </c>
      <c r="L27" s="36">
        <f t="shared" si="14"/>
        <v>0</v>
      </c>
      <c r="M27" s="24">
        <f>237960+30000</f>
        <v>267960</v>
      </c>
      <c r="N27" s="32">
        <f t="shared" si="17"/>
        <v>0</v>
      </c>
      <c r="O27" s="32">
        <f t="shared" si="15"/>
        <v>298000</v>
      </c>
      <c r="P27" s="32">
        <f t="shared" si="6"/>
        <v>0</v>
      </c>
      <c r="Q27" s="32">
        <f t="shared" si="7"/>
        <v>319200</v>
      </c>
      <c r="R27" s="32">
        <f t="shared" si="4"/>
        <v>0</v>
      </c>
      <c r="S27" s="32">
        <f t="shared" si="8"/>
        <v>332100</v>
      </c>
      <c r="T27" s="32">
        <f t="shared" si="9"/>
        <v>0</v>
      </c>
      <c r="U27" s="32">
        <f t="shared" si="10"/>
        <v>342700</v>
      </c>
      <c r="V27" s="24">
        <f t="shared" si="11"/>
        <v>342700</v>
      </c>
      <c r="W27" s="17"/>
      <c r="Y27" s="67" t="e">
        <f>ROUND(V27*#REF!/1000,2)</f>
        <v>#REF!</v>
      </c>
      <c r="Z27" s="67" t="e">
        <f t="shared" si="12"/>
        <v>#REF!</v>
      </c>
    </row>
    <row r="28" spans="1:26">
      <c r="A28" s="160" t="s">
        <v>583</v>
      </c>
      <c r="B28" s="23" t="s">
        <v>338</v>
      </c>
      <c r="C28" s="209" t="s">
        <v>334</v>
      </c>
      <c r="D28" s="22" t="s">
        <v>138</v>
      </c>
      <c r="E28" s="22" t="s">
        <v>146</v>
      </c>
      <c r="F28" s="13" t="s">
        <v>403</v>
      </c>
      <c r="G28" s="13" t="s">
        <v>386</v>
      </c>
      <c r="H28" s="22" t="s">
        <v>137</v>
      </c>
      <c r="I28" s="77">
        <v>1362300</v>
      </c>
      <c r="J28" s="77">
        <f>ROUND(I28/131.5*140.3,-2)</f>
        <v>1453500</v>
      </c>
      <c r="K28" s="36">
        <f t="shared" si="13"/>
        <v>1562300</v>
      </c>
      <c r="L28" s="36">
        <f t="shared" si="14"/>
        <v>1640000</v>
      </c>
      <c r="M28" s="24"/>
      <c r="N28" s="69">
        <v>1850000</v>
      </c>
      <c r="O28" s="32">
        <f t="shared" si="15"/>
        <v>0</v>
      </c>
      <c r="P28" s="32">
        <f t="shared" si="6"/>
        <v>1935000</v>
      </c>
      <c r="Q28" s="32">
        <f t="shared" si="7"/>
        <v>0</v>
      </c>
      <c r="R28" s="32">
        <f t="shared" si="4"/>
        <v>2037000</v>
      </c>
      <c r="S28" s="32">
        <f t="shared" si="8"/>
        <v>0</v>
      </c>
      <c r="T28" s="32">
        <f t="shared" si="9"/>
        <v>2105000</v>
      </c>
      <c r="U28" s="32">
        <f t="shared" si="10"/>
        <v>0</v>
      </c>
      <c r="V28" s="24">
        <f t="shared" si="11"/>
        <v>2105000</v>
      </c>
      <c r="W28" s="17"/>
      <c r="Y28" s="67" t="e">
        <f>ROUND(V28*#REF!/1000,2)</f>
        <v>#REF!</v>
      </c>
      <c r="Z28" s="67" t="e">
        <f t="shared" si="12"/>
        <v>#REF!</v>
      </c>
    </row>
    <row r="29" spans="1:26">
      <c r="A29" s="160" t="s">
        <v>584</v>
      </c>
      <c r="B29" s="23" t="s">
        <v>339</v>
      </c>
      <c r="C29" s="185" t="s">
        <v>5</v>
      </c>
      <c r="D29" s="22" t="s">
        <v>237</v>
      </c>
      <c r="E29" s="22" t="s">
        <v>146</v>
      </c>
      <c r="F29" s="13" t="s">
        <v>238</v>
      </c>
      <c r="G29" s="13" t="s">
        <v>236</v>
      </c>
      <c r="H29" s="22" t="s">
        <v>8</v>
      </c>
      <c r="I29" s="77">
        <v>430000</v>
      </c>
      <c r="J29" s="77">
        <f>ROUND(I29/134.2*140.3,-2)</f>
        <v>449500</v>
      </c>
      <c r="K29" s="36">
        <f t="shared" si="13"/>
        <v>483100</v>
      </c>
      <c r="L29" s="36">
        <f t="shared" si="14"/>
        <v>507100</v>
      </c>
      <c r="M29" s="24"/>
      <c r="N29" s="32">
        <f t="shared" si="17"/>
        <v>561900</v>
      </c>
      <c r="O29" s="32">
        <f t="shared" si="15"/>
        <v>0</v>
      </c>
      <c r="P29" s="32">
        <f t="shared" si="6"/>
        <v>587700</v>
      </c>
      <c r="Q29" s="32">
        <f t="shared" si="7"/>
        <v>0</v>
      </c>
      <c r="R29" s="32">
        <f t="shared" si="4"/>
        <v>618700</v>
      </c>
      <c r="S29" s="32">
        <f t="shared" si="8"/>
        <v>0</v>
      </c>
      <c r="T29" s="32">
        <f t="shared" si="9"/>
        <v>639400</v>
      </c>
      <c r="U29" s="32">
        <f t="shared" si="10"/>
        <v>0</v>
      </c>
      <c r="V29" s="24">
        <f t="shared" si="11"/>
        <v>639400</v>
      </c>
      <c r="W29" s="73"/>
      <c r="X29" s="8" t="s">
        <v>408</v>
      </c>
      <c r="Y29" s="67" t="e">
        <f>ROUND(V29*#REF!/1000,2)</f>
        <v>#REF!</v>
      </c>
      <c r="Z29" s="67" t="e">
        <f t="shared" si="12"/>
        <v>#REF!</v>
      </c>
    </row>
    <row r="30" spans="1:26">
      <c r="A30" s="160" t="s">
        <v>585</v>
      </c>
      <c r="B30" s="23" t="s">
        <v>340</v>
      </c>
      <c r="C30" s="210">
        <v>8</v>
      </c>
      <c r="D30" s="22" t="s">
        <v>150</v>
      </c>
      <c r="E30" s="22" t="s">
        <v>146</v>
      </c>
      <c r="F30" s="13" t="s">
        <v>8</v>
      </c>
      <c r="G30" s="13" t="s">
        <v>386</v>
      </c>
      <c r="H30" s="22" t="s">
        <v>8</v>
      </c>
      <c r="I30" s="77">
        <v>319600</v>
      </c>
      <c r="J30" s="77">
        <f t="shared" ref="J30:J34" si="28">ROUND(I30/131.5*140.3,-2)</f>
        <v>341000</v>
      </c>
      <c r="K30" s="36">
        <f t="shared" si="13"/>
        <v>366500</v>
      </c>
      <c r="L30" s="36">
        <f t="shared" si="14"/>
        <v>384700</v>
      </c>
      <c r="M30" s="24"/>
      <c r="N30" s="69">
        <v>400000</v>
      </c>
      <c r="O30" s="32">
        <f t="shared" si="15"/>
        <v>0</v>
      </c>
      <c r="P30" s="32">
        <f t="shared" si="6"/>
        <v>418400</v>
      </c>
      <c r="Q30" s="32">
        <f t="shared" si="7"/>
        <v>0</v>
      </c>
      <c r="R30" s="32">
        <f t="shared" si="4"/>
        <v>440500</v>
      </c>
      <c r="S30" s="32">
        <f t="shared" si="8"/>
        <v>0</v>
      </c>
      <c r="T30" s="32">
        <f t="shared" si="9"/>
        <v>455200</v>
      </c>
      <c r="U30" s="32">
        <f t="shared" si="10"/>
        <v>0</v>
      </c>
      <c r="V30" s="24">
        <f t="shared" si="11"/>
        <v>455200</v>
      </c>
      <c r="W30" s="17"/>
      <c r="Y30" s="67" t="e">
        <f>ROUND(V30*#REF!/1000,2)</f>
        <v>#REF!</v>
      </c>
      <c r="Z30" s="67" t="e">
        <f t="shared" si="12"/>
        <v>#REF!</v>
      </c>
    </row>
    <row r="31" spans="1:26">
      <c r="A31" s="160" t="s">
        <v>586</v>
      </c>
      <c r="B31" s="23" t="s">
        <v>341</v>
      </c>
      <c r="C31" s="209" t="s">
        <v>404</v>
      </c>
      <c r="D31" s="22" t="s">
        <v>114</v>
      </c>
      <c r="E31" s="22" t="s">
        <v>146</v>
      </c>
      <c r="F31" s="13" t="s">
        <v>420</v>
      </c>
      <c r="G31" s="13" t="s">
        <v>386</v>
      </c>
      <c r="H31" s="22"/>
      <c r="I31" s="77">
        <v>213500</v>
      </c>
      <c r="J31" s="77">
        <f t="shared" si="28"/>
        <v>227800</v>
      </c>
      <c r="K31" s="36">
        <f t="shared" si="13"/>
        <v>244800</v>
      </c>
      <c r="L31" s="36">
        <f t="shared" si="14"/>
        <v>257000</v>
      </c>
      <c r="M31" s="24"/>
      <c r="N31" s="69">
        <v>380000</v>
      </c>
      <c r="O31" s="32">
        <f t="shared" si="15"/>
        <v>0</v>
      </c>
      <c r="P31" s="32">
        <f t="shared" si="6"/>
        <v>397500</v>
      </c>
      <c r="Q31" s="32">
        <f t="shared" si="7"/>
        <v>0</v>
      </c>
      <c r="R31" s="32">
        <f t="shared" si="4"/>
        <v>418500</v>
      </c>
      <c r="S31" s="32">
        <f t="shared" si="8"/>
        <v>0</v>
      </c>
      <c r="T31" s="32">
        <f t="shared" si="9"/>
        <v>432500</v>
      </c>
      <c r="U31" s="32">
        <f t="shared" si="10"/>
        <v>0</v>
      </c>
      <c r="V31" s="24">
        <f t="shared" si="11"/>
        <v>432500</v>
      </c>
      <c r="W31" s="17"/>
      <c r="Y31" s="67" t="e">
        <f>ROUND(V31*#REF!/1000,2)</f>
        <v>#REF!</v>
      </c>
      <c r="Z31" s="67" t="e">
        <f t="shared" si="12"/>
        <v>#REF!</v>
      </c>
    </row>
    <row r="32" spans="1:26">
      <c r="A32" s="160" t="s">
        <v>587</v>
      </c>
      <c r="B32" s="23" t="s">
        <v>342</v>
      </c>
      <c r="C32" s="209" t="s">
        <v>343</v>
      </c>
      <c r="D32" s="22" t="s">
        <v>151</v>
      </c>
      <c r="E32" s="22" t="s">
        <v>146</v>
      </c>
      <c r="F32" s="13" t="s">
        <v>405</v>
      </c>
      <c r="G32" s="13" t="s">
        <v>386</v>
      </c>
      <c r="H32" s="22" t="s">
        <v>8</v>
      </c>
      <c r="I32" s="77">
        <v>402900</v>
      </c>
      <c r="J32" s="77">
        <f t="shared" si="28"/>
        <v>429900</v>
      </c>
      <c r="K32" s="36">
        <f t="shared" si="13"/>
        <v>462100</v>
      </c>
      <c r="L32" s="36">
        <f t="shared" si="14"/>
        <v>485100</v>
      </c>
      <c r="M32" s="24"/>
      <c r="N32" s="69">
        <v>700000</v>
      </c>
      <c r="O32" s="32">
        <f t="shared" si="15"/>
        <v>0</v>
      </c>
      <c r="P32" s="32">
        <f t="shared" si="6"/>
        <v>732200</v>
      </c>
      <c r="Q32" s="32">
        <f t="shared" si="7"/>
        <v>0</v>
      </c>
      <c r="R32" s="32">
        <f t="shared" si="4"/>
        <v>770800</v>
      </c>
      <c r="S32" s="32">
        <f t="shared" si="8"/>
        <v>0</v>
      </c>
      <c r="T32" s="32">
        <f t="shared" si="9"/>
        <v>796500</v>
      </c>
      <c r="U32" s="32">
        <f t="shared" si="10"/>
        <v>0</v>
      </c>
      <c r="V32" s="24">
        <f t="shared" si="11"/>
        <v>796500</v>
      </c>
      <c r="W32" s="17"/>
      <c r="Y32" s="67" t="e">
        <f>ROUND(V32*#REF!/1000,2)</f>
        <v>#REF!</v>
      </c>
      <c r="Z32" s="67" t="e">
        <f t="shared" si="12"/>
        <v>#REF!</v>
      </c>
    </row>
    <row r="33" spans="1:26" ht="26.4">
      <c r="A33" s="160" t="s">
        <v>588</v>
      </c>
      <c r="B33" s="23" t="s">
        <v>344</v>
      </c>
      <c r="C33" s="185" t="s">
        <v>388</v>
      </c>
      <c r="D33" s="22" t="s">
        <v>140</v>
      </c>
      <c r="E33" s="22" t="s">
        <v>146</v>
      </c>
      <c r="F33" s="13" t="s">
        <v>421</v>
      </c>
      <c r="G33" s="13" t="s">
        <v>386</v>
      </c>
      <c r="H33" s="22" t="s">
        <v>139</v>
      </c>
      <c r="I33" s="77">
        <v>234900</v>
      </c>
      <c r="J33" s="77">
        <f t="shared" si="28"/>
        <v>250600</v>
      </c>
      <c r="K33" s="36">
        <f t="shared" si="13"/>
        <v>269400</v>
      </c>
      <c r="L33" s="36">
        <f t="shared" si="14"/>
        <v>282800</v>
      </c>
      <c r="M33" s="24"/>
      <c r="N33" s="69">
        <v>600000</v>
      </c>
      <c r="O33" s="32">
        <f t="shared" si="15"/>
        <v>0</v>
      </c>
      <c r="P33" s="32">
        <f t="shared" si="6"/>
        <v>627600</v>
      </c>
      <c r="Q33" s="32">
        <f t="shared" si="7"/>
        <v>0</v>
      </c>
      <c r="R33" s="32">
        <f t="shared" si="4"/>
        <v>660700</v>
      </c>
      <c r="S33" s="32">
        <f t="shared" si="8"/>
        <v>0</v>
      </c>
      <c r="T33" s="32">
        <f t="shared" si="9"/>
        <v>682800</v>
      </c>
      <c r="U33" s="32">
        <f t="shared" si="10"/>
        <v>0</v>
      </c>
      <c r="V33" s="24">
        <f t="shared" si="11"/>
        <v>682800</v>
      </c>
      <c r="W33" s="17"/>
      <c r="Y33" s="67" t="e">
        <f>ROUND(V33*#REF!/1000,2)</f>
        <v>#REF!</v>
      </c>
      <c r="Z33" s="67" t="e">
        <f t="shared" si="12"/>
        <v>#REF!</v>
      </c>
    </row>
    <row r="34" spans="1:26">
      <c r="A34" s="160" t="s">
        <v>589</v>
      </c>
      <c r="B34" s="23" t="s">
        <v>345</v>
      </c>
      <c r="C34" s="185" t="s">
        <v>422</v>
      </c>
      <c r="D34" s="22" t="s">
        <v>142</v>
      </c>
      <c r="E34" s="22" t="s">
        <v>146</v>
      </c>
      <c r="F34" s="13" t="s">
        <v>141</v>
      </c>
      <c r="G34" s="13" t="s">
        <v>386</v>
      </c>
      <c r="H34" s="22" t="s">
        <v>103</v>
      </c>
      <c r="I34" s="77">
        <v>542900</v>
      </c>
      <c r="J34" s="77">
        <f t="shared" si="28"/>
        <v>579200</v>
      </c>
      <c r="K34" s="36">
        <f t="shared" si="13"/>
        <v>622500</v>
      </c>
      <c r="L34" s="36">
        <f t="shared" si="14"/>
        <v>653500</v>
      </c>
      <c r="M34" s="24">
        <f>84590+12500</f>
        <v>97090</v>
      </c>
      <c r="N34" s="69">
        <v>725000</v>
      </c>
      <c r="O34" s="32">
        <f t="shared" si="15"/>
        <v>108000</v>
      </c>
      <c r="P34" s="32">
        <f t="shared" si="6"/>
        <v>758300</v>
      </c>
      <c r="Q34" s="32">
        <f t="shared" si="7"/>
        <v>115700</v>
      </c>
      <c r="R34" s="32">
        <f t="shared" si="4"/>
        <v>798300</v>
      </c>
      <c r="S34" s="32">
        <f t="shared" si="8"/>
        <v>120400</v>
      </c>
      <c r="T34" s="32">
        <f t="shared" si="9"/>
        <v>825000</v>
      </c>
      <c r="U34" s="32">
        <f t="shared" si="10"/>
        <v>124200</v>
      </c>
      <c r="V34" s="24">
        <f t="shared" si="11"/>
        <v>949200</v>
      </c>
      <c r="W34" s="17"/>
      <c r="Y34" s="67" t="e">
        <f>ROUND(V34*#REF!/1000,2)</f>
        <v>#REF!</v>
      </c>
      <c r="Z34" s="67" t="e">
        <f t="shared" si="12"/>
        <v>#REF!</v>
      </c>
    </row>
    <row r="35" spans="1:26" ht="26.4">
      <c r="A35" s="160" t="s">
        <v>590</v>
      </c>
      <c r="B35" s="186" t="s">
        <v>346</v>
      </c>
      <c r="C35" s="187" t="s">
        <v>331</v>
      </c>
      <c r="D35" s="22" t="s">
        <v>268</v>
      </c>
      <c r="E35" s="22" t="s">
        <v>146</v>
      </c>
      <c r="F35" s="13" t="s">
        <v>269</v>
      </c>
      <c r="G35" s="13" t="s">
        <v>386</v>
      </c>
      <c r="H35" s="22"/>
      <c r="I35" s="22"/>
      <c r="J35" s="22"/>
      <c r="K35" s="145">
        <v>560000</v>
      </c>
      <c r="L35" s="36">
        <f t="shared" si="14"/>
        <v>587900</v>
      </c>
      <c r="M35" s="22"/>
      <c r="N35" s="69">
        <v>1650000</v>
      </c>
      <c r="O35" s="32">
        <f t="shared" si="15"/>
        <v>0</v>
      </c>
      <c r="P35" s="32">
        <f t="shared" si="6"/>
        <v>1725800</v>
      </c>
      <c r="Q35" s="32">
        <f t="shared" si="7"/>
        <v>0</v>
      </c>
      <c r="R35" s="32">
        <f t="shared" si="4"/>
        <v>1816800</v>
      </c>
      <c r="S35" s="32">
        <f t="shared" si="8"/>
        <v>0</v>
      </c>
      <c r="T35" s="32">
        <f t="shared" si="9"/>
        <v>1877500</v>
      </c>
      <c r="U35" s="32">
        <f t="shared" si="10"/>
        <v>0</v>
      </c>
      <c r="V35" s="24">
        <f t="shared" si="11"/>
        <v>1877500</v>
      </c>
      <c r="W35" s="29"/>
      <c r="X35" s="29"/>
      <c r="Y35" s="67" t="e">
        <f>ROUND(V35*#REF!/1000,2)</f>
        <v>#REF!</v>
      </c>
      <c r="Z35" s="67" t="e">
        <f t="shared" si="12"/>
        <v>#REF!</v>
      </c>
    </row>
    <row r="36" spans="1:26" ht="26.4">
      <c r="A36" s="160" t="s">
        <v>591</v>
      </c>
      <c r="B36" s="23" t="s">
        <v>316</v>
      </c>
      <c r="C36" s="210">
        <v>39</v>
      </c>
      <c r="D36" s="211" t="s">
        <v>317</v>
      </c>
      <c r="E36" s="211" t="s">
        <v>146</v>
      </c>
      <c r="F36" s="13" t="s">
        <v>406</v>
      </c>
      <c r="G36" s="13" t="s">
        <v>386</v>
      </c>
      <c r="H36" s="12"/>
      <c r="I36" s="12"/>
      <c r="J36" s="12"/>
      <c r="K36" s="12"/>
      <c r="L36" s="12"/>
      <c r="M36" s="12"/>
      <c r="N36" s="203">
        <v>75000</v>
      </c>
      <c r="O36" s="147" t="s">
        <v>364</v>
      </c>
      <c r="P36" s="32">
        <f t="shared" si="6"/>
        <v>78400</v>
      </c>
      <c r="Q36" s="147" t="s">
        <v>364</v>
      </c>
      <c r="R36" s="32">
        <f t="shared" si="4"/>
        <v>82500</v>
      </c>
      <c r="S36" s="147" t="s">
        <v>364</v>
      </c>
      <c r="T36" s="32">
        <f t="shared" si="9"/>
        <v>85300</v>
      </c>
      <c r="U36" s="147" t="s">
        <v>364</v>
      </c>
      <c r="V36" s="24">
        <f>T36</f>
        <v>85300</v>
      </c>
      <c r="X36" s="71" t="s">
        <v>363</v>
      </c>
      <c r="Y36" s="67" t="e">
        <f>ROUND(V36*#REF!/1000,2)</f>
        <v>#REF!</v>
      </c>
      <c r="Z36" s="67" t="e">
        <f t="shared" si="12"/>
        <v>#REF!</v>
      </c>
    </row>
    <row r="37" spans="1:26">
      <c r="A37" s="29"/>
      <c r="B37" s="169"/>
      <c r="C37" s="169"/>
      <c r="D37" s="29"/>
      <c r="E37" s="29"/>
      <c r="H37" s="29"/>
      <c r="I37" s="29"/>
      <c r="J37" s="29"/>
      <c r="K37" s="170"/>
      <c r="L37" s="106"/>
      <c r="M37" s="29"/>
      <c r="N37" s="99"/>
      <c r="O37" s="99"/>
      <c r="P37" s="99"/>
      <c r="Q37" s="99"/>
      <c r="R37" s="99"/>
      <c r="S37" s="99"/>
      <c r="T37" s="99"/>
      <c r="U37" s="99"/>
      <c r="V37" s="152"/>
      <c r="W37" s="29"/>
      <c r="X37" s="29"/>
      <c r="Y37" s="67"/>
      <c r="Z37" s="67"/>
    </row>
    <row r="38" spans="1:26" s="28" customFormat="1" ht="13.8" thickBot="1">
      <c r="A38" s="184"/>
      <c r="B38" s="108" t="s">
        <v>26</v>
      </c>
      <c r="C38" s="178"/>
      <c r="D38" s="179"/>
      <c r="E38" s="179"/>
      <c r="F38" s="180"/>
      <c r="G38" s="180"/>
      <c r="H38" s="179"/>
      <c r="I38" s="179"/>
      <c r="J38" s="179"/>
      <c r="K38" s="181"/>
      <c r="L38" s="182"/>
      <c r="M38" s="179"/>
      <c r="N38" s="183">
        <f t="shared" ref="N38:V38" si="29">SUM(N6:N37)</f>
        <v>72511900</v>
      </c>
      <c r="O38" s="183">
        <f t="shared" si="29"/>
        <v>2142600</v>
      </c>
      <c r="P38" s="183">
        <f t="shared" si="29"/>
        <v>75843700</v>
      </c>
      <c r="Q38" s="183">
        <f t="shared" si="29"/>
        <v>2295200</v>
      </c>
      <c r="R38" s="183">
        <f t="shared" si="29"/>
        <v>79841800</v>
      </c>
      <c r="S38" s="183">
        <f t="shared" si="29"/>
        <v>2388300</v>
      </c>
      <c r="T38" s="183">
        <f t="shared" si="29"/>
        <v>82507500</v>
      </c>
      <c r="U38" s="183">
        <f t="shared" si="29"/>
        <v>2464600</v>
      </c>
      <c r="V38" s="183">
        <f t="shared" si="29"/>
        <v>84972100</v>
      </c>
      <c r="W38" s="184"/>
      <c r="X38" s="184"/>
      <c r="Y38" s="67"/>
      <c r="Z38" s="67"/>
    </row>
    <row r="39" spans="1:26" s="84" customFormat="1" ht="13.8" thickTop="1">
      <c r="A39" s="168"/>
      <c r="B39" s="176"/>
      <c r="C39" s="171"/>
      <c r="D39" s="168"/>
      <c r="E39" s="168"/>
      <c r="F39" s="172"/>
      <c r="G39" s="172"/>
      <c r="H39" s="168"/>
      <c r="I39" s="168"/>
      <c r="J39" s="168"/>
      <c r="K39" s="173"/>
      <c r="L39" s="174"/>
      <c r="M39" s="168"/>
      <c r="N39" s="175"/>
      <c r="O39" s="175"/>
      <c r="P39" s="175"/>
      <c r="Q39" s="175"/>
      <c r="R39" s="175"/>
      <c r="S39" s="175"/>
      <c r="T39" s="175"/>
      <c r="U39" s="175"/>
      <c r="V39" s="175"/>
      <c r="W39" s="168"/>
      <c r="X39" s="168"/>
      <c r="Y39" s="67"/>
      <c r="Z39" s="67"/>
    </row>
    <row r="40" spans="1:26">
      <c r="A40" s="29"/>
      <c r="B40" s="94" t="s">
        <v>314</v>
      </c>
      <c r="C40" s="169"/>
      <c r="D40" s="29"/>
      <c r="E40" s="29"/>
      <c r="H40" s="29"/>
      <c r="I40" s="29"/>
      <c r="J40" s="29"/>
      <c r="K40" s="170"/>
      <c r="L40" s="106"/>
      <c r="M40" s="29"/>
      <c r="N40" s="99"/>
      <c r="O40" s="99"/>
      <c r="P40" s="99"/>
      <c r="Q40" s="99"/>
      <c r="R40" s="99"/>
      <c r="S40" s="99"/>
      <c r="T40" s="99"/>
      <c r="U40" s="99"/>
      <c r="V40" s="152"/>
      <c r="W40" s="29"/>
      <c r="X40" s="29"/>
      <c r="Y40" s="67"/>
      <c r="Z40" s="67"/>
    </row>
    <row r="41" spans="1:26">
      <c r="A41" s="160" t="s">
        <v>592</v>
      </c>
      <c r="B41" s="23" t="s">
        <v>319</v>
      </c>
      <c r="C41" s="185" t="s">
        <v>391</v>
      </c>
      <c r="D41" s="22" t="s">
        <v>96</v>
      </c>
      <c r="E41" s="22" t="s">
        <v>146</v>
      </c>
      <c r="F41" s="13" t="s">
        <v>248</v>
      </c>
      <c r="G41" s="13" t="s">
        <v>386</v>
      </c>
      <c r="H41" s="22" t="s">
        <v>104</v>
      </c>
      <c r="I41" s="36">
        <v>1753100</v>
      </c>
      <c r="J41" s="36">
        <f t="shared" ref="J41" si="30">ROUND(I41/131.5*140.3,-2)</f>
        <v>1870400</v>
      </c>
      <c r="K41" s="36">
        <f>ROUND(J41/140.3*150.8,-2)</f>
        <v>2010400</v>
      </c>
      <c r="L41" s="36">
        <f>ROUND(K41/150.8*158.3,-2)</f>
        <v>2110400</v>
      </c>
      <c r="M41" s="24"/>
      <c r="N41" s="69">
        <v>2650000</v>
      </c>
      <c r="O41" s="36">
        <f>ROUND(M41/126.6*140.8,-2)</f>
        <v>0</v>
      </c>
      <c r="P41" s="32">
        <f t="shared" ref="P41:P62" si="31">ROUND(N41/119.7*125.2,-2)</f>
        <v>2771800</v>
      </c>
      <c r="Q41" s="32">
        <f t="shared" ref="Q41:Q62" si="32">ROUND(O41/115.1*123.3,-2)</f>
        <v>0</v>
      </c>
      <c r="R41" s="32">
        <f t="shared" ref="R41" si="33">ROUND(P41/125.2*131.8,-2)</f>
        <v>2917900</v>
      </c>
      <c r="S41" s="32">
        <f t="shared" ref="S41" si="34">ROUND(Q41/123.3*128.3,-2)</f>
        <v>0</v>
      </c>
      <c r="T41" s="32">
        <f>ROUND(R41/131.8*136.2,-2)</f>
        <v>3015300</v>
      </c>
      <c r="U41" s="32">
        <f>ROUND(S41/128.3*132.4,-2)</f>
        <v>0</v>
      </c>
      <c r="V41" s="24">
        <f t="shared" ref="V41:V62" si="35">T41+U41</f>
        <v>3015300</v>
      </c>
      <c r="W41" s="17"/>
      <c r="Y41" s="67" t="e">
        <f>ROUND(V41*#REF!/1000,2)</f>
        <v>#REF!</v>
      </c>
      <c r="Z41" s="67" t="e">
        <f t="shared" si="12"/>
        <v>#REF!</v>
      </c>
    </row>
    <row r="42" spans="1:26">
      <c r="A42" s="160" t="s">
        <v>593</v>
      </c>
      <c r="B42" s="23" t="s">
        <v>319</v>
      </c>
      <c r="C42" s="185" t="s">
        <v>347</v>
      </c>
      <c r="D42" s="22" t="s">
        <v>96</v>
      </c>
      <c r="E42" s="22" t="s">
        <v>146</v>
      </c>
      <c r="F42" s="13" t="s">
        <v>249</v>
      </c>
      <c r="G42" s="13"/>
      <c r="H42" s="22" t="s">
        <v>104</v>
      </c>
      <c r="I42" s="77">
        <v>0</v>
      </c>
      <c r="J42" s="77"/>
      <c r="K42" s="36">
        <f t="shared" ref="K42:K49" si="36">ROUND(J42/140.3*150.8,-2)</f>
        <v>0</v>
      </c>
      <c r="L42" s="36">
        <f t="shared" ref="L42:L51" si="37">ROUND(K42/150.8*158.3,-2)</f>
        <v>0</v>
      </c>
      <c r="M42" s="36">
        <v>310730</v>
      </c>
      <c r="N42" s="32">
        <f t="shared" ref="N42:N51" si="38">ROUND(L42/158.3*175.4,-2)</f>
        <v>0</v>
      </c>
      <c r="O42" s="32">
        <f t="shared" ref="O42:O51" si="39">ROUND(M42/126.6*140.8,-2)</f>
        <v>345600</v>
      </c>
      <c r="P42" s="32">
        <f t="shared" si="31"/>
        <v>0</v>
      </c>
      <c r="Q42" s="32">
        <f t="shared" si="32"/>
        <v>370200</v>
      </c>
      <c r="R42" s="32">
        <f t="shared" ref="R42:R62" si="40">ROUND(P42/125.2*131.8,-2)</f>
        <v>0</v>
      </c>
      <c r="S42" s="32">
        <f t="shared" ref="S42:S62" si="41">ROUND(Q42/123.3*128.3,-2)</f>
        <v>385200</v>
      </c>
      <c r="T42" s="32">
        <f t="shared" ref="T42:T62" si="42">ROUND(R42/131.8*136.2,-2)</f>
        <v>0</v>
      </c>
      <c r="U42" s="32">
        <f t="shared" ref="U42:U62" si="43">ROUND(S42/128.3*132.4,-2)</f>
        <v>397500</v>
      </c>
      <c r="V42" s="24">
        <f t="shared" si="35"/>
        <v>397500</v>
      </c>
      <c r="W42" s="17"/>
      <c r="Y42" s="67" t="e">
        <f>ROUND(V42*#REF!/1000,2)</f>
        <v>#REF!</v>
      </c>
      <c r="Z42" s="67" t="e">
        <f t="shared" si="12"/>
        <v>#REF!</v>
      </c>
    </row>
    <row r="43" spans="1:26">
      <c r="A43" s="160" t="s">
        <v>594</v>
      </c>
      <c r="B43" s="186" t="s">
        <v>348</v>
      </c>
      <c r="C43" s="187" t="s">
        <v>349</v>
      </c>
      <c r="D43" s="22" t="s">
        <v>108</v>
      </c>
      <c r="E43" s="22" t="s">
        <v>146</v>
      </c>
      <c r="F43" s="13" t="s">
        <v>106</v>
      </c>
      <c r="G43" s="13" t="s">
        <v>386</v>
      </c>
      <c r="H43" s="22" t="s">
        <v>104</v>
      </c>
      <c r="I43" s="77">
        <v>261000</v>
      </c>
      <c r="J43" s="77">
        <f>ROUND(I43/131.5*140.3,-2)</f>
        <v>278500</v>
      </c>
      <c r="K43" s="36">
        <f>ROUND(J43/140.3*150.8,-2)</f>
        <v>299300</v>
      </c>
      <c r="L43" s="36">
        <f>ROUND(K43/150.8*158.3,-2)</f>
        <v>314200</v>
      </c>
      <c r="M43" s="24"/>
      <c r="N43" s="69">
        <v>440000</v>
      </c>
      <c r="O43" s="36">
        <f>ROUND(M43/126.6*140.8,-2)</f>
        <v>0</v>
      </c>
      <c r="P43" s="32">
        <f t="shared" si="31"/>
        <v>460200</v>
      </c>
      <c r="Q43" s="32">
        <f t="shared" si="32"/>
        <v>0</v>
      </c>
      <c r="R43" s="32">
        <f t="shared" si="40"/>
        <v>484500</v>
      </c>
      <c r="S43" s="32">
        <f t="shared" si="41"/>
        <v>0</v>
      </c>
      <c r="T43" s="32">
        <f t="shared" si="42"/>
        <v>500700</v>
      </c>
      <c r="U43" s="32">
        <f t="shared" si="43"/>
        <v>0</v>
      </c>
      <c r="V43" s="24">
        <f t="shared" si="35"/>
        <v>500700</v>
      </c>
      <c r="W43" s="17"/>
      <c r="Y43" s="67" t="e">
        <f>ROUND(V43*#REF!/1000,2)</f>
        <v>#REF!</v>
      </c>
      <c r="Z43" s="67" t="e">
        <f t="shared" si="12"/>
        <v>#REF!</v>
      </c>
    </row>
    <row r="44" spans="1:26">
      <c r="A44" s="160" t="s">
        <v>595</v>
      </c>
      <c r="B44" s="23" t="s">
        <v>350</v>
      </c>
      <c r="C44" s="185" t="s">
        <v>325</v>
      </c>
      <c r="D44" s="22" t="s">
        <v>116</v>
      </c>
      <c r="E44" s="22" t="s">
        <v>146</v>
      </c>
      <c r="F44" s="13" t="s">
        <v>115</v>
      </c>
      <c r="G44" s="13" t="s">
        <v>386</v>
      </c>
      <c r="H44" s="22" t="s">
        <v>104</v>
      </c>
      <c r="I44" s="77">
        <v>2104000</v>
      </c>
      <c r="J44" s="77">
        <f>ROUND(I44/131.5*140.3,-2)</f>
        <v>2244800</v>
      </c>
      <c r="K44" s="36">
        <f t="shared" ref="K44" si="44">ROUND(J44/140.3*150.8,-2)</f>
        <v>2412800</v>
      </c>
      <c r="L44" s="36">
        <f t="shared" ref="L44" si="45">ROUND(K44/150.8*158.3,-2)</f>
        <v>2532800</v>
      </c>
      <c r="M44" s="24"/>
      <c r="N44" s="69">
        <v>3250000</v>
      </c>
      <c r="O44" s="32">
        <f t="shared" ref="O44" si="46">ROUND(M44/126.6*140.8,-2)</f>
        <v>0</v>
      </c>
      <c r="P44" s="32">
        <f t="shared" si="31"/>
        <v>3399300</v>
      </c>
      <c r="Q44" s="32">
        <f t="shared" si="32"/>
        <v>0</v>
      </c>
      <c r="R44" s="32">
        <f t="shared" si="40"/>
        <v>3578500</v>
      </c>
      <c r="S44" s="32">
        <f t="shared" si="41"/>
        <v>0</v>
      </c>
      <c r="T44" s="32">
        <f t="shared" si="42"/>
        <v>3698000</v>
      </c>
      <c r="U44" s="32">
        <f t="shared" si="43"/>
        <v>0</v>
      </c>
      <c r="V44" s="24">
        <f t="shared" si="35"/>
        <v>3698000</v>
      </c>
      <c r="W44" s="17"/>
      <c r="Y44" s="67" t="e">
        <f>ROUND(V44*#REF!/1000,2)</f>
        <v>#REF!</v>
      </c>
      <c r="Z44" s="67" t="e">
        <f t="shared" si="12"/>
        <v>#REF!</v>
      </c>
    </row>
    <row r="45" spans="1:26">
      <c r="A45" s="160" t="s">
        <v>596</v>
      </c>
      <c r="B45" s="23" t="s">
        <v>350</v>
      </c>
      <c r="C45" s="185" t="s">
        <v>325</v>
      </c>
      <c r="D45" s="22" t="s">
        <v>116</v>
      </c>
      <c r="E45" s="22" t="s">
        <v>146</v>
      </c>
      <c r="F45" s="13" t="s">
        <v>115</v>
      </c>
      <c r="G45" s="13"/>
      <c r="H45" s="22" t="s">
        <v>104</v>
      </c>
      <c r="I45" s="77">
        <v>0</v>
      </c>
      <c r="J45" s="77"/>
      <c r="K45" s="36">
        <f t="shared" si="36"/>
        <v>0</v>
      </c>
      <c r="L45" s="36">
        <f t="shared" si="37"/>
        <v>0</v>
      </c>
      <c r="M45" s="24">
        <f>356636+78207</f>
        <v>434843</v>
      </c>
      <c r="N45" s="32">
        <f t="shared" si="38"/>
        <v>0</v>
      </c>
      <c r="O45" s="32">
        <f t="shared" si="39"/>
        <v>483600</v>
      </c>
      <c r="P45" s="32">
        <f t="shared" si="31"/>
        <v>0</v>
      </c>
      <c r="Q45" s="32">
        <f t="shared" si="32"/>
        <v>518100</v>
      </c>
      <c r="R45" s="32">
        <f t="shared" si="40"/>
        <v>0</v>
      </c>
      <c r="S45" s="32">
        <f t="shared" si="41"/>
        <v>539100</v>
      </c>
      <c r="T45" s="32">
        <f t="shared" si="42"/>
        <v>0</v>
      </c>
      <c r="U45" s="32">
        <f t="shared" si="43"/>
        <v>556300</v>
      </c>
      <c r="V45" s="24">
        <f t="shared" si="35"/>
        <v>556300</v>
      </c>
      <c r="W45" s="17"/>
      <c r="Y45" s="67" t="e">
        <f>ROUND(V45*#REF!/1000,2)</f>
        <v>#REF!</v>
      </c>
      <c r="Z45" s="67" t="e">
        <f t="shared" si="12"/>
        <v>#REF!</v>
      </c>
    </row>
    <row r="46" spans="1:26">
      <c r="A46" s="160" t="s">
        <v>597</v>
      </c>
      <c r="B46" s="23" t="s">
        <v>350</v>
      </c>
      <c r="C46" s="185" t="s">
        <v>351</v>
      </c>
      <c r="D46" s="22" t="s">
        <v>118</v>
      </c>
      <c r="E46" s="22" t="s">
        <v>146</v>
      </c>
      <c r="F46" s="13" t="s">
        <v>117</v>
      </c>
      <c r="G46" s="13" t="s">
        <v>386</v>
      </c>
      <c r="H46" s="22" t="s">
        <v>104</v>
      </c>
      <c r="I46" s="77">
        <v>876900</v>
      </c>
      <c r="J46" s="77">
        <f>ROUND(I46/131.5*140.3,-2)</f>
        <v>935600</v>
      </c>
      <c r="K46" s="36">
        <f t="shared" si="36"/>
        <v>1005600</v>
      </c>
      <c r="L46" s="36">
        <f t="shared" si="37"/>
        <v>1055600</v>
      </c>
      <c r="M46" s="24"/>
      <c r="N46" s="69">
        <v>1250000</v>
      </c>
      <c r="O46" s="32">
        <f t="shared" si="39"/>
        <v>0</v>
      </c>
      <c r="P46" s="32">
        <f t="shared" si="31"/>
        <v>1307400</v>
      </c>
      <c r="Q46" s="32">
        <f t="shared" si="32"/>
        <v>0</v>
      </c>
      <c r="R46" s="32">
        <f t="shared" si="40"/>
        <v>1376300</v>
      </c>
      <c r="S46" s="32">
        <f t="shared" si="41"/>
        <v>0</v>
      </c>
      <c r="T46" s="32">
        <f t="shared" si="42"/>
        <v>1422200</v>
      </c>
      <c r="U46" s="32">
        <f t="shared" si="43"/>
        <v>0</v>
      </c>
      <c r="V46" s="24">
        <f t="shared" si="35"/>
        <v>1422200</v>
      </c>
      <c r="W46" s="17"/>
      <c r="Y46" s="67" t="e">
        <f>ROUND(V46*#REF!/1000,2)</f>
        <v>#REF!</v>
      </c>
      <c r="Z46" s="67" t="e">
        <f t="shared" si="12"/>
        <v>#REF!</v>
      </c>
    </row>
    <row r="47" spans="1:26">
      <c r="A47" s="160" t="s">
        <v>598</v>
      </c>
      <c r="B47" s="23" t="s">
        <v>350</v>
      </c>
      <c r="C47" s="185" t="s">
        <v>351</v>
      </c>
      <c r="D47" s="22" t="s">
        <v>118</v>
      </c>
      <c r="E47" s="22" t="s">
        <v>146</v>
      </c>
      <c r="F47" s="13" t="s">
        <v>117</v>
      </c>
      <c r="G47" s="13"/>
      <c r="H47" s="22" t="s">
        <v>104</v>
      </c>
      <c r="I47" s="77">
        <v>0</v>
      </c>
      <c r="J47" s="77"/>
      <c r="K47" s="36">
        <f t="shared" si="36"/>
        <v>0</v>
      </c>
      <c r="L47" s="36">
        <f t="shared" si="37"/>
        <v>0</v>
      </c>
      <c r="M47" s="24">
        <f>86000+4300</f>
        <v>90300</v>
      </c>
      <c r="N47" s="32">
        <f t="shared" si="38"/>
        <v>0</v>
      </c>
      <c r="O47" s="32">
        <f t="shared" si="39"/>
        <v>100400</v>
      </c>
      <c r="P47" s="32">
        <f t="shared" si="31"/>
        <v>0</v>
      </c>
      <c r="Q47" s="32">
        <f t="shared" si="32"/>
        <v>107600</v>
      </c>
      <c r="R47" s="32">
        <f t="shared" si="40"/>
        <v>0</v>
      </c>
      <c r="S47" s="32">
        <f t="shared" si="41"/>
        <v>112000</v>
      </c>
      <c r="T47" s="32">
        <f t="shared" si="42"/>
        <v>0</v>
      </c>
      <c r="U47" s="32">
        <f t="shared" si="43"/>
        <v>115600</v>
      </c>
      <c r="V47" s="24">
        <f t="shared" si="35"/>
        <v>115600</v>
      </c>
      <c r="W47" s="17"/>
      <c r="Y47" s="67" t="e">
        <f>ROUND(V47*#REF!/1000,2)</f>
        <v>#REF!</v>
      </c>
      <c r="Z47" s="67" t="e">
        <f t="shared" si="12"/>
        <v>#REF!</v>
      </c>
    </row>
    <row r="48" spans="1:26">
      <c r="A48" s="160" t="s">
        <v>599</v>
      </c>
      <c r="B48" s="23" t="s">
        <v>350</v>
      </c>
      <c r="C48" s="185" t="s">
        <v>352</v>
      </c>
      <c r="D48" s="22" t="s">
        <v>118</v>
      </c>
      <c r="E48" s="22" t="s">
        <v>146</v>
      </c>
      <c r="F48" s="13" t="s">
        <v>119</v>
      </c>
      <c r="G48" s="13"/>
      <c r="H48" s="22" t="s">
        <v>104</v>
      </c>
      <c r="I48" s="77">
        <v>0</v>
      </c>
      <c r="J48" s="77"/>
      <c r="K48" s="36">
        <f t="shared" si="36"/>
        <v>0</v>
      </c>
      <c r="L48" s="36">
        <f t="shared" si="37"/>
        <v>0</v>
      </c>
      <c r="M48" s="24">
        <f>1010952+358250</f>
        <v>1369202</v>
      </c>
      <c r="N48" s="32">
        <f t="shared" si="38"/>
        <v>0</v>
      </c>
      <c r="O48" s="32">
        <f t="shared" si="39"/>
        <v>1522800</v>
      </c>
      <c r="P48" s="32">
        <f t="shared" si="31"/>
        <v>0</v>
      </c>
      <c r="Q48" s="32">
        <f t="shared" si="32"/>
        <v>1631300</v>
      </c>
      <c r="R48" s="32">
        <f t="shared" si="40"/>
        <v>0</v>
      </c>
      <c r="S48" s="32">
        <f t="shared" si="41"/>
        <v>1697500</v>
      </c>
      <c r="T48" s="32">
        <f t="shared" si="42"/>
        <v>0</v>
      </c>
      <c r="U48" s="32">
        <f t="shared" si="43"/>
        <v>1751700</v>
      </c>
      <c r="V48" s="24">
        <f t="shared" si="35"/>
        <v>1751700</v>
      </c>
      <c r="W48" s="17"/>
      <c r="Y48" s="67" t="e">
        <f>ROUND(V48*#REF!/1000,2)</f>
        <v>#REF!</v>
      </c>
      <c r="Z48" s="67" t="e">
        <f t="shared" si="12"/>
        <v>#REF!</v>
      </c>
    </row>
    <row r="49" spans="1:26">
      <c r="A49" s="160" t="s">
        <v>600</v>
      </c>
      <c r="B49" s="23" t="s">
        <v>353</v>
      </c>
      <c r="C49" s="185" t="s">
        <v>325</v>
      </c>
      <c r="D49" s="22" t="s">
        <v>124</v>
      </c>
      <c r="E49" s="22" t="s">
        <v>146</v>
      </c>
      <c r="F49" s="13" t="s">
        <v>123</v>
      </c>
      <c r="G49" s="13" t="s">
        <v>386</v>
      </c>
      <c r="H49" s="22" t="s">
        <v>104</v>
      </c>
      <c r="I49" s="77">
        <v>1797000</v>
      </c>
      <c r="J49" s="77">
        <f>ROUND(I49/131.5*140.3,-2)</f>
        <v>1917300</v>
      </c>
      <c r="K49" s="36">
        <f t="shared" si="36"/>
        <v>2060800</v>
      </c>
      <c r="L49" s="36">
        <f t="shared" si="37"/>
        <v>2163300</v>
      </c>
      <c r="M49" s="24"/>
      <c r="N49" s="69">
        <v>2650000</v>
      </c>
      <c r="O49" s="32">
        <f t="shared" si="39"/>
        <v>0</v>
      </c>
      <c r="P49" s="32">
        <f t="shared" si="31"/>
        <v>2771800</v>
      </c>
      <c r="Q49" s="32">
        <f t="shared" si="32"/>
        <v>0</v>
      </c>
      <c r="R49" s="32">
        <f t="shared" si="40"/>
        <v>2917900</v>
      </c>
      <c r="S49" s="32">
        <f t="shared" si="41"/>
        <v>0</v>
      </c>
      <c r="T49" s="32">
        <f t="shared" si="42"/>
        <v>3015300</v>
      </c>
      <c r="U49" s="32">
        <f t="shared" si="43"/>
        <v>0</v>
      </c>
      <c r="V49" s="24">
        <f t="shared" si="35"/>
        <v>3015300</v>
      </c>
      <c r="W49" s="17"/>
      <c r="Y49" s="67" t="e">
        <f>ROUND(V49*#REF!/1000,2)</f>
        <v>#REF!</v>
      </c>
      <c r="Z49" s="67" t="e">
        <f t="shared" si="12"/>
        <v>#REF!</v>
      </c>
    </row>
    <row r="50" spans="1:26">
      <c r="A50" s="160" t="s">
        <v>601</v>
      </c>
      <c r="B50" s="23" t="s">
        <v>354</v>
      </c>
      <c r="C50" s="185" t="s">
        <v>395</v>
      </c>
      <c r="D50" s="22" t="s">
        <v>125</v>
      </c>
      <c r="E50" s="22" t="s">
        <v>146</v>
      </c>
      <c r="F50" s="13" t="s">
        <v>95</v>
      </c>
      <c r="G50" s="13" t="s">
        <v>386</v>
      </c>
      <c r="H50" s="22" t="s">
        <v>104</v>
      </c>
      <c r="I50" s="77">
        <v>3800700</v>
      </c>
      <c r="J50" s="77">
        <v>7230000</v>
      </c>
      <c r="K50" s="36">
        <f>ROUND(J50/147.5*150.8,-2)</f>
        <v>7391800</v>
      </c>
      <c r="L50" s="36">
        <f t="shared" si="37"/>
        <v>7759400</v>
      </c>
      <c r="M50" s="24"/>
      <c r="N50" s="69">
        <v>9550000</v>
      </c>
      <c r="O50" s="32">
        <f t="shared" si="39"/>
        <v>0</v>
      </c>
      <c r="P50" s="32">
        <f>ROUND(N50/125.1*125.2,-2)</f>
        <v>9557600</v>
      </c>
      <c r="Q50" s="32">
        <f t="shared" si="32"/>
        <v>0</v>
      </c>
      <c r="R50" s="32">
        <f t="shared" si="40"/>
        <v>10061400</v>
      </c>
      <c r="S50" s="32">
        <f t="shared" si="41"/>
        <v>0</v>
      </c>
      <c r="T50" s="32">
        <f t="shared" si="42"/>
        <v>10397300</v>
      </c>
      <c r="U50" s="32">
        <f t="shared" si="43"/>
        <v>0</v>
      </c>
      <c r="V50" s="24">
        <f t="shared" si="35"/>
        <v>10397300</v>
      </c>
      <c r="W50" s="17"/>
      <c r="X50" s="71" t="s">
        <v>407</v>
      </c>
      <c r="Y50" s="67" t="e">
        <f>ROUND(V50*#REF!/1000,2)</f>
        <v>#REF!</v>
      </c>
      <c r="Z50" s="67" t="e">
        <f t="shared" si="12"/>
        <v>#REF!</v>
      </c>
    </row>
    <row r="51" spans="1:26">
      <c r="A51" s="160" t="s">
        <v>602</v>
      </c>
      <c r="B51" s="23" t="s">
        <v>354</v>
      </c>
      <c r="C51" s="185" t="s">
        <v>395</v>
      </c>
      <c r="D51" s="22" t="s">
        <v>125</v>
      </c>
      <c r="E51" s="22" t="s">
        <v>146</v>
      </c>
      <c r="F51" s="13" t="s">
        <v>95</v>
      </c>
      <c r="G51" s="13"/>
      <c r="H51" s="22" t="s">
        <v>104</v>
      </c>
      <c r="I51" s="77">
        <v>0</v>
      </c>
      <c r="J51" s="77"/>
      <c r="K51" s="36">
        <f>ROUND(J51/140.3*150.8,-2)</f>
        <v>0</v>
      </c>
      <c r="L51" s="36">
        <f t="shared" si="37"/>
        <v>0</v>
      </c>
      <c r="M51" s="24">
        <f>980785+368239</f>
        <v>1349024</v>
      </c>
      <c r="N51" s="32">
        <f t="shared" si="38"/>
        <v>0</v>
      </c>
      <c r="O51" s="32">
        <f t="shared" si="39"/>
        <v>1500300</v>
      </c>
      <c r="P51" s="32">
        <f t="shared" si="31"/>
        <v>0</v>
      </c>
      <c r="Q51" s="32">
        <f t="shared" si="32"/>
        <v>1607200</v>
      </c>
      <c r="R51" s="32">
        <f t="shared" si="40"/>
        <v>0</v>
      </c>
      <c r="S51" s="32">
        <f t="shared" si="41"/>
        <v>1672400</v>
      </c>
      <c r="T51" s="32">
        <f t="shared" si="42"/>
        <v>0</v>
      </c>
      <c r="U51" s="32">
        <f t="shared" si="43"/>
        <v>1725800</v>
      </c>
      <c r="V51" s="24">
        <f t="shared" si="35"/>
        <v>1725800</v>
      </c>
      <c r="W51" s="17"/>
      <c r="Y51" s="67" t="e">
        <f>ROUND(V51*#REF!/1000,2)</f>
        <v>#REF!</v>
      </c>
      <c r="Z51" s="67" t="e">
        <f t="shared" si="12"/>
        <v>#REF!</v>
      </c>
    </row>
    <row r="52" spans="1:26">
      <c r="A52" s="160" t="s">
        <v>603</v>
      </c>
      <c r="B52" s="128" t="s">
        <v>271</v>
      </c>
      <c r="C52" s="128"/>
      <c r="D52" s="12" t="s">
        <v>272</v>
      </c>
      <c r="E52" s="12" t="s">
        <v>146</v>
      </c>
      <c r="F52" s="13" t="s">
        <v>273</v>
      </c>
      <c r="G52" s="13"/>
      <c r="H52" s="22" t="s">
        <v>104</v>
      </c>
      <c r="I52" s="156"/>
      <c r="J52" s="156"/>
      <c r="K52" s="12"/>
      <c r="L52" s="12"/>
      <c r="M52" s="149">
        <v>250688</v>
      </c>
      <c r="N52" s="149"/>
      <c r="O52" s="36">
        <f>ROUND(M52/132.3*140.8,-2)</f>
        <v>266800</v>
      </c>
      <c r="P52" s="32">
        <f t="shared" si="31"/>
        <v>0</v>
      </c>
      <c r="Q52" s="32">
        <f t="shared" si="32"/>
        <v>285800</v>
      </c>
      <c r="R52" s="32">
        <f t="shared" si="40"/>
        <v>0</v>
      </c>
      <c r="S52" s="32">
        <f t="shared" si="41"/>
        <v>297400</v>
      </c>
      <c r="T52" s="32">
        <f t="shared" si="42"/>
        <v>0</v>
      </c>
      <c r="U52" s="32">
        <f t="shared" si="43"/>
        <v>306900</v>
      </c>
      <c r="V52" s="24">
        <f t="shared" si="35"/>
        <v>306900</v>
      </c>
      <c r="Y52" s="67" t="e">
        <f>ROUND(V52*#REF!/1000,2)</f>
        <v>#REF!</v>
      </c>
      <c r="Z52" s="67" t="e">
        <f t="shared" si="12"/>
        <v>#REF!</v>
      </c>
    </row>
    <row r="53" spans="1:26" ht="12.75" customHeight="1">
      <c r="A53" s="160" t="s">
        <v>604</v>
      </c>
      <c r="B53" s="23" t="s">
        <v>355</v>
      </c>
      <c r="C53" s="185" t="s">
        <v>334</v>
      </c>
      <c r="D53" s="22" t="s">
        <v>126</v>
      </c>
      <c r="E53" s="22" t="s">
        <v>146</v>
      </c>
      <c r="F53" s="13" t="s">
        <v>166</v>
      </c>
      <c r="G53" s="13" t="s">
        <v>386</v>
      </c>
      <c r="H53" s="22" t="s">
        <v>104</v>
      </c>
      <c r="I53" s="77">
        <v>1947800</v>
      </c>
      <c r="J53" s="77">
        <f>ROUND(I53/131.5*140.3,-2)</f>
        <v>2078100</v>
      </c>
      <c r="K53" s="36">
        <f t="shared" ref="K53" si="47">ROUND(J53/140.3*150.8,-2)</f>
        <v>2233600</v>
      </c>
      <c r="L53" s="36">
        <f t="shared" ref="L53" si="48">ROUND(K53/150.8*158.3,-2)</f>
        <v>2344700</v>
      </c>
      <c r="M53" s="24"/>
      <c r="N53" s="69">
        <v>3300000</v>
      </c>
      <c r="O53" s="32">
        <f t="shared" ref="O53" si="49">ROUND(M53/126.6*140.8,-2)</f>
        <v>0</v>
      </c>
      <c r="P53" s="32">
        <f t="shared" si="31"/>
        <v>3451600</v>
      </c>
      <c r="Q53" s="32">
        <f t="shared" si="32"/>
        <v>0</v>
      </c>
      <c r="R53" s="32">
        <f t="shared" si="40"/>
        <v>3633600</v>
      </c>
      <c r="S53" s="32">
        <f t="shared" si="41"/>
        <v>0</v>
      </c>
      <c r="T53" s="32">
        <f t="shared" si="42"/>
        <v>3754900</v>
      </c>
      <c r="U53" s="32">
        <f t="shared" si="43"/>
        <v>0</v>
      </c>
      <c r="V53" s="24">
        <f t="shared" si="35"/>
        <v>3754900</v>
      </c>
      <c r="W53" s="17"/>
      <c r="Y53" s="67" t="e">
        <f>ROUND(V53*#REF!/1000,2)</f>
        <v>#REF!</v>
      </c>
      <c r="Z53" s="67" t="e">
        <f t="shared" si="12"/>
        <v>#REF!</v>
      </c>
    </row>
    <row r="54" spans="1:26">
      <c r="A54" s="160" t="s">
        <v>605</v>
      </c>
      <c r="B54" s="23" t="s">
        <v>355</v>
      </c>
      <c r="C54" s="185" t="s">
        <v>334</v>
      </c>
      <c r="D54" s="22" t="s">
        <v>126</v>
      </c>
      <c r="E54" s="22" t="s">
        <v>146</v>
      </c>
      <c r="F54" s="13" t="s">
        <v>166</v>
      </c>
      <c r="G54" s="13"/>
      <c r="H54" s="22" t="s">
        <v>104</v>
      </c>
      <c r="I54" s="77">
        <v>0</v>
      </c>
      <c r="J54" s="77"/>
      <c r="K54" s="36">
        <f t="shared" ref="K54:K61" si="50">ROUND(J54/140.3*150.8,-2)</f>
        <v>0</v>
      </c>
      <c r="L54" s="36">
        <f t="shared" ref="L54:L61" si="51">ROUND(K54/150.8*158.3,-2)</f>
        <v>0</v>
      </c>
      <c r="M54" s="24">
        <f>407675+161294</f>
        <v>568969</v>
      </c>
      <c r="N54" s="32">
        <f t="shared" ref="N54:N61" si="52">ROUND(L54/158.3*175.4,-2)</f>
        <v>0</v>
      </c>
      <c r="O54" s="32">
        <f t="shared" ref="O54:O61" si="53">ROUND(M54/126.6*140.8,-2)</f>
        <v>632800</v>
      </c>
      <c r="P54" s="32">
        <f t="shared" si="31"/>
        <v>0</v>
      </c>
      <c r="Q54" s="32">
        <f t="shared" si="32"/>
        <v>677900</v>
      </c>
      <c r="R54" s="32">
        <f t="shared" si="40"/>
        <v>0</v>
      </c>
      <c r="S54" s="32">
        <f t="shared" si="41"/>
        <v>705400</v>
      </c>
      <c r="T54" s="32">
        <f t="shared" si="42"/>
        <v>0</v>
      </c>
      <c r="U54" s="32">
        <f t="shared" si="43"/>
        <v>727900</v>
      </c>
      <c r="V54" s="24">
        <f t="shared" si="35"/>
        <v>727900</v>
      </c>
      <c r="W54" s="17"/>
      <c r="X54" s="17"/>
      <c r="Y54" s="67" t="e">
        <f>ROUND(V54*#REF!/1000,2)</f>
        <v>#REF!</v>
      </c>
      <c r="Z54" s="67" t="e">
        <f t="shared" si="12"/>
        <v>#REF!</v>
      </c>
    </row>
    <row r="55" spans="1:26" s="29" customFormat="1">
      <c r="A55" s="160" t="s">
        <v>534</v>
      </c>
      <c r="B55" s="48" t="s">
        <v>356</v>
      </c>
      <c r="C55" s="188">
        <v>88</v>
      </c>
      <c r="D55" s="45" t="s">
        <v>244</v>
      </c>
      <c r="E55" s="45" t="s">
        <v>146</v>
      </c>
      <c r="F55" s="13" t="s">
        <v>251</v>
      </c>
      <c r="G55" s="13" t="s">
        <v>386</v>
      </c>
      <c r="H55" s="22" t="s">
        <v>104</v>
      </c>
      <c r="I55" s="146">
        <v>1339000</v>
      </c>
      <c r="J55" s="36">
        <f>ROUND(I55/137.2*140.3,-2)</f>
        <v>1369300</v>
      </c>
      <c r="K55" s="36">
        <f t="shared" si="50"/>
        <v>1471800</v>
      </c>
      <c r="L55" s="36">
        <f t="shared" si="51"/>
        <v>1545000</v>
      </c>
      <c r="M55" s="12"/>
      <c r="N55" s="69">
        <v>2000000</v>
      </c>
      <c r="O55" s="32">
        <f t="shared" si="53"/>
        <v>0</v>
      </c>
      <c r="P55" s="32">
        <f>ROUND(N55/125.1*125.2,-2)</f>
        <v>2001600</v>
      </c>
      <c r="Q55" s="32">
        <f t="shared" si="32"/>
        <v>0</v>
      </c>
      <c r="R55" s="32">
        <f t="shared" si="40"/>
        <v>2107100</v>
      </c>
      <c r="S55" s="32">
        <f t="shared" si="41"/>
        <v>0</v>
      </c>
      <c r="T55" s="32">
        <f t="shared" si="42"/>
        <v>2177400</v>
      </c>
      <c r="U55" s="32">
        <f t="shared" si="43"/>
        <v>0</v>
      </c>
      <c r="V55" s="24">
        <f t="shared" si="35"/>
        <v>2177400</v>
      </c>
      <c r="W55" s="71"/>
      <c r="X55" s="71"/>
      <c r="Y55" s="67" t="e">
        <f>ROUND(V55*#REF!/1000,2)</f>
        <v>#REF!</v>
      </c>
      <c r="Z55" s="67" t="e">
        <f t="shared" si="12"/>
        <v>#REF!</v>
      </c>
    </row>
    <row r="56" spans="1:26">
      <c r="A56" s="160" t="s">
        <v>535</v>
      </c>
      <c r="B56" s="23" t="s">
        <v>346</v>
      </c>
      <c r="C56" s="185" t="s">
        <v>357</v>
      </c>
      <c r="D56" s="22" t="s">
        <v>143</v>
      </c>
      <c r="E56" s="22" t="s">
        <v>146</v>
      </c>
      <c r="F56" s="13" t="s">
        <v>167</v>
      </c>
      <c r="G56" s="13" t="s">
        <v>386</v>
      </c>
      <c r="H56" s="22" t="s">
        <v>104</v>
      </c>
      <c r="I56" s="77">
        <v>4688200</v>
      </c>
      <c r="J56" s="77">
        <f>ROUND(I56/131.5*140.3,-2)</f>
        <v>5001900</v>
      </c>
      <c r="K56" s="36">
        <f t="shared" si="50"/>
        <v>5376200</v>
      </c>
      <c r="L56" s="36">
        <f t="shared" si="51"/>
        <v>5643600</v>
      </c>
      <c r="M56" s="24"/>
      <c r="N56" s="69">
        <v>5350000</v>
      </c>
      <c r="O56" s="32">
        <f t="shared" si="53"/>
        <v>0</v>
      </c>
      <c r="P56" s="32">
        <f t="shared" si="31"/>
        <v>5595800</v>
      </c>
      <c r="Q56" s="32">
        <f t="shared" si="32"/>
        <v>0</v>
      </c>
      <c r="R56" s="32">
        <f t="shared" si="40"/>
        <v>5890800</v>
      </c>
      <c r="S56" s="32">
        <f t="shared" si="41"/>
        <v>0</v>
      </c>
      <c r="T56" s="32">
        <f t="shared" si="42"/>
        <v>6087500</v>
      </c>
      <c r="U56" s="32">
        <f t="shared" si="43"/>
        <v>0</v>
      </c>
      <c r="V56" s="24">
        <f t="shared" si="35"/>
        <v>6087500</v>
      </c>
      <c r="W56" s="17"/>
      <c r="Y56" s="67" t="e">
        <f>ROUND(V56*#REF!/1000,2)</f>
        <v>#REF!</v>
      </c>
      <c r="Z56" s="67" t="e">
        <f t="shared" si="12"/>
        <v>#REF!</v>
      </c>
    </row>
    <row r="57" spans="1:26">
      <c r="A57" s="160" t="s">
        <v>536</v>
      </c>
      <c r="B57" s="23" t="s">
        <v>346</v>
      </c>
      <c r="C57" s="185" t="s">
        <v>357</v>
      </c>
      <c r="D57" s="22" t="s">
        <v>143</v>
      </c>
      <c r="E57" s="22" t="s">
        <v>146</v>
      </c>
      <c r="F57" s="13" t="s">
        <v>167</v>
      </c>
      <c r="G57" s="13"/>
      <c r="H57" s="22" t="s">
        <v>104</v>
      </c>
      <c r="I57" s="77">
        <v>0</v>
      </c>
      <c r="J57" s="77"/>
      <c r="K57" s="36">
        <f t="shared" si="50"/>
        <v>0</v>
      </c>
      <c r="L57" s="36">
        <f t="shared" si="51"/>
        <v>0</v>
      </c>
      <c r="M57" s="24">
        <f>469585+150955</f>
        <v>620540</v>
      </c>
      <c r="N57" s="32">
        <f t="shared" si="52"/>
        <v>0</v>
      </c>
      <c r="O57" s="32">
        <f t="shared" si="53"/>
        <v>690100</v>
      </c>
      <c r="P57" s="32">
        <f t="shared" si="31"/>
        <v>0</v>
      </c>
      <c r="Q57" s="32">
        <f t="shared" si="32"/>
        <v>739300</v>
      </c>
      <c r="R57" s="32">
        <f t="shared" si="40"/>
        <v>0</v>
      </c>
      <c r="S57" s="32">
        <f t="shared" si="41"/>
        <v>769300</v>
      </c>
      <c r="T57" s="32">
        <f t="shared" si="42"/>
        <v>0</v>
      </c>
      <c r="U57" s="32">
        <f t="shared" si="43"/>
        <v>793900</v>
      </c>
      <c r="V57" s="24">
        <f t="shared" si="35"/>
        <v>793900</v>
      </c>
      <c r="W57" s="17"/>
      <c r="Y57" s="67" t="e">
        <f>ROUND(V57*#REF!/1000,2)</f>
        <v>#REF!</v>
      </c>
      <c r="Z57" s="67" t="e">
        <f t="shared" si="12"/>
        <v>#REF!</v>
      </c>
    </row>
    <row r="58" spans="1:26">
      <c r="A58" s="160" t="s">
        <v>537</v>
      </c>
      <c r="B58" s="23" t="s">
        <v>358</v>
      </c>
      <c r="C58" s="185" t="s">
        <v>359</v>
      </c>
      <c r="D58" s="22" t="s">
        <v>144</v>
      </c>
      <c r="E58" s="22" t="s">
        <v>146</v>
      </c>
      <c r="F58" s="13" t="s">
        <v>168</v>
      </c>
      <c r="G58" s="13" t="s">
        <v>386</v>
      </c>
      <c r="H58" s="22" t="s">
        <v>104</v>
      </c>
      <c r="I58" s="77">
        <v>2953900</v>
      </c>
      <c r="J58" s="77">
        <f>ROUND(I58/131.5*140.3,-2)</f>
        <v>3151600</v>
      </c>
      <c r="K58" s="36">
        <f>ROUND(J58/140.3*150.8,-2)</f>
        <v>3387500</v>
      </c>
      <c r="L58" s="36">
        <f>ROUND(K58/150.8*158.3,-2)</f>
        <v>3556000</v>
      </c>
      <c r="M58" s="24"/>
      <c r="N58" s="69">
        <v>3750000</v>
      </c>
      <c r="O58" s="32">
        <f>ROUND(M58/126.6*140.8,-2)</f>
        <v>0</v>
      </c>
      <c r="P58" s="32">
        <f t="shared" si="31"/>
        <v>3922300</v>
      </c>
      <c r="Q58" s="32">
        <f t="shared" si="32"/>
        <v>0</v>
      </c>
      <c r="R58" s="32">
        <f t="shared" si="40"/>
        <v>4129100</v>
      </c>
      <c r="S58" s="32">
        <f t="shared" si="41"/>
        <v>0</v>
      </c>
      <c r="T58" s="32">
        <f t="shared" si="42"/>
        <v>4266900</v>
      </c>
      <c r="U58" s="32">
        <f t="shared" si="43"/>
        <v>0</v>
      </c>
      <c r="V58" s="24">
        <f t="shared" si="35"/>
        <v>4266900</v>
      </c>
      <c r="W58" s="17"/>
      <c r="Y58" s="67" t="e">
        <f>ROUND(V58*#REF!/1000,2)</f>
        <v>#REF!</v>
      </c>
      <c r="Z58" s="67" t="e">
        <f t="shared" si="12"/>
        <v>#REF!</v>
      </c>
    </row>
    <row r="59" spans="1:26">
      <c r="A59" s="160" t="s">
        <v>538</v>
      </c>
      <c r="B59" s="23" t="s">
        <v>358</v>
      </c>
      <c r="C59" s="185" t="s">
        <v>359</v>
      </c>
      <c r="D59" s="22" t="s">
        <v>144</v>
      </c>
      <c r="E59" s="22" t="s">
        <v>146</v>
      </c>
      <c r="F59" s="13" t="s">
        <v>168</v>
      </c>
      <c r="G59" s="13"/>
      <c r="H59" s="22" t="s">
        <v>104</v>
      </c>
      <c r="I59" s="77">
        <v>0</v>
      </c>
      <c r="J59" s="77"/>
      <c r="K59" s="36">
        <f t="shared" si="50"/>
        <v>0</v>
      </c>
      <c r="L59" s="36">
        <f t="shared" si="51"/>
        <v>0</v>
      </c>
      <c r="M59" s="24">
        <f>404355+164068</f>
        <v>568423</v>
      </c>
      <c r="N59" s="32">
        <f t="shared" si="52"/>
        <v>0</v>
      </c>
      <c r="O59" s="32">
        <f t="shared" si="53"/>
        <v>632200</v>
      </c>
      <c r="P59" s="32">
        <f t="shared" si="31"/>
        <v>0</v>
      </c>
      <c r="Q59" s="32">
        <f t="shared" si="32"/>
        <v>677200</v>
      </c>
      <c r="R59" s="32">
        <f t="shared" si="40"/>
        <v>0</v>
      </c>
      <c r="S59" s="32">
        <f t="shared" si="41"/>
        <v>704700</v>
      </c>
      <c r="T59" s="32">
        <f t="shared" si="42"/>
        <v>0</v>
      </c>
      <c r="U59" s="32">
        <f t="shared" si="43"/>
        <v>727200</v>
      </c>
      <c r="V59" s="24">
        <f t="shared" si="35"/>
        <v>727200</v>
      </c>
      <c r="W59" s="17"/>
      <c r="Y59" s="67" t="e">
        <f>ROUND(V59*#REF!/1000,2)</f>
        <v>#REF!</v>
      </c>
      <c r="Z59" s="67" t="e">
        <f t="shared" si="12"/>
        <v>#REF!</v>
      </c>
    </row>
    <row r="60" spans="1:26" ht="39.6">
      <c r="A60" s="160" t="s">
        <v>606</v>
      </c>
      <c r="B60" s="189" t="s">
        <v>360</v>
      </c>
      <c r="C60" s="190"/>
      <c r="D60" s="22" t="s">
        <v>145</v>
      </c>
      <c r="E60" s="22" t="s">
        <v>146</v>
      </c>
      <c r="F60" s="13" t="s">
        <v>169</v>
      </c>
      <c r="G60" s="13" t="s">
        <v>386</v>
      </c>
      <c r="H60" s="22" t="s">
        <v>104</v>
      </c>
      <c r="I60" s="77">
        <v>2539600</v>
      </c>
      <c r="J60" s="77">
        <f>ROUND(I60/131.5*140.3,-2)</f>
        <v>2709600</v>
      </c>
      <c r="K60" s="36">
        <f t="shared" si="50"/>
        <v>2912400</v>
      </c>
      <c r="L60" s="36">
        <f t="shared" si="51"/>
        <v>3057200</v>
      </c>
      <c r="M60" s="24"/>
      <c r="N60" s="69">
        <v>3300000</v>
      </c>
      <c r="O60" s="32">
        <f t="shared" si="53"/>
        <v>0</v>
      </c>
      <c r="P60" s="32">
        <f t="shared" si="31"/>
        <v>3451600</v>
      </c>
      <c r="Q60" s="32">
        <f t="shared" si="32"/>
        <v>0</v>
      </c>
      <c r="R60" s="32">
        <f t="shared" si="40"/>
        <v>3633600</v>
      </c>
      <c r="S60" s="32">
        <f t="shared" si="41"/>
        <v>0</v>
      </c>
      <c r="T60" s="32">
        <f t="shared" si="42"/>
        <v>3754900</v>
      </c>
      <c r="U60" s="32">
        <f t="shared" si="43"/>
        <v>0</v>
      </c>
      <c r="V60" s="24">
        <f t="shared" si="35"/>
        <v>3754900</v>
      </c>
      <c r="W60" s="17"/>
      <c r="Y60" s="67" t="e">
        <f>ROUND(V60*#REF!/1000,2)</f>
        <v>#REF!</v>
      </c>
      <c r="Z60" s="67" t="e">
        <f t="shared" si="12"/>
        <v>#REF!</v>
      </c>
    </row>
    <row r="61" spans="1:26" s="71" customFormat="1" ht="39.6">
      <c r="A61" s="160" t="s">
        <v>607</v>
      </c>
      <c r="B61" s="189" t="s">
        <v>360</v>
      </c>
      <c r="C61" s="190"/>
      <c r="D61" s="22" t="s">
        <v>145</v>
      </c>
      <c r="E61" s="22" t="s">
        <v>146</v>
      </c>
      <c r="F61" s="13" t="s">
        <v>255</v>
      </c>
      <c r="G61" s="13"/>
      <c r="H61" s="22" t="s">
        <v>107</v>
      </c>
      <c r="I61" s="36">
        <v>0</v>
      </c>
      <c r="J61" s="77"/>
      <c r="K61" s="36">
        <f t="shared" si="50"/>
        <v>0</v>
      </c>
      <c r="L61" s="36">
        <f t="shared" si="51"/>
        <v>0</v>
      </c>
      <c r="M61" s="24">
        <f>449575+202291</f>
        <v>651866</v>
      </c>
      <c r="N61" s="32">
        <f t="shared" si="52"/>
        <v>0</v>
      </c>
      <c r="O61" s="32">
        <f t="shared" si="53"/>
        <v>725000</v>
      </c>
      <c r="P61" s="32">
        <f t="shared" si="31"/>
        <v>0</v>
      </c>
      <c r="Q61" s="32">
        <f t="shared" si="32"/>
        <v>776700</v>
      </c>
      <c r="R61" s="32">
        <f t="shared" si="40"/>
        <v>0</v>
      </c>
      <c r="S61" s="32">
        <f t="shared" si="41"/>
        <v>808200</v>
      </c>
      <c r="T61" s="32">
        <f t="shared" si="42"/>
        <v>0</v>
      </c>
      <c r="U61" s="32">
        <f t="shared" si="43"/>
        <v>834000</v>
      </c>
      <c r="V61" s="24">
        <f t="shared" si="35"/>
        <v>834000</v>
      </c>
      <c r="W61" s="17"/>
      <c r="X61" s="8"/>
      <c r="Y61" s="67" t="e">
        <f>ROUND(V61*#REF!/1000,2)</f>
        <v>#REF!</v>
      </c>
      <c r="Z61" s="67" t="e">
        <f t="shared" si="12"/>
        <v>#REF!</v>
      </c>
    </row>
    <row r="62" spans="1:26" s="71" customFormat="1">
      <c r="A62" s="199"/>
      <c r="B62" s="23" t="s">
        <v>387</v>
      </c>
      <c r="C62" s="185" t="s">
        <v>388</v>
      </c>
      <c r="D62" s="22" t="s">
        <v>389</v>
      </c>
      <c r="E62" s="22" t="s">
        <v>146</v>
      </c>
      <c r="F62" s="13" t="s">
        <v>398</v>
      </c>
      <c r="G62" s="13" t="s">
        <v>386</v>
      </c>
      <c r="H62" s="22" t="s">
        <v>104</v>
      </c>
      <c r="I62" s="200"/>
      <c r="J62" s="200"/>
      <c r="K62" s="69"/>
      <c r="L62" s="69"/>
      <c r="M62" s="201"/>
      <c r="N62" s="202">
        <v>9500000</v>
      </c>
      <c r="O62" s="69"/>
      <c r="P62" s="32">
        <f t="shared" si="31"/>
        <v>9936500</v>
      </c>
      <c r="Q62" s="32">
        <f t="shared" si="32"/>
        <v>0</v>
      </c>
      <c r="R62" s="32">
        <f t="shared" si="40"/>
        <v>10460300</v>
      </c>
      <c r="S62" s="32">
        <f t="shared" si="41"/>
        <v>0</v>
      </c>
      <c r="T62" s="32">
        <f t="shared" si="42"/>
        <v>10809500</v>
      </c>
      <c r="U62" s="32">
        <f t="shared" si="43"/>
        <v>0</v>
      </c>
      <c r="V62" s="24">
        <f t="shared" si="35"/>
        <v>10809500</v>
      </c>
      <c r="W62" s="73"/>
      <c r="X62" s="71" t="s">
        <v>399</v>
      </c>
      <c r="Y62" s="67" t="e">
        <f>ROUND(V62*#REF!/1000,2)</f>
        <v>#REF!</v>
      </c>
      <c r="Z62" s="67" t="e">
        <f t="shared" si="12"/>
        <v>#REF!</v>
      </c>
    </row>
    <row r="63" spans="1:26">
      <c r="A63" s="29"/>
      <c r="B63" s="169"/>
      <c r="C63" s="169"/>
      <c r="D63" s="29"/>
      <c r="E63" s="29"/>
      <c r="H63" s="29"/>
      <c r="I63" s="29"/>
      <c r="J63" s="29"/>
      <c r="K63" s="170"/>
      <c r="L63" s="106"/>
      <c r="M63" s="29"/>
      <c r="N63" s="99"/>
      <c r="O63" s="99"/>
      <c r="P63" s="99"/>
      <c r="Q63" s="99"/>
      <c r="R63" s="99"/>
      <c r="S63" s="99"/>
      <c r="T63" s="99"/>
      <c r="U63" s="99"/>
      <c r="V63" s="152"/>
      <c r="W63" s="29"/>
      <c r="X63" s="29"/>
      <c r="Y63" s="67"/>
      <c r="Z63" s="67"/>
    </row>
    <row r="64" spans="1:26" s="28" customFormat="1" ht="13.8" thickBot="1">
      <c r="A64" s="184"/>
      <c r="B64" s="108" t="s">
        <v>315</v>
      </c>
      <c r="C64" s="178"/>
      <c r="D64" s="179"/>
      <c r="E64" s="179"/>
      <c r="F64" s="180"/>
      <c r="G64" s="180"/>
      <c r="H64" s="179"/>
      <c r="I64" s="179"/>
      <c r="J64" s="179"/>
      <c r="K64" s="181"/>
      <c r="L64" s="182"/>
      <c r="M64" s="179"/>
      <c r="N64" s="183">
        <f t="shared" ref="N64:V64" si="54">SUM(N41:N63)</f>
        <v>46990000</v>
      </c>
      <c r="O64" s="183">
        <f t="shared" si="54"/>
        <v>6899600</v>
      </c>
      <c r="P64" s="183">
        <f t="shared" si="54"/>
        <v>48627500</v>
      </c>
      <c r="Q64" s="183">
        <f t="shared" si="54"/>
        <v>7391300</v>
      </c>
      <c r="R64" s="183">
        <f t="shared" si="54"/>
        <v>51191000</v>
      </c>
      <c r="S64" s="183">
        <f t="shared" si="54"/>
        <v>7691200</v>
      </c>
      <c r="T64" s="183">
        <f t="shared" si="54"/>
        <v>52899900</v>
      </c>
      <c r="U64" s="183">
        <f t="shared" si="54"/>
        <v>7936800</v>
      </c>
      <c r="V64" s="183">
        <f t="shared" si="54"/>
        <v>60836700</v>
      </c>
      <c r="W64" s="184"/>
      <c r="X64" s="184"/>
      <c r="Y64" s="67"/>
      <c r="Z64" s="67"/>
    </row>
    <row r="65" spans="1:26" s="84" customFormat="1" ht="13.8" thickTop="1">
      <c r="A65" s="168"/>
      <c r="B65" s="176"/>
      <c r="C65" s="171"/>
      <c r="D65" s="168"/>
      <c r="E65" s="168"/>
      <c r="F65" s="172"/>
      <c r="G65" s="172"/>
      <c r="H65" s="168"/>
      <c r="I65" s="168"/>
      <c r="J65" s="168"/>
      <c r="K65" s="173"/>
      <c r="L65" s="174"/>
      <c r="M65" s="168"/>
      <c r="N65" s="175"/>
      <c r="O65" s="175"/>
      <c r="P65" s="175"/>
      <c r="Q65" s="175"/>
      <c r="R65" s="175"/>
      <c r="S65" s="175"/>
      <c r="T65" s="175"/>
      <c r="U65" s="175"/>
      <c r="V65" s="175"/>
      <c r="W65" s="168"/>
      <c r="X65" s="168"/>
      <c r="Y65" s="67"/>
      <c r="Z65" s="67"/>
    </row>
    <row r="66" spans="1:26">
      <c r="A66" s="29"/>
      <c r="B66" s="94" t="s">
        <v>313</v>
      </c>
      <c r="C66" s="169"/>
      <c r="D66" s="29"/>
      <c r="E66" s="29"/>
      <c r="H66" s="29"/>
      <c r="I66" s="29"/>
      <c r="J66" s="29"/>
      <c r="K66" s="170"/>
      <c r="L66" s="106"/>
      <c r="M66" s="29"/>
      <c r="N66" s="99"/>
      <c r="O66" s="99"/>
      <c r="P66" s="99"/>
      <c r="Q66" s="99"/>
      <c r="R66" s="99"/>
      <c r="S66" s="99"/>
      <c r="T66" s="99"/>
      <c r="U66" s="99"/>
      <c r="V66" s="152"/>
      <c r="W66" s="29"/>
      <c r="X66" s="29"/>
      <c r="Y66" s="67"/>
      <c r="Z66" s="67"/>
    </row>
    <row r="67" spans="1:26" s="29" customFormat="1" ht="66">
      <c r="A67" s="160" t="s">
        <v>608</v>
      </c>
      <c r="B67" s="23" t="s">
        <v>361</v>
      </c>
      <c r="C67" s="191" t="s">
        <v>362</v>
      </c>
      <c r="D67" s="22" t="s">
        <v>259</v>
      </c>
      <c r="E67" s="22" t="s">
        <v>146</v>
      </c>
      <c r="F67" s="13" t="s">
        <v>282</v>
      </c>
      <c r="G67" s="13" t="s">
        <v>277</v>
      </c>
      <c r="H67" s="22"/>
      <c r="I67" s="150"/>
      <c r="J67" s="77"/>
      <c r="K67" s="36">
        <v>57000</v>
      </c>
      <c r="L67" s="36">
        <f t="shared" ref="L67:L68" si="55">ROUND(K67/150.8*158.3,-2)</f>
        <v>59800</v>
      </c>
      <c r="M67" s="22"/>
      <c r="N67" s="69">
        <v>675000</v>
      </c>
      <c r="O67" s="32">
        <f t="shared" ref="O67:O68" si="56">ROUND(M67/126.6*140.8,-2)</f>
        <v>0</v>
      </c>
      <c r="P67" s="32">
        <f>ROUND(N67/124*125.2,-2)</f>
        <v>681500</v>
      </c>
      <c r="Q67" s="32">
        <f t="shared" ref="Q67" si="57">ROUND(O67/115.1*123.3,-2)</f>
        <v>0</v>
      </c>
      <c r="R67" s="32">
        <f t="shared" ref="R67:R68" si="58">ROUND(P67/125.2*131.8,-2)</f>
        <v>717400</v>
      </c>
      <c r="S67" s="32">
        <f t="shared" ref="S67:S68" si="59">ROUND(Q67/123.3*128.3,-2)</f>
        <v>0</v>
      </c>
      <c r="T67" s="32">
        <f t="shared" ref="T67:T68" si="60">ROUND(R67/131.8*136.2,-2)</f>
        <v>741300</v>
      </c>
      <c r="U67" s="32">
        <f t="shared" ref="U67:U68" si="61">ROUND(S67/128.3*132.4,-2)</f>
        <v>0</v>
      </c>
      <c r="V67" s="24">
        <f t="shared" ref="V67:V68" si="62">T67+U67</f>
        <v>741300</v>
      </c>
      <c r="W67" s="151"/>
      <c r="X67" s="29" t="s">
        <v>281</v>
      </c>
      <c r="Y67" s="67" t="e">
        <f>ROUND(V67*#REF!/1000,2)</f>
        <v>#REF!</v>
      </c>
      <c r="Z67" s="67" t="e">
        <f t="shared" si="12"/>
        <v>#REF!</v>
      </c>
    </row>
    <row r="68" spans="1:26" s="29" customFormat="1" ht="66">
      <c r="A68" s="160" t="s">
        <v>609</v>
      </c>
      <c r="B68" s="23" t="s">
        <v>257</v>
      </c>
      <c r="C68" s="23"/>
      <c r="D68" s="22" t="s">
        <v>258</v>
      </c>
      <c r="E68" s="22" t="s">
        <v>146</v>
      </c>
      <c r="F68" s="13" t="s">
        <v>279</v>
      </c>
      <c r="G68" s="13" t="s">
        <v>277</v>
      </c>
      <c r="H68" s="22"/>
      <c r="I68" s="77"/>
      <c r="J68" s="77"/>
      <c r="K68" s="36">
        <v>118000</v>
      </c>
      <c r="L68" s="36">
        <f t="shared" si="55"/>
        <v>123900</v>
      </c>
      <c r="M68" s="24"/>
      <c r="N68" s="69">
        <v>650000</v>
      </c>
      <c r="O68" s="32">
        <f t="shared" si="56"/>
        <v>0</v>
      </c>
      <c r="P68" s="32">
        <f>ROUND(N68/124*125.2,-2)</f>
        <v>656300</v>
      </c>
      <c r="Q68" s="32">
        <f t="shared" ref="Q68" si="63">ROUND(O68/115.1*123.3,-2)</f>
        <v>0</v>
      </c>
      <c r="R68" s="32">
        <f t="shared" si="58"/>
        <v>690900</v>
      </c>
      <c r="S68" s="32">
        <f t="shared" si="59"/>
        <v>0</v>
      </c>
      <c r="T68" s="32">
        <f t="shared" si="60"/>
        <v>714000</v>
      </c>
      <c r="U68" s="32">
        <f t="shared" si="61"/>
        <v>0</v>
      </c>
      <c r="V68" s="24">
        <f t="shared" si="62"/>
        <v>714000</v>
      </c>
      <c r="W68" s="152"/>
      <c r="X68" s="29" t="s">
        <v>278</v>
      </c>
      <c r="Y68" s="67" t="e">
        <f>ROUND(V68*#REF!/1000,2)</f>
        <v>#REF!</v>
      </c>
      <c r="Z68" s="67" t="e">
        <f t="shared" ref="Z68" si="64">Y68*1.21</f>
        <v>#REF!</v>
      </c>
    </row>
    <row r="69" spans="1:26">
      <c r="B69" s="8"/>
      <c r="C69" s="128"/>
      <c r="D69" s="12"/>
      <c r="E69" s="12"/>
      <c r="F69" s="13"/>
      <c r="G69" s="13"/>
      <c r="H69" s="22"/>
      <c r="I69" s="77"/>
      <c r="J69" s="77"/>
      <c r="K69" s="36"/>
      <c r="L69" s="36"/>
      <c r="M69" s="24"/>
      <c r="N69" s="32"/>
      <c r="O69" s="32"/>
      <c r="P69" s="51"/>
      <c r="Q69" s="51"/>
      <c r="R69" s="51"/>
      <c r="S69" s="51"/>
      <c r="T69" s="51"/>
      <c r="U69" s="51"/>
      <c r="V69" s="50"/>
      <c r="W69" s="17"/>
      <c r="Y69" s="67"/>
      <c r="Z69" s="67"/>
    </row>
    <row r="70" spans="1:26" ht="13.8" thickBot="1">
      <c r="B70" s="89" t="s">
        <v>305</v>
      </c>
      <c r="C70" s="192"/>
      <c r="D70" s="193"/>
      <c r="E70" s="193"/>
      <c r="F70" s="194"/>
      <c r="G70" s="194"/>
      <c r="H70" s="195"/>
      <c r="I70" s="77"/>
      <c r="J70" s="77"/>
      <c r="K70" s="36"/>
      <c r="L70" s="36"/>
      <c r="M70" s="24"/>
      <c r="N70" s="90">
        <f t="shared" ref="N70:V70" si="65">SUM(N67:N69)</f>
        <v>1325000</v>
      </c>
      <c r="O70" s="91">
        <f t="shared" si="65"/>
        <v>0</v>
      </c>
      <c r="P70" s="90">
        <f t="shared" ref="P70:Q70" si="66">SUM(P67:P69)</f>
        <v>1337800</v>
      </c>
      <c r="Q70" s="91">
        <f t="shared" si="66"/>
        <v>0</v>
      </c>
      <c r="R70" s="90">
        <f t="shared" ref="R70:S70" si="67">SUM(R67:R69)</f>
        <v>1408300</v>
      </c>
      <c r="S70" s="91">
        <f t="shared" si="67"/>
        <v>0</v>
      </c>
      <c r="T70" s="90">
        <f t="shared" ref="T70:U70" si="68">SUM(T67:T69)</f>
        <v>1455300</v>
      </c>
      <c r="U70" s="91">
        <f t="shared" si="68"/>
        <v>0</v>
      </c>
      <c r="V70" s="90">
        <f t="shared" si="65"/>
        <v>1455300</v>
      </c>
      <c r="W70" s="17"/>
      <c r="Y70" s="67" t="e">
        <f>SUM(Y6:Y68)</f>
        <v>#REF!</v>
      </c>
      <c r="Z70" s="67" t="e">
        <f>SUM(Z6:Z68)</f>
        <v>#REF!</v>
      </c>
    </row>
    <row r="71" spans="1:26" ht="13.8" thickTop="1"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6" ht="13.8" thickBot="1">
      <c r="B72" s="92" t="s">
        <v>310</v>
      </c>
      <c r="C72" s="92"/>
      <c r="D72" s="196"/>
      <c r="E72" s="196"/>
      <c r="F72" s="177"/>
      <c r="G72" s="177"/>
      <c r="H72" s="196"/>
      <c r="I72" s="18">
        <v>80338400</v>
      </c>
      <c r="J72" s="18">
        <f>SUM(J6:J70)</f>
        <v>75079200</v>
      </c>
      <c r="K72" s="119">
        <f>SUM(K6:K70)</f>
        <v>81053700</v>
      </c>
      <c r="L72" s="119">
        <f>SUM(L6:L70)</f>
        <v>85085000</v>
      </c>
      <c r="M72" s="119">
        <f>SUM(M6:M70)</f>
        <v>8141190</v>
      </c>
      <c r="N72" s="119">
        <f t="shared" ref="N72:V72" si="69">N38+N64+N70</f>
        <v>120826900</v>
      </c>
      <c r="O72" s="119">
        <f t="shared" si="69"/>
        <v>9042200</v>
      </c>
      <c r="P72" s="119">
        <f t="shared" si="69"/>
        <v>125809000</v>
      </c>
      <c r="Q72" s="119">
        <f t="shared" si="69"/>
        <v>9686500</v>
      </c>
      <c r="R72" s="119">
        <f t="shared" si="69"/>
        <v>132441100</v>
      </c>
      <c r="S72" s="119">
        <f t="shared" si="69"/>
        <v>10079500</v>
      </c>
      <c r="T72" s="119">
        <f t="shared" ref="T72:U72" si="70">T38+T64+T70</f>
        <v>136862700</v>
      </c>
      <c r="U72" s="119">
        <f t="shared" si="70"/>
        <v>10401400</v>
      </c>
      <c r="V72" s="119">
        <f t="shared" si="69"/>
        <v>147264100</v>
      </c>
      <c r="W72" s="21"/>
    </row>
    <row r="73" spans="1:26" ht="13.8" thickTop="1">
      <c r="X73" s="67"/>
    </row>
    <row r="74" spans="1:26">
      <c r="B74" s="1" t="s">
        <v>239</v>
      </c>
      <c r="C74" s="1"/>
      <c r="M74" s="67"/>
      <c r="N74" s="67"/>
      <c r="O74" s="67"/>
      <c r="P74" s="67"/>
      <c r="Q74" s="67"/>
      <c r="R74" s="67"/>
      <c r="S74" s="67"/>
      <c r="T74" s="67"/>
      <c r="U74" s="67"/>
      <c r="V74" s="67"/>
      <c r="Y74" s="67"/>
    </row>
    <row r="75" spans="1:26">
      <c r="B75" s="74" t="s">
        <v>280</v>
      </c>
      <c r="C75" s="70"/>
    </row>
    <row r="76" spans="1:26">
      <c r="B76" s="74" t="s">
        <v>385</v>
      </c>
    </row>
    <row r="77" spans="1:26">
      <c r="B77" s="74"/>
      <c r="C77" s="74"/>
      <c r="G77" s="204"/>
      <c r="M77" s="67"/>
      <c r="N77" s="67"/>
      <c r="O77" s="67"/>
      <c r="P77" s="67"/>
      <c r="Q77" s="67"/>
      <c r="R77" s="67"/>
      <c r="S77" s="67"/>
      <c r="T77" s="67"/>
      <c r="U77" s="67"/>
    </row>
    <row r="78" spans="1:26">
      <c r="N78" s="86"/>
    </row>
    <row r="79" spans="1:26">
      <c r="N79" s="222"/>
      <c r="O79" s="87"/>
      <c r="P79" s="87"/>
      <c r="Q79" s="87"/>
      <c r="R79" s="87"/>
      <c r="S79" s="87"/>
      <c r="T79" s="87"/>
      <c r="U79" s="87"/>
    </row>
    <row r="80" spans="1:26">
      <c r="N80" s="86"/>
    </row>
    <row r="81" spans="1:26">
      <c r="N81" s="86"/>
    </row>
    <row r="83" spans="1:26">
      <c r="B83" s="255" t="s">
        <v>612</v>
      </c>
      <c r="N83" s="86"/>
    </row>
    <row r="84" spans="1:26" s="71" customFormat="1" ht="26.4">
      <c r="A84" s="199"/>
      <c r="B84" s="23" t="s">
        <v>387</v>
      </c>
      <c r="C84" s="185" t="s">
        <v>388</v>
      </c>
      <c r="D84" s="22" t="s">
        <v>389</v>
      </c>
      <c r="E84" s="22" t="s">
        <v>146</v>
      </c>
      <c r="F84" s="13" t="s">
        <v>627</v>
      </c>
      <c r="G84" s="13" t="s">
        <v>386</v>
      </c>
      <c r="H84" s="22" t="s">
        <v>104</v>
      </c>
      <c r="I84" s="200"/>
      <c r="J84" s="200"/>
      <c r="K84" s="69"/>
      <c r="L84" s="69"/>
      <c r="M84" s="201"/>
      <c r="N84" s="202">
        <v>9500000</v>
      </c>
      <c r="O84" s="69"/>
      <c r="P84" s="32">
        <f t="shared" ref="P84" si="71">ROUND(N84/119.7*125.2,-2)</f>
        <v>9936500</v>
      </c>
      <c r="Q84" s="32">
        <f t="shared" ref="Q84" si="72">ROUND(O84/115.1*123.3,-2)</f>
        <v>0</v>
      </c>
      <c r="R84" s="32">
        <f t="shared" ref="R84" si="73">ROUND(P84/125.2*131.8,-2)</f>
        <v>10460300</v>
      </c>
      <c r="S84" s="32">
        <f t="shared" ref="S84" si="74">ROUND(Q84/123.3*128.3,-2)</f>
        <v>0</v>
      </c>
      <c r="T84" s="32">
        <f t="shared" ref="T84" si="75">ROUND(R84/131.8*136.2,-2)</f>
        <v>10809500</v>
      </c>
      <c r="U84" s="32">
        <f t="shared" ref="U84" si="76">ROUND(S84/128.3*132.4,-2)</f>
        <v>0</v>
      </c>
      <c r="V84" s="24">
        <f t="shared" ref="V84" si="77">T84+U84</f>
        <v>10809500</v>
      </c>
      <c r="W84" s="73"/>
      <c r="X84" s="71" t="s">
        <v>625</v>
      </c>
      <c r="Y84" s="67" t="e">
        <f>ROUND(V84*#REF!/1000,2)</f>
        <v>#REF!</v>
      </c>
      <c r="Z84" s="67" t="e">
        <f t="shared" ref="Z84" si="78">Y84*1.21</f>
        <v>#REF!</v>
      </c>
    </row>
    <row r="85" spans="1:26">
      <c r="N85" s="87"/>
    </row>
  </sheetData>
  <autoFilter ref="A1:V36" xr:uid="{00000000-0001-0000-0200-000000000000}"/>
  <sortState xmlns:xlrd2="http://schemas.microsoft.com/office/spreadsheetml/2017/richdata2" ref="A6:Z61">
    <sortCondition ref="A6:A61"/>
    <sortCondition ref="B6:B61"/>
  </sortState>
  <mergeCells count="1">
    <mergeCell ref="G1:G4"/>
  </mergeCells>
  <pageMargins left="0.51181102362204722" right="0.51181102362204722" top="1.7716535433070868" bottom="0.98425196850393704" header="0.31496062992125984" footer="0.70866141732283472"/>
  <pageSetup paperSize="9" scale="69" fitToHeight="3" orientation="landscape" r:id="rId1"/>
  <headerFooter>
    <oddFooter>&amp;L&amp;"Arial,Standaard"&amp;F &amp;A&amp;C&amp;"Arial,Standaard"&amp;P</oddFooter>
  </headerFooter>
  <rowBreaks count="1" manualBreakCount="1">
    <brk id="65" min="1" max="19" man="1"/>
  </rowBreaks>
  <ignoredErrors>
    <ignoredError sqref="Q50 P51:Q54 Q55 P56:Q62 P67:Q68 P41:Q49 R6:S36 R41:S62 R67:S68 V64 V38 R38:S38 R64:S64 T6:U6 T7:U36 T64:U64 T41:U62 T67:U68 T38:U38" unlocked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f874a1-ec8e-4a4f-b86e-a8786ec1e991" xsi:nil="true"/>
    <lcf76f155ced4ddcb4097134ff3c332f xmlns="0fbdb443-929b-4e61-b234-4a7a82d9571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FCADD9-45BB-4A9D-A7C7-8ECA77A113D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3ff874a1-ec8e-4a4f-b86e-a8786ec1e991"/>
    <ds:schemaRef ds:uri="http://schemas.microsoft.com/office/2006/documentManagement/types"/>
    <ds:schemaRef ds:uri="7fc29833-30fe-4079-9e09-09a05b8ff98a"/>
    <ds:schemaRef ds:uri="http://www.w3.org/XML/1998/namespace"/>
    <ds:schemaRef ds:uri="0fbdb443-929b-4e61-b234-4a7a82d95711"/>
  </ds:schemaRefs>
</ds:datastoreItem>
</file>

<file path=customXml/itemProps2.xml><?xml version="1.0" encoding="utf-8"?>
<ds:datastoreItem xmlns:ds="http://schemas.openxmlformats.org/officeDocument/2006/customXml" ds:itemID="{E4AB2D17-1FCA-4E07-BBFB-3A976697B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C1015-7BEF-4C8D-90C9-D2F5E63321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6</vt:i4>
      </vt:variant>
    </vt:vector>
  </HeadingPairs>
  <TitlesOfParts>
    <vt:vector size="9" baseType="lpstr">
      <vt:lpstr>Bussum</vt:lpstr>
      <vt:lpstr>Muiden en Muiderberg</vt:lpstr>
      <vt:lpstr>Naarden</vt:lpstr>
      <vt:lpstr>Bussum!Afdrukbereik</vt:lpstr>
      <vt:lpstr>'Muiden en Muiderberg'!Afdrukbereik</vt:lpstr>
      <vt:lpstr>Naarden!Afdrukbereik</vt:lpstr>
      <vt:lpstr>Bussum!Afdruktitels</vt:lpstr>
      <vt:lpstr>'Muiden en Muiderberg'!Afdruktitels</vt:lpstr>
      <vt:lpstr>Naarden!Afdruktitels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petracornelisse</dc:creator>
  <cp:lastModifiedBy>Victor van der Vliet</cp:lastModifiedBy>
  <cp:lastPrinted>2023-04-20T10:49:56Z</cp:lastPrinted>
  <dcterms:created xsi:type="dcterms:W3CDTF">2001-05-04T15:09:53Z</dcterms:created>
  <dcterms:modified xsi:type="dcterms:W3CDTF">2026-10-19T14:16:30Z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0x0101008FE8FFAF427DC24B8D07778B05475EC3</vt:lpwstr>
  </property>
  <property fmtid="{D5CDD505-2E9C-101B-9397-08002B2CF9AE}" pid="4" name="Order">
    <vt:r8>186800</vt:r8>
  </property>
  <property fmtid="{D5CDD505-2E9C-101B-9397-08002B2CF9AE}" pid="5" name="MediaServiceImageTags">
    <vt:lpwstr/>
  </property>
</Properties>
</file>